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0490" windowHeight="777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18" sheetId="187" r:id="rId29"/>
    <sheet name="SEFA NOTES" sheetId="173" r:id="rId30"/>
    <sheet name="SF&amp;QC Sec-1" sheetId="174" r:id="rId31"/>
    <sheet name="Finding 2018-001" sheetId="175" r:id="rId32"/>
    <sheet name="Finding 2018-002" sheetId="176" r:id="rId33"/>
    <sheet name="Finding 2018-003" sheetId="183" r:id="rId34"/>
    <sheet name="SSPAF" sheetId="177" r:id="rId35"/>
    <sheet name="CAP-001" sheetId="184" r:id="rId36"/>
    <sheet name="CAP-002" sheetId="185" r:id="rId37"/>
    <sheet name="CAP-003" sheetId="186" r:id="rId38"/>
  </sheets>
  <definedNames>
    <definedName name="Finding" localSheetId="36">#REF!</definedName>
    <definedName name="Finding" localSheetId="37">#REF!</definedName>
    <definedName name="Finding">#REF!</definedName>
    <definedName name="goof" localSheetId="36">#REF!</definedName>
    <definedName name="goof" localSheetId="37">#REF!</definedName>
    <definedName name="goof" localSheetId="28">#REF!</definedName>
    <definedName name="goof">#REF!</definedName>
    <definedName name="New" localSheetId="36">#REF!</definedName>
    <definedName name="New" localSheetId="37">#REF!</definedName>
    <definedName name="New">#REF!</definedName>
    <definedName name="oops" localSheetId="36">#REF!</definedName>
    <definedName name="oops" localSheetId="37">#REF!</definedName>
    <definedName name="oops" localSheetId="28">#REF!</definedName>
    <definedName name="oops">#REF!</definedName>
    <definedName name="_xlnm.Print_Area" localSheetId="27">' SEFA'!$B$1:$M$46</definedName>
    <definedName name="_xlnm.Print_Area" localSheetId="32">'Finding 2018-002'!$A$1:$K$52</definedName>
    <definedName name="_xlnm.Print_Area" localSheetId="33">'Finding 2018-003'!$A$1:$K$52</definedName>
    <definedName name="_xlnm.Print_Area" localSheetId="29">'SEFA NOTES'!$A$1:$F$61</definedName>
    <definedName name="_xlnm.Print_Area" localSheetId="26">'SEFA Reconcile'!$A$1:$E$49</definedName>
    <definedName name="_xlnm.Print_Area" localSheetId="28">SEFA18!$A$11:$T$93</definedName>
    <definedName name="_xlnm.Print_Area" localSheetId="30">'SF&amp;QC Sec-1'!$A$1:$J$63</definedName>
    <definedName name="_xlnm.Print_Area" localSheetId="25">'Single Audit Checklist'!$A$1:$D$124</definedName>
    <definedName name="_xlnm.Print_Area" localSheetId="24">'Single Audit Cover'!$A$1:$L$52</definedName>
    <definedName name="Print_Area_MI" localSheetId="28">SEFA18!$B$14:$T$83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SEFA18!$A:$C,SEFA18!$1:$10</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36">#REF!</definedName>
    <definedName name="SCHADDRS" localSheetId="37">#REF!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29">#REF!</definedName>
    <definedName name="SCHADDRS" localSheetId="26">#REF!</definedName>
    <definedName name="SCHADDRS" localSheetId="28">#REF!</definedName>
    <definedName name="SCHADDRS" localSheetId="30">#REF!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37">#REF!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29">#REF!</definedName>
    <definedName name="SCHCTY" localSheetId="26">#REF!</definedName>
    <definedName name="SCHCTY" localSheetId="28">#REF!</definedName>
    <definedName name="SCHCTY" localSheetId="30">#REF!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35">#REF!</definedName>
    <definedName name="SCHNMBR" localSheetId="36">#REF!</definedName>
    <definedName name="SCHNMBR" localSheetId="37">#REF!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29">#REF!</definedName>
    <definedName name="SCHNMBR" localSheetId="26">#REF!</definedName>
    <definedName name="SCHNMBR" localSheetId="28">#REF!</definedName>
    <definedName name="SCHNMBR" localSheetId="30">#REF!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37">#REF!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29">#REF!</definedName>
    <definedName name="SCHNME" localSheetId="26">#REF!</definedName>
    <definedName name="SCHNME" localSheetId="28">#REF!</definedName>
    <definedName name="SCHNME" localSheetId="30">#REF!</definedName>
    <definedName name="SCHNME" localSheetId="25">#REF!</definedName>
    <definedName name="SCHNME" localSheetId="24">#REF!</definedName>
    <definedName name="SCHNME" localSheetId="34">#REF!</definedName>
    <definedName name="SCHNME">#REF!</definedName>
    <definedName name="SEFA09" localSheetId="36">#REF!</definedName>
    <definedName name="SEFA09" localSheetId="37">#REF!</definedName>
    <definedName name="SEFA09" localSheetId="28">#REF!</definedName>
    <definedName name="SEFA09">#REF!</definedName>
    <definedName name="SUPT" localSheetId="27">#REF!</definedName>
    <definedName name="SUPT" localSheetId="17">#REF!</definedName>
    <definedName name="SUPT" localSheetId="35">#REF!</definedName>
    <definedName name="SUPT" localSheetId="36">#REF!</definedName>
    <definedName name="SUPT" localSheetId="37">#REF!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29">#REF!</definedName>
    <definedName name="SUPT" localSheetId="26">#REF!</definedName>
    <definedName name="SUPT" localSheetId="28">#REF!</definedName>
    <definedName name="SUPT" localSheetId="30">#REF!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1" i="187" l="1"/>
  <c r="M85" i="187" s="1"/>
  <c r="I81" i="187"/>
  <c r="P79" i="187"/>
  <c r="R79" i="187" s="1"/>
  <c r="N79" i="187"/>
  <c r="N81" i="187" s="1"/>
  <c r="N85" i="187" s="1"/>
  <c r="L79" i="187"/>
  <c r="L81" i="187" s="1"/>
  <c r="L85" i="187" s="1"/>
  <c r="K79" i="187"/>
  <c r="K81" i="187" s="1"/>
  <c r="K85" i="187" s="1"/>
  <c r="G79" i="187"/>
  <c r="G81" i="187" s="1"/>
  <c r="P78" i="187"/>
  <c r="R78" i="187" s="1"/>
  <c r="R73" i="187"/>
  <c r="R72" i="187"/>
  <c r="N67" i="187"/>
  <c r="L67" i="187"/>
  <c r="K67" i="187"/>
  <c r="R64" i="187"/>
  <c r="R63" i="187"/>
  <c r="R60" i="187"/>
  <c r="I60" i="187"/>
  <c r="I85" i="187" s="1"/>
  <c r="R58" i="187"/>
  <c r="G58" i="187"/>
  <c r="R54" i="187"/>
  <c r="R52" i="187"/>
  <c r="R50" i="187"/>
  <c r="R48" i="187"/>
  <c r="R44" i="187"/>
  <c r="R42" i="187"/>
  <c r="P40" i="187"/>
  <c r="P67" i="187" s="1"/>
  <c r="P83" i="187" s="1"/>
  <c r="M40" i="187"/>
  <c r="M67" i="187" s="1"/>
  <c r="M83" i="187" s="1"/>
  <c r="M87" i="187" s="1"/>
  <c r="I40" i="187"/>
  <c r="I67" i="187" s="1"/>
  <c r="T37" i="187"/>
  <c r="R37" i="187"/>
  <c r="T35" i="187"/>
  <c r="K35" i="187"/>
  <c r="R35" i="187" s="1"/>
  <c r="G35" i="187"/>
  <c r="R33" i="187"/>
  <c r="R31" i="187"/>
  <c r="R29" i="187"/>
  <c r="R27" i="187"/>
  <c r="P21" i="187"/>
  <c r="N21" i="187"/>
  <c r="N83" i="187" s="1"/>
  <c r="M21" i="187"/>
  <c r="L21" i="187"/>
  <c r="L83" i="187" s="1"/>
  <c r="K21" i="187"/>
  <c r="K83" i="187" s="1"/>
  <c r="K87" i="187" s="1"/>
  <c r="I21" i="187"/>
  <c r="G21" i="187"/>
  <c r="G83" i="187" s="1"/>
  <c r="R19" i="187"/>
  <c r="R18" i="187"/>
  <c r="R16" i="187"/>
  <c r="R21" i="187" s="1"/>
  <c r="R15" i="187"/>
  <c r="M8" i="187"/>
  <c r="N7" i="187" s="1"/>
  <c r="K8" i="187"/>
  <c r="M7" i="187"/>
  <c r="N6" i="187" s="1"/>
  <c r="L7" i="187"/>
  <c r="L6" i="187"/>
  <c r="I83" i="187" l="1"/>
  <c r="I87" i="187" s="1"/>
  <c r="G67" i="187"/>
  <c r="R67" i="187"/>
  <c r="R83" i="187" s="1"/>
  <c r="G85" i="187"/>
  <c r="G87" i="187" s="1"/>
  <c r="R81" i="187"/>
  <c r="R85" i="187" s="1"/>
  <c r="L87" i="187"/>
  <c r="N87" i="187"/>
  <c r="R40" i="187"/>
  <c r="P81" i="187"/>
  <c r="P85" i="187" s="1"/>
  <c r="P87" i="187" s="1"/>
  <c r="D47" i="171"/>
  <c r="R87" i="187" l="1"/>
  <c r="B4" i="18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3" s="1"/>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J21" i="12"/>
  <c r="B7727" i="106" s="1"/>
  <c r="D7727" i="106" s="1"/>
  <c r="B7729" i="106"/>
  <c r="D7729" i="106" s="1"/>
  <c r="B7734" i="106"/>
  <c r="B7726" i="106"/>
  <c r="B30" i="36"/>
  <c r="B33" i="36" s="1"/>
  <c r="B43" i="36" s="1"/>
  <c r="B56" i="36" s="1"/>
  <c r="B66" i="36" s="1"/>
  <c r="B70" i="36" s="1"/>
  <c r="B74" i="36" s="1"/>
  <c r="I7" i="145"/>
  <c r="I6" i="145"/>
  <c r="D82"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c r="B6632" i="106"/>
  <c r="D6632" i="106"/>
  <c r="B6633" i="106"/>
  <c r="D6633" i="106" s="1"/>
  <c r="B6636" i="106"/>
  <c r="D6636" i="106"/>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c r="B6706" i="106"/>
  <c r="D6706" i="106"/>
  <c r="B6710" i="106"/>
  <c r="D6710" i="106" s="1"/>
  <c r="B6711" i="106"/>
  <c r="D6711" i="106" s="1"/>
  <c r="B6718" i="106"/>
  <c r="D6718" i="106" s="1"/>
  <c r="B6719" i="106"/>
  <c r="D6719" i="106"/>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3" i="106"/>
  <c r="D7734"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N22" i="3"/>
  <c r="B283" i="106" s="1"/>
  <c r="D283" i="106" s="1"/>
  <c r="D7" i="118"/>
  <c r="D8" i="118"/>
  <c r="D9" i="118"/>
  <c r="H33" i="118"/>
  <c r="D22" i="37"/>
  <c r="J22" i="37"/>
  <c r="D24" i="37"/>
  <c r="B4270" i="106" s="1"/>
  <c r="D4270" i="106" s="1"/>
  <c r="L5" i="11"/>
  <c r="B2056" i="106" s="1"/>
  <c r="D2056" i="106" s="1"/>
  <c r="L15" i="11" l="1"/>
  <c r="B3459" i="106" s="1"/>
  <c r="D3459" i="106" s="1"/>
  <c r="B4268" i="106"/>
  <c r="D4268" i="106" s="1"/>
  <c r="D31" i="36"/>
  <c r="I24" i="12"/>
  <c r="I26" i="12" s="1"/>
  <c r="B7741" i="106" s="1"/>
  <c r="D7741" i="106" s="1"/>
  <c r="H28" i="118"/>
  <c r="D11" i="37"/>
  <c r="F21" i="8"/>
  <c r="B1879" i="106" s="1"/>
  <c r="D1879" i="106" s="1"/>
  <c r="D54" i="36"/>
  <c r="H22" i="37"/>
  <c r="I274" i="5"/>
  <c r="B4435" i="106" s="1"/>
  <c r="D4435" i="106" s="1"/>
  <c r="B2734" i="106"/>
  <c r="D2734" i="106" s="1"/>
  <c r="L13" i="11"/>
  <c r="B2060" i="106" s="1"/>
  <c r="D2060" i="106" s="1"/>
  <c r="B1996" i="106"/>
  <c r="D1996" i="106" s="1"/>
  <c r="B1868" i="106"/>
  <c r="D1868" i="106" s="1"/>
  <c r="J23" i="12"/>
  <c r="B7730" i="106" s="1"/>
  <c r="D7730" i="106" s="1"/>
  <c r="K28" i="118"/>
  <c r="O27" i="118" s="1"/>
  <c r="O29" i="118" s="1"/>
  <c r="F19" i="7"/>
  <c r="B1807" i="106" s="1"/>
  <c r="D1807" i="106" s="1"/>
  <c r="B3689" i="106"/>
  <c r="D3689" i="106" s="1"/>
  <c r="J90" i="28"/>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J24" i="12"/>
  <c r="B7270" i="106"/>
  <c r="I7" i="4" l="1"/>
  <c r="B4444" i="106" s="1"/>
  <c r="D4444" i="106" s="1"/>
  <c r="L16" i="11"/>
  <c r="B2061" i="106" s="1"/>
  <c r="D2061" i="106" s="1"/>
  <c r="B2031" i="106"/>
  <c r="D2031"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K158" i="29" l="1"/>
  <c r="B7780" i="106" s="1"/>
  <c r="D7780" i="106" s="1"/>
  <c r="B7779" i="106"/>
  <c r="D7779" i="106" s="1"/>
  <c r="K159" i="29"/>
  <c r="B7782" i="106" s="1"/>
  <c r="D7782" i="106" s="1"/>
  <c r="B7781" i="106"/>
  <c r="D7781" i="106" s="1"/>
  <c r="K282" i="29"/>
  <c r="B7783" i="106"/>
  <c r="D7783" i="106" s="1"/>
  <c r="K355" i="29"/>
  <c r="B7793" i="106"/>
  <c r="D7793" i="106" s="1"/>
  <c r="B7237" i="106"/>
  <c r="D7237" i="106" s="1"/>
  <c r="B7791" i="106"/>
  <c r="D7791" i="106" s="1"/>
  <c r="K354" i="29"/>
  <c r="B7236" i="106"/>
  <c r="D7236" i="106" s="1"/>
  <c r="B7775" i="106" l="1"/>
  <c r="D7775" i="106" s="1"/>
  <c r="B7774" i="106"/>
  <c r="D7774" i="106" s="1"/>
  <c r="K133" i="29"/>
  <c r="B7784" i="106"/>
  <c r="D7784" i="106" s="1"/>
  <c r="H334" i="29"/>
  <c r="B7789" i="106" s="1"/>
  <c r="D7789" i="106" s="1"/>
  <c r="B7785" i="106"/>
  <c r="D7785" i="106" s="1"/>
  <c r="K332" i="29"/>
  <c r="L334" i="29"/>
  <c r="B7787" i="106"/>
  <c r="D7787" i="106" s="1"/>
  <c r="K333" i="29"/>
  <c r="B7788" i="106" s="1"/>
  <c r="D7788" i="106" s="1"/>
  <c r="B7794" i="106"/>
  <c r="D7794" i="106" s="1"/>
  <c r="B3674" i="106"/>
  <c r="D3674" i="106" s="1"/>
  <c r="B7792" i="106"/>
  <c r="D7792" i="106" s="1"/>
  <c r="B3673" i="106"/>
  <c r="D3673" i="106" s="1"/>
  <c r="B7776" i="106" l="1"/>
  <c r="D7776" i="106" s="1"/>
  <c r="B7786" i="106"/>
  <c r="D7786" i="106" s="1"/>
  <c r="K334" i="29"/>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0" i="106"/>
  <c r="D6300"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7059" i="106"/>
  <c r="D7059"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9" i="106"/>
  <c r="D2999" i="106" s="1"/>
  <c r="B3000" i="106"/>
  <c r="D3000"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4878" i="106"/>
  <c r="D4878" i="106" s="1"/>
  <c r="B5743" i="106"/>
  <c r="D5743"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8" i="106"/>
  <c r="D5068" i="106" s="1"/>
  <c r="B5069" i="106"/>
  <c r="D5069" i="106" s="1"/>
  <c r="B5070" i="106"/>
  <c r="D5070" i="106" s="1"/>
  <c r="B5074" i="106"/>
  <c r="D5074" i="106" s="1"/>
  <c r="B5075" i="106"/>
  <c r="D5075" i="106" s="1"/>
  <c r="B5076" i="106"/>
  <c r="D5076" i="106" s="1"/>
  <c r="B5077" i="106"/>
  <c r="D5077" i="106" s="1"/>
  <c r="B6308" i="106"/>
  <c r="D6308" i="106" s="1"/>
  <c r="B5078" i="106"/>
  <c r="D5078" i="106" s="1"/>
  <c r="B6309" i="106"/>
  <c r="D6309" i="106" s="1"/>
  <c r="B5081" i="106"/>
  <c r="D5081" i="106" s="1"/>
  <c r="B5082" i="106"/>
  <c r="D5082" i="106" s="1"/>
  <c r="B5083" i="106"/>
  <c r="D5083" i="106" s="1"/>
  <c r="B6310" i="106"/>
  <c r="D6310" i="106" s="1"/>
  <c r="B5084" i="106"/>
  <c r="D5084"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93" i="106"/>
  <c r="D6793" i="106" s="1"/>
  <c r="B6809" i="106"/>
  <c r="D6809" i="106" s="1"/>
  <c r="B6817" i="106"/>
  <c r="D6817"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7" i="106"/>
  <c r="D6937"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L261" i="29" l="1"/>
  <c r="L243" i="29"/>
  <c r="B5331" i="106"/>
  <c r="D5331" i="106" s="1"/>
  <c r="B925" i="106"/>
  <c r="D925" i="106" s="1"/>
  <c r="B3367" i="106"/>
  <c r="D3367" i="106" s="1"/>
  <c r="B716" i="106"/>
  <c r="D716" i="106" s="1"/>
  <c r="B705" i="106"/>
  <c r="D705" i="106" s="1"/>
  <c r="B6941" i="106"/>
  <c r="D6941" i="106" s="1"/>
  <c r="C76" i="4"/>
  <c r="B3231" i="106" s="1"/>
  <c r="D3231" i="106" s="1"/>
  <c r="B5022" i="106"/>
  <c r="D5022" i="106" s="1"/>
  <c r="K106" i="29"/>
  <c r="B1147" i="106" s="1"/>
  <c r="D1147" i="106" s="1"/>
  <c r="B1049" i="106"/>
  <c r="D1049" i="106" s="1"/>
  <c r="K96" i="29"/>
  <c r="B7003" i="106" s="1"/>
  <c r="D7003" i="106" s="1"/>
  <c r="B7002" i="106"/>
  <c r="D7002" i="106" s="1"/>
  <c r="B6985" i="106"/>
  <c r="D6985" i="106" s="1"/>
  <c r="K87" i="29"/>
  <c r="B6986" i="106" s="1"/>
  <c r="D6986" i="106" s="1"/>
  <c r="B2952" i="106"/>
  <c r="D2952" i="106" s="1"/>
  <c r="K81" i="29"/>
  <c r="B2976" i="106" s="1"/>
  <c r="D2976" i="106" s="1"/>
  <c r="I72" i="29"/>
  <c r="B6973" i="106" s="1"/>
  <c r="D6973" i="106" s="1"/>
  <c r="B6963" i="106"/>
  <c r="D6963" i="106" s="1"/>
  <c r="B6950" i="106"/>
  <c r="D6950" i="106" s="1"/>
  <c r="I65" i="29"/>
  <c r="B6961" i="106" s="1"/>
  <c r="D6961" i="106" s="1"/>
  <c r="I57" i="29"/>
  <c r="B6948" i="106" s="1"/>
  <c r="D6948" i="106" s="1"/>
  <c r="B6944" i="106"/>
  <c r="D6944" i="106" s="1"/>
  <c r="B6938" i="106"/>
  <c r="D6938" i="106" s="1"/>
  <c r="B6926" i="106"/>
  <c r="D6926" i="106" s="1"/>
  <c r="I47" i="29"/>
  <c r="B6924" i="106" s="1"/>
  <c r="D6924" i="106" s="1"/>
  <c r="B6918" i="106"/>
  <c r="D6918" i="106" s="1"/>
  <c r="B6906" i="106"/>
  <c r="D6906" i="106" s="1"/>
  <c r="B6904" i="106"/>
  <c r="D6904" i="106" s="1"/>
  <c r="B6898" i="106"/>
  <c r="D6898" i="106" s="1"/>
  <c r="K31" i="29"/>
  <c r="B6882" i="106"/>
  <c r="D6882" i="106" s="1"/>
  <c r="K23" i="29"/>
  <c r="B879" i="106"/>
  <c r="D879" i="106" s="1"/>
  <c r="F33" i="29"/>
  <c r="F162" i="34"/>
  <c r="B7761" i="106"/>
  <c r="D7761" i="106" s="1"/>
  <c r="B6307" i="106"/>
  <c r="D6307" i="106" s="1"/>
  <c r="B5063" i="106"/>
  <c r="D5063" i="106" s="1"/>
  <c r="K17" i="29"/>
  <c r="B6871" i="106" s="1"/>
  <c r="D6871" i="106" s="1"/>
  <c r="B7263" i="106"/>
  <c r="D7263" i="106" s="1"/>
  <c r="B3366" i="106"/>
  <c r="D3366" i="106" s="1"/>
  <c r="K8" i="29"/>
  <c r="B3380" i="106" s="1"/>
  <c r="D3380" i="106" s="1"/>
  <c r="K105" i="29"/>
  <c r="B1048" i="106"/>
  <c r="D1048" i="106" s="1"/>
  <c r="K95" i="29"/>
  <c r="B7001" i="106" s="1"/>
  <c r="D7001" i="106" s="1"/>
  <c r="B7000" i="106"/>
  <c r="D7000" i="106" s="1"/>
  <c r="B6983" i="106"/>
  <c r="D6983" i="106" s="1"/>
  <c r="K86" i="29"/>
  <c r="B6984" i="106" s="1"/>
  <c r="D6984" i="106" s="1"/>
  <c r="B1033" i="106"/>
  <c r="D1033" i="106" s="1"/>
  <c r="B975" i="106"/>
  <c r="D975" i="106" s="1"/>
  <c r="B1031" i="106"/>
  <c r="D1031" i="106" s="1"/>
  <c r="B1030" i="106"/>
  <c r="D1030"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B6896" i="106"/>
  <c r="D6896" i="106" s="1"/>
  <c r="K30" i="29"/>
  <c r="B6880" i="106"/>
  <c r="D6880" i="106" s="1"/>
  <c r="K22" i="29"/>
  <c r="B7253" i="106"/>
  <c r="D7253" i="106" s="1"/>
  <c r="B821" i="106"/>
  <c r="D821" i="106" s="1"/>
  <c r="B6825" i="106"/>
  <c r="D6825" i="106" s="1"/>
  <c r="B5086" i="106"/>
  <c r="D5086" i="106" s="1"/>
  <c r="B5080" i="106"/>
  <c r="D5080" i="106" s="1"/>
  <c r="B5107" i="106"/>
  <c r="D5107" i="106" s="1"/>
  <c r="F98" i="34"/>
  <c r="K93" i="29"/>
  <c r="H100" i="29"/>
  <c r="B7012" i="106" s="1"/>
  <c r="D7012" i="106" s="1"/>
  <c r="B6996" i="106"/>
  <c r="D6996" i="106" s="1"/>
  <c r="B906" i="106"/>
  <c r="D906" i="106" s="1"/>
  <c r="F53" i="29"/>
  <c r="B908" i="106" s="1"/>
  <c r="D908" i="106" s="1"/>
  <c r="B902" i="106"/>
  <c r="D902" i="106" s="1"/>
  <c r="F47" i="29"/>
  <c r="B905" i="106" s="1"/>
  <c r="D905" i="106" s="1"/>
  <c r="B6892" i="106"/>
  <c r="D6892" i="106" s="1"/>
  <c r="K28" i="29"/>
  <c r="B717" i="106"/>
  <c r="D717" i="106" s="1"/>
  <c r="K13" i="29"/>
  <c r="B1105" i="106" s="1"/>
  <c r="D1105" i="106" s="1"/>
  <c r="B3055" i="106"/>
  <c r="D3055" i="106" s="1"/>
  <c r="K10" i="29"/>
  <c r="B3062" i="106" s="1"/>
  <c r="D3062" i="106" s="1"/>
  <c r="B7748" i="106"/>
  <c r="D7748" i="106" s="1"/>
  <c r="K94" i="29"/>
  <c r="B6999" i="106" s="1"/>
  <c r="D6999" i="106" s="1"/>
  <c r="B6998" i="106"/>
  <c r="D6998" i="106" s="1"/>
  <c r="H92" i="29"/>
  <c r="K85" i="29"/>
  <c r="B6982" i="106" s="1"/>
  <c r="D6982" i="106" s="1"/>
  <c r="B6981" i="106"/>
  <c r="D6981" i="106" s="1"/>
  <c r="B988" i="106"/>
  <c r="D988" i="106" s="1"/>
  <c r="B983" i="106"/>
  <c r="D983" i="106" s="1"/>
  <c r="B981" i="106"/>
  <c r="D981" i="106" s="1"/>
  <c r="B980" i="106"/>
  <c r="D980" i="106" s="1"/>
  <c r="B979" i="106"/>
  <c r="D979" i="106" s="1"/>
  <c r="B973" i="106"/>
  <c r="D973" i="106" s="1"/>
  <c r="B970" i="106"/>
  <c r="D970" i="106" s="1"/>
  <c r="G57" i="29"/>
  <c r="B969" i="106" s="1"/>
  <c r="D969" i="106" s="1"/>
  <c r="B967" i="106"/>
  <c r="D967" i="106" s="1"/>
  <c r="B6936" i="106"/>
  <c r="D6936" i="106" s="1"/>
  <c r="B2722" i="106"/>
  <c r="D2722" i="106" s="1"/>
  <c r="B964" i="106"/>
  <c r="D964" i="106" s="1"/>
  <c r="B958" i="106"/>
  <c r="D958" i="106" s="1"/>
  <c r="B957" i="106"/>
  <c r="D957" i="106" s="1"/>
  <c r="B954" i="106"/>
  <c r="D954" i="106" s="1"/>
  <c r="B6894" i="106"/>
  <c r="D6894" i="106" s="1"/>
  <c r="K29" i="29"/>
  <c r="B6878" i="106"/>
  <c r="D6878" i="106" s="1"/>
  <c r="K21" i="29"/>
  <c r="B774" i="106"/>
  <c r="D774" i="106" s="1"/>
  <c r="B7258" i="106"/>
  <c r="D7258" i="106" s="1"/>
  <c r="B763" i="106"/>
  <c r="D763" i="106" s="1"/>
  <c r="B6753" i="106"/>
  <c r="D6753" i="106" s="1"/>
  <c r="B5085" i="106"/>
  <c r="D5085" i="106" s="1"/>
  <c r="B5079" i="106"/>
  <c r="D5079" i="106" s="1"/>
  <c r="B5073" i="106"/>
  <c r="D5073" i="106" s="1"/>
  <c r="B5065" i="106"/>
  <c r="D5065" i="106" s="1"/>
  <c r="F65" i="29"/>
  <c r="B919" i="106" s="1"/>
  <c r="D919" i="106" s="1"/>
  <c r="B912" i="106"/>
  <c r="D912" i="106" s="1"/>
  <c r="F42" i="29"/>
  <c r="B895" i="106"/>
  <c r="D895" i="106" s="1"/>
  <c r="B7257" i="106"/>
  <c r="D7257" i="106" s="1"/>
  <c r="K7" i="29"/>
  <c r="B6727" i="106"/>
  <c r="D6727" i="106" s="1"/>
  <c r="B5072" i="106"/>
  <c r="D5072" i="106" s="1"/>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B844" i="106"/>
  <c r="D844" i="106" s="1"/>
  <c r="E47" i="29"/>
  <c r="B847" i="106" s="1"/>
  <c r="D847" i="106" s="1"/>
  <c r="B837" i="106"/>
  <c r="D837" i="106" s="1"/>
  <c r="E42" i="29"/>
  <c r="B6890" i="106"/>
  <c r="D6890" i="106" s="1"/>
  <c r="K27" i="29"/>
  <c r="B6845" i="106"/>
  <c r="D6845" i="106" s="1"/>
  <c r="J33" i="29"/>
  <c r="D78" i="36"/>
  <c r="B4113" i="106"/>
  <c r="D4113" i="106" s="1"/>
  <c r="C18" i="4"/>
  <c r="B4131" i="106" s="1"/>
  <c r="D4131" i="106" s="1"/>
  <c r="B5163" i="106"/>
  <c r="D5163" i="106" s="1"/>
  <c r="B920" i="106"/>
  <c r="D920" i="106" s="1"/>
  <c r="B712" i="106"/>
  <c r="D712" i="106" s="1"/>
  <c r="K18" i="29"/>
  <c r="B1100" i="106" s="1"/>
  <c r="D1100" i="106" s="1"/>
  <c r="B1051" i="106"/>
  <c r="D1051" i="106" s="1"/>
  <c r="K109" i="29"/>
  <c r="B1149" i="106" s="1"/>
  <c r="D1149" i="106" s="1"/>
  <c r="K99" i="29"/>
  <c r="B7010" i="106" s="1"/>
  <c r="D7010" i="106" s="1"/>
  <c r="E100" i="29"/>
  <c r="B7011" i="106" s="1"/>
  <c r="D7011"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B786" i="106"/>
  <c r="D786" i="106" s="1"/>
  <c r="D47" i="29"/>
  <c r="B789" i="106" s="1"/>
  <c r="D789" i="106" s="1"/>
  <c r="B779" i="106"/>
  <c r="D779" i="106" s="1"/>
  <c r="D42" i="29"/>
  <c r="B6888" i="106"/>
  <c r="D6888" i="106" s="1"/>
  <c r="K26" i="29"/>
  <c r="B6844" i="106"/>
  <c r="D6844" i="106" s="1"/>
  <c r="B6031" i="106"/>
  <c r="D6031" i="106" s="1"/>
  <c r="B909" i="106"/>
  <c r="D909" i="106" s="1"/>
  <c r="F57" i="29"/>
  <c r="B911" i="106" s="1"/>
  <c r="D911" i="106" s="1"/>
  <c r="B6876" i="106"/>
  <c r="D6876" i="106" s="1"/>
  <c r="K20" i="29"/>
  <c r="B718" i="106"/>
  <c r="D718" i="106" s="1"/>
  <c r="K14" i="29"/>
  <c r="B1106" i="106" s="1"/>
  <c r="D1106" i="106" s="1"/>
  <c r="K9" i="29"/>
  <c r="B7251" i="106"/>
  <c r="D7251" i="106" s="1"/>
  <c r="K98" i="29"/>
  <c r="B7007" i="106" s="1"/>
  <c r="D7007" i="106" s="1"/>
  <c r="B7006" i="106"/>
  <c r="D7006" i="106" s="1"/>
  <c r="K89" i="29"/>
  <c r="B6990" i="106" s="1"/>
  <c r="D6990" i="106" s="1"/>
  <c r="B6989" i="106"/>
  <c r="D6989" i="106" s="1"/>
  <c r="K75" i="29"/>
  <c r="B756" i="106"/>
  <c r="D756" i="106" s="1"/>
  <c r="B754" i="106"/>
  <c r="D754" i="106" s="1"/>
  <c r="K73" i="29"/>
  <c r="B1142" i="106" s="1"/>
  <c r="D1142" i="106" s="1"/>
  <c r="B751" i="106"/>
  <c r="D751" i="106" s="1"/>
  <c r="B749" i="106"/>
  <c r="D749" i="106" s="1"/>
  <c r="B748" i="106"/>
  <c r="D748" i="106" s="1"/>
  <c r="B747" i="106"/>
  <c r="D747" i="106" s="1"/>
  <c r="C72" i="29"/>
  <c r="B753" i="106" s="1"/>
  <c r="D753" i="106" s="1"/>
  <c r="B746" i="106"/>
  <c r="D746" i="106" s="1"/>
  <c r="B743" i="106"/>
  <c r="D743" i="106" s="1"/>
  <c r="K63" i="29"/>
  <c r="B1130" i="106" s="1"/>
  <c r="D1130" i="106" s="1"/>
  <c r="B742" i="106"/>
  <c r="D742" i="106" s="1"/>
  <c r="B741" i="106"/>
  <c r="D741" i="106" s="1"/>
  <c r="B740" i="106"/>
  <c r="D740" i="106" s="1"/>
  <c r="K60" i="29"/>
  <c r="B1127" i="106" s="1"/>
  <c r="D1127" i="106" s="1"/>
  <c r="B739" i="106"/>
  <c r="D739" i="106" s="1"/>
  <c r="C65" i="29"/>
  <c r="B745" i="106" s="1"/>
  <c r="D745" i="106" s="1"/>
  <c r="B738" i="106"/>
  <c r="D738" i="106" s="1"/>
  <c r="B736" i="106"/>
  <c r="D736" i="106" s="1"/>
  <c r="K56" i="29"/>
  <c r="B735" i="106"/>
  <c r="D735" i="106" s="1"/>
  <c r="C57" i="29"/>
  <c r="B737" i="106" s="1"/>
  <c r="D737" i="106" s="1"/>
  <c r="K55" i="29"/>
  <c r="B6932" i="106"/>
  <c r="D6932" i="106" s="1"/>
  <c r="B2718" i="106"/>
  <c r="D2718" i="106" s="1"/>
  <c r="B733" i="106"/>
  <c r="D733" i="106" s="1"/>
  <c r="K50" i="29"/>
  <c r="K49"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B725" i="106"/>
  <c r="D725" i="106" s="1"/>
  <c r="K40" i="29"/>
  <c r="B1113" i="106" s="1"/>
  <c r="D1113" i="106" s="1"/>
  <c r="K39" i="29"/>
  <c r="B1112" i="106" s="1"/>
  <c r="D1112" i="106" s="1"/>
  <c r="B724" i="106"/>
  <c r="D724" i="106" s="1"/>
  <c r="K38" i="29"/>
  <c r="B1111" i="106" s="1"/>
  <c r="D1111" i="106" s="1"/>
  <c r="B723" i="106"/>
  <c r="D723" i="106" s="1"/>
  <c r="B722" i="106"/>
  <c r="D722" i="106" s="1"/>
  <c r="C42" i="29"/>
  <c r="B721" i="106"/>
  <c r="D721" i="106" s="1"/>
  <c r="B6886" i="106"/>
  <c r="D6886" i="106" s="1"/>
  <c r="K25" i="29"/>
  <c r="B6874" i="106"/>
  <c r="D6874" i="106" s="1"/>
  <c r="B3377" i="106"/>
  <c r="D3377" i="106" s="1"/>
  <c r="B7262" i="106"/>
  <c r="D7262" i="106" s="1"/>
  <c r="B995" i="106"/>
  <c r="D995" i="106" s="1"/>
  <c r="B5061" i="106"/>
  <c r="D5061" i="106" s="1"/>
  <c r="B4" i="7"/>
  <c r="B5110" i="106"/>
  <c r="D5110" i="106" s="1"/>
  <c r="F99" i="34"/>
  <c r="B5118" i="106"/>
  <c r="D5118" i="106" s="1"/>
  <c r="F104" i="34"/>
  <c r="B719" i="106"/>
  <c r="D719" i="106" s="1"/>
  <c r="K15" i="29"/>
  <c r="K97" i="29"/>
  <c r="B7005" i="106" s="1"/>
  <c r="D7005" i="106" s="1"/>
  <c r="B7004" i="106"/>
  <c r="D7004" i="106" s="1"/>
  <c r="B6987" i="106"/>
  <c r="D6987" i="106" s="1"/>
  <c r="K88" i="29"/>
  <c r="B6988" i="106" s="1"/>
  <c r="D6988" i="106" s="1"/>
  <c r="B6964" i="106"/>
  <c r="D6964" i="106" s="1"/>
  <c r="J72" i="29"/>
  <c r="B6974" i="106" s="1"/>
  <c r="D6974" i="106" s="1"/>
  <c r="B6951" i="106"/>
  <c r="D6951" i="106" s="1"/>
  <c r="J65" i="29"/>
  <c r="B6962" i="106" s="1"/>
  <c r="D6962" i="106" s="1"/>
  <c r="J57" i="29"/>
  <c r="B6949" i="106" s="1"/>
  <c r="D6949" i="106" s="1"/>
  <c r="B6945" i="106"/>
  <c r="D6945" i="106" s="1"/>
  <c r="B6927" i="106"/>
  <c r="D6927" i="106" s="1"/>
  <c r="J53" i="29"/>
  <c r="B6943" i="106" s="1"/>
  <c r="D6943" i="106" s="1"/>
  <c r="J47" i="29"/>
  <c r="B6925" i="106" s="1"/>
  <c r="D6925" i="106" s="1"/>
  <c r="B6919" i="106"/>
  <c r="D6919" i="106" s="1"/>
  <c r="B6907" i="106"/>
  <c r="D6907" i="106" s="1"/>
  <c r="B6900" i="106"/>
  <c r="D6900" i="106" s="1"/>
  <c r="K32" i="29"/>
  <c r="B6884" i="106"/>
  <c r="D6884" i="106" s="1"/>
  <c r="K24" i="29"/>
  <c r="B5088" i="106"/>
  <c r="D5088" i="106" s="1"/>
  <c r="B5067" i="106"/>
  <c r="D5067" i="106" s="1"/>
  <c r="C18" i="5"/>
  <c r="B5071" i="106" s="1"/>
  <c r="D5071" i="106" s="1"/>
  <c r="F163" i="34"/>
  <c r="K134" i="29"/>
  <c r="B4199" i="106"/>
  <c r="D4199" i="106" s="1"/>
  <c r="E137" i="29"/>
  <c r="B1236" i="106"/>
  <c r="D1236" i="106" s="1"/>
  <c r="F33" i="34"/>
  <c r="B5494" i="106"/>
  <c r="D5494" i="106" s="1"/>
  <c r="B4329" i="106"/>
  <c r="D4329" i="106" s="1"/>
  <c r="F124" i="34"/>
  <c r="E40" i="4"/>
  <c r="B6288" i="106" s="1"/>
  <c r="D6288" i="106" s="1"/>
  <c r="B6249" i="106"/>
  <c r="D6249" i="106" s="1"/>
  <c r="H147" i="29"/>
  <c r="B1268" i="106"/>
  <c r="D1268" i="106" s="1"/>
  <c r="K142" i="29"/>
  <c r="D127" i="29"/>
  <c r="B1231" i="106" s="1"/>
  <c r="D1231" i="106" s="1"/>
  <c r="B1227" i="106"/>
  <c r="D1227" i="106" s="1"/>
  <c r="B4075" i="106"/>
  <c r="D4075" i="106" s="1"/>
  <c r="B5426" i="106"/>
  <c r="D5426" i="106" s="1"/>
  <c r="D191" i="5"/>
  <c r="B5361" i="106"/>
  <c r="D5361" i="106" s="1"/>
  <c r="D121" i="5"/>
  <c r="B5343" i="106"/>
  <c r="D5343" i="106" s="1"/>
  <c r="D82" i="5"/>
  <c r="B5458" i="106"/>
  <c r="D5458" i="106" s="1"/>
  <c r="D224" i="5"/>
  <c r="B5470" i="106" s="1"/>
  <c r="D5470" i="106" s="1"/>
  <c r="K128" i="29"/>
  <c r="B1280" i="106" s="1"/>
  <c r="D1280" i="106" s="1"/>
  <c r="B1224" i="106"/>
  <c r="D1224" i="106" s="1"/>
  <c r="B4076" i="106"/>
  <c r="D4076" i="106"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B1219" i="106"/>
  <c r="D1219" i="106" s="1"/>
  <c r="C127" i="29"/>
  <c r="B1223" i="106" s="1"/>
  <c r="D1223" i="106" s="1"/>
  <c r="B4074" i="106"/>
  <c r="D4074" i="106" s="1"/>
  <c r="K120" i="29"/>
  <c r="B4806" i="106"/>
  <c r="D4806" i="106" s="1"/>
  <c r="B5333" i="106"/>
  <c r="D5333" i="106" s="1"/>
  <c r="B3414" i="106"/>
  <c r="D3414" i="106" s="1"/>
  <c r="D13" i="3"/>
  <c r="D35" i="36"/>
  <c r="D44" i="4"/>
  <c r="B7749" i="106"/>
  <c r="D7749" i="106" s="1"/>
  <c r="B7025" i="106"/>
  <c r="D7025" i="106" s="1"/>
  <c r="J127" i="29"/>
  <c r="B7034" i="106" s="1"/>
  <c r="D7034" i="106" s="1"/>
  <c r="B7023" i="106"/>
  <c r="D7023" i="106" s="1"/>
  <c r="F110" i="34"/>
  <c r="B5384" i="106"/>
  <c r="D5384" i="106" s="1"/>
  <c r="D140" i="5"/>
  <c r="B5383" i="106" s="1"/>
  <c r="D5383" i="106" s="1"/>
  <c r="B5370" i="106"/>
  <c r="D5370" i="106" s="1"/>
  <c r="D154" i="5"/>
  <c r="B5394" i="106" s="1"/>
  <c r="D5394" i="106" s="1"/>
  <c r="B5391" i="106"/>
  <c r="D5391" i="106" s="1"/>
  <c r="B7049" i="106"/>
  <c r="D7049" i="106" s="1"/>
  <c r="K148" i="29"/>
  <c r="B7050" i="106" s="1"/>
  <c r="D7050" i="106" s="1"/>
  <c r="B4201" i="106"/>
  <c r="D4201" i="106" s="1"/>
  <c r="K136" i="29"/>
  <c r="B2988" i="106" s="1"/>
  <c r="D2988" i="106" s="1"/>
  <c r="B7024" i="106"/>
  <c r="D7024" i="106" s="1"/>
  <c r="I127" i="29"/>
  <c r="B7033" i="106" s="1"/>
  <c r="D7033" i="106" s="1"/>
  <c r="B7022" i="106"/>
  <c r="D7022" i="106" s="1"/>
  <c r="B5424" i="106"/>
  <c r="D5424" i="106" s="1"/>
  <c r="B5357" i="106"/>
  <c r="D5357" i="106" s="1"/>
  <c r="D114" i="5"/>
  <c r="D108" i="5"/>
  <c r="B5355" i="106" s="1"/>
  <c r="D5355" i="106" s="1"/>
  <c r="B5349" i="106"/>
  <c r="D5349" i="106" s="1"/>
  <c r="L149" i="29"/>
  <c r="L147" i="29"/>
  <c r="B6251" i="106"/>
  <c r="D6251" i="106" s="1"/>
  <c r="H41" i="4"/>
  <c r="B6289" i="106" s="1"/>
  <c r="D6289" i="106" s="1"/>
  <c r="E39" i="4"/>
  <c r="B6287" i="106" s="1"/>
  <c r="D6287" i="106" s="1"/>
  <c r="B6247" i="106"/>
  <c r="D6247" i="106" s="1"/>
  <c r="B6241" i="106"/>
  <c r="D6241" i="106" s="1"/>
  <c r="H14" i="118"/>
  <c r="H19" i="118"/>
  <c r="B1270" i="106"/>
  <c r="D1270" i="106" s="1"/>
  <c r="K146" i="29"/>
  <c r="B1285" i="106" s="1"/>
  <c r="D1285" i="106" s="1"/>
  <c r="B1260" i="106"/>
  <c r="D1260" i="106" s="1"/>
  <c r="H127" i="29"/>
  <c r="B1264" i="106" s="1"/>
  <c r="D1264" i="106" s="1"/>
  <c r="B4079" i="106"/>
  <c r="D4079" i="106" s="1"/>
  <c r="B5440" i="106"/>
  <c r="D5440" i="106" s="1"/>
  <c r="D216" i="5"/>
  <c r="B4412" i="106" s="1"/>
  <c r="D4412" i="106" s="1"/>
  <c r="B5431" i="106"/>
  <c r="D5431" i="106" s="1"/>
  <c r="B5368" i="106"/>
  <c r="D5368" i="106" s="1"/>
  <c r="D131" i="5"/>
  <c r="B1269" i="106"/>
  <c r="D1269" i="106" s="1"/>
  <c r="K143" i="29"/>
  <c r="B1284" i="106" s="1"/>
  <c r="D1284" i="106" s="1"/>
  <c r="B2797" i="106"/>
  <c r="D2797" i="106" s="1"/>
  <c r="K130" i="29"/>
  <c r="K52" i="4"/>
  <c r="B3702" i="106" s="1"/>
  <c r="D3702" i="106" s="1"/>
  <c r="B3698" i="106"/>
  <c r="D3698" i="106" s="1"/>
  <c r="B2808" i="106"/>
  <c r="D2808" i="106" s="1"/>
  <c r="K145" i="29"/>
  <c r="B2811" i="106" s="1"/>
  <c r="D2811" i="106" s="1"/>
  <c r="K135" i="29"/>
  <c r="B2987" i="106" s="1"/>
  <c r="D2987" i="106" s="1"/>
  <c r="B4200" i="106"/>
  <c r="D4200" i="106" s="1"/>
  <c r="B1251" i="106"/>
  <c r="D1251" i="106" s="1"/>
  <c r="G127" i="29"/>
  <c r="B1256" i="106" s="1"/>
  <c r="D1256" i="106" s="1"/>
  <c r="B4078" i="106"/>
  <c r="D4078" i="106" s="1"/>
  <c r="B5422" i="106"/>
  <c r="D5422" i="106" s="1"/>
  <c r="D178" i="5"/>
  <c r="B5023" i="106"/>
  <c r="D5023" i="106" s="1"/>
  <c r="D76" i="4"/>
  <c r="B3237" i="106" s="1"/>
  <c r="D3237" i="106" s="1"/>
  <c r="H51" i="4"/>
  <c r="B3170" i="106" s="1"/>
  <c r="D3170" i="106" s="1"/>
  <c r="B3161" i="106"/>
  <c r="D3161" i="106" s="1"/>
  <c r="K144" i="29"/>
  <c r="B2810" i="106" s="1"/>
  <c r="D2810" i="106" s="1"/>
  <c r="B2807" i="106"/>
  <c r="D2807" i="106" s="1"/>
  <c r="B2979" i="106"/>
  <c r="D2979" i="106" s="1"/>
  <c r="H137" i="29"/>
  <c r="B1243" i="106"/>
  <c r="D1243" i="106" s="1"/>
  <c r="F127" i="29"/>
  <c r="B1247" i="106" s="1"/>
  <c r="D1247" i="106" s="1"/>
  <c r="B4077" i="106"/>
  <c r="D4077" i="106" s="1"/>
  <c r="D259" i="5"/>
  <c r="B6834" i="106" s="1"/>
  <c r="D6834" i="106" s="1"/>
  <c r="B6615" i="106"/>
  <c r="D6615" i="106" s="1"/>
  <c r="B5439" i="106"/>
  <c r="D5439" i="106" s="1"/>
  <c r="D18" i="5"/>
  <c r="B5339" i="106" s="1"/>
  <c r="D5339" i="106" s="1"/>
  <c r="B5335" i="106"/>
  <c r="D5335" i="106" s="1"/>
  <c r="E34" i="3"/>
  <c r="B6127" i="106"/>
  <c r="D6127" i="106" s="1"/>
  <c r="B1312" i="106"/>
  <c r="D1312" i="106" s="1"/>
  <c r="K169" i="29"/>
  <c r="B1326" i="106" s="1"/>
  <c r="D1326" i="106" s="1"/>
  <c r="K53" i="4"/>
  <c r="B3703" i="106" s="1"/>
  <c r="D3703" i="106" s="1"/>
  <c r="B3699" i="106"/>
  <c r="D3699" i="106" s="1"/>
  <c r="K167" i="29"/>
  <c r="B1327" i="106" s="1"/>
  <c r="D1327" i="106" s="1"/>
  <c r="B1313" i="106"/>
  <c r="D1313" i="106" s="1"/>
  <c r="B6368" i="106"/>
  <c r="D6368" i="106" s="1"/>
  <c r="E172" i="5"/>
  <c r="B5537" i="106" s="1"/>
  <c r="D5537" i="106" s="1"/>
  <c r="K166" i="29"/>
  <c r="B2819" i="106" s="1"/>
  <c r="D2819" i="106" s="1"/>
  <c r="B2813" i="106"/>
  <c r="D2813" i="106" s="1"/>
  <c r="B6714" i="106"/>
  <c r="D6714" i="106" s="1"/>
  <c r="E259" i="5"/>
  <c r="B5511" i="106"/>
  <c r="D5511" i="106" s="1"/>
  <c r="B15" i="7"/>
  <c r="K165" i="29"/>
  <c r="B2818" i="106" s="1"/>
  <c r="D2818" i="106" s="1"/>
  <c r="B2812" i="106"/>
  <c r="D2812" i="106" s="1"/>
  <c r="L168" i="29"/>
  <c r="L172" i="29" s="1"/>
  <c r="L174" i="29" s="1"/>
  <c r="B1311" i="106"/>
  <c r="D1311" i="106" s="1"/>
  <c r="K164" i="29"/>
  <c r="B1325" i="106" s="1"/>
  <c r="D1325" i="106" s="1"/>
  <c r="E178" i="5"/>
  <c r="B4364" i="106"/>
  <c r="D4364" i="106" s="1"/>
  <c r="B5514" i="106"/>
  <c r="D5514" i="106" s="1"/>
  <c r="E18" i="5"/>
  <c r="B5518" i="106" s="1"/>
  <c r="D5518" i="106" s="1"/>
  <c r="B1310" i="106"/>
  <c r="D1310" i="106" s="1"/>
  <c r="H168" i="29"/>
  <c r="K163" i="29"/>
  <c r="E121" i="5"/>
  <c r="B5528" i="106"/>
  <c r="D5528" i="106" s="1"/>
  <c r="E108" i="5"/>
  <c r="B5526" i="106" s="1"/>
  <c r="D5526" i="106" s="1"/>
  <c r="B5522" i="106"/>
  <c r="D5522" i="106" s="1"/>
  <c r="E13" i="3"/>
  <c r="B3417" i="106"/>
  <c r="D3417" i="106" s="1"/>
  <c r="D36" i="36"/>
  <c r="E76" i="4"/>
  <c r="B3276" i="106" s="1"/>
  <c r="D3276" i="106" s="1"/>
  <c r="B2817" i="106"/>
  <c r="D2817" i="106" s="1"/>
  <c r="E172" i="29"/>
  <c r="B1307" i="106"/>
  <c r="D1307" i="106" s="1"/>
  <c r="K171" i="29"/>
  <c r="B1330" i="106" s="1"/>
  <c r="D1330" i="106" s="1"/>
  <c r="K157" i="29"/>
  <c r="H160" i="29"/>
  <c r="B7777" i="106"/>
  <c r="D7777" i="106" s="1"/>
  <c r="K170" i="29"/>
  <c r="B1315" i="106"/>
  <c r="D1315" i="106" s="1"/>
  <c r="D69" i="36"/>
  <c r="B5512" i="106"/>
  <c r="D5512" i="106" s="1"/>
  <c r="B7751" i="106"/>
  <c r="D7751" i="106" s="1"/>
  <c r="B1371" i="106"/>
  <c r="D1371" i="106" s="1"/>
  <c r="K199" i="29"/>
  <c r="B2992" i="106"/>
  <c r="D2992" i="106" s="1"/>
  <c r="B4795" i="106"/>
  <c r="D4795" i="106" s="1"/>
  <c r="B5580" i="106"/>
  <c r="D5580" i="106" s="1"/>
  <c r="B5573" i="106"/>
  <c r="D5573" i="106" s="1"/>
  <c r="F91" i="34"/>
  <c r="F19" i="34"/>
  <c r="B5567" i="106"/>
  <c r="D5567" i="106" s="1"/>
  <c r="K207" i="29"/>
  <c r="B7070" i="106" s="1"/>
  <c r="D7070" i="106" s="1"/>
  <c r="B7069" i="106"/>
  <c r="D7069" i="106" s="1"/>
  <c r="B2829" i="106"/>
  <c r="D2829" i="106" s="1"/>
  <c r="B1369" i="106"/>
  <c r="D1369" i="106" s="1"/>
  <c r="B1366" i="106"/>
  <c r="D1366" i="106" s="1"/>
  <c r="B4311" i="106"/>
  <c r="D4311" i="106" s="1"/>
  <c r="B6315" i="106"/>
  <c r="D6315" i="106" s="1"/>
  <c r="F28" i="34"/>
  <c r="F18" i="5"/>
  <c r="B5562" i="106" s="1"/>
  <c r="D5562" i="106" s="1"/>
  <c r="B5558" i="106"/>
  <c r="D5558" i="106" s="1"/>
  <c r="B4210" i="106"/>
  <c r="D4210" i="106" s="1"/>
  <c r="K206" i="29"/>
  <c r="K195" i="29"/>
  <c r="B2839" i="106" s="1"/>
  <c r="D2839" i="106" s="1"/>
  <c r="B2824" i="106"/>
  <c r="D2824" i="106" s="1"/>
  <c r="B4085" i="106"/>
  <c r="D4085" i="106" s="1"/>
  <c r="B4318" i="106"/>
  <c r="D4318" i="106" s="1"/>
  <c r="B4877" i="106"/>
  <c r="D4877" i="106" s="1"/>
  <c r="B5578" i="106"/>
  <c r="D5578" i="106" s="1"/>
  <c r="F27" i="34"/>
  <c r="B5572" i="106"/>
  <c r="D5572" i="106" s="1"/>
  <c r="F89" i="34"/>
  <c r="B5566" i="106"/>
  <c r="D5566" i="106" s="1"/>
  <c r="F86" i="34"/>
  <c r="B5553" i="106"/>
  <c r="D5553" i="106" s="1"/>
  <c r="B7" i="7"/>
  <c r="B5691" i="106"/>
  <c r="D5691" i="106" s="1"/>
  <c r="F31" i="34"/>
  <c r="K205" i="29"/>
  <c r="B7068" i="106" s="1"/>
  <c r="D7068" i="106" s="1"/>
  <c r="B7067" i="106"/>
  <c r="D7067" i="106" s="1"/>
  <c r="B4084" i="106"/>
  <c r="D4084" i="106" s="1"/>
  <c r="F191" i="5"/>
  <c r="B5659" i="106"/>
  <c r="D5659" i="106" s="1"/>
  <c r="B5593" i="106"/>
  <c r="D5593" i="106" s="1"/>
  <c r="F26" i="34"/>
  <c r="B5577" i="106"/>
  <c r="D5577" i="106" s="1"/>
  <c r="F23" i="34"/>
  <c r="B5571" i="106"/>
  <c r="D5571" i="106" s="1"/>
  <c r="B5565" i="106"/>
  <c r="D5565" i="106" s="1"/>
  <c r="F85" i="34"/>
  <c r="F102" i="34"/>
  <c r="B5584" i="106"/>
  <c r="D5584" i="106" s="1"/>
  <c r="B1373" i="106"/>
  <c r="D1373" i="106" s="1"/>
  <c r="K203" i="29"/>
  <c r="B1385" i="106" s="1"/>
  <c r="D1385" i="106" s="1"/>
  <c r="K193" i="29"/>
  <c r="B3012" i="106" s="1"/>
  <c r="D3012" i="106" s="1"/>
  <c r="B2994" i="106"/>
  <c r="D2994" i="106" s="1"/>
  <c r="B2990" i="106"/>
  <c r="D2990" i="106" s="1"/>
  <c r="K189" i="29"/>
  <c r="B3008" i="106" s="1"/>
  <c r="D3008" i="106" s="1"/>
  <c r="B4083" i="106"/>
  <c r="D4083" i="106" s="1"/>
  <c r="E184" i="29"/>
  <c r="B6617" i="106"/>
  <c r="D6617" i="106" s="1"/>
  <c r="F259" i="5"/>
  <c r="B6836" i="106" s="1"/>
  <c r="D6836" i="106" s="1"/>
  <c r="B5576" i="106"/>
  <c r="D5576" i="106" s="1"/>
  <c r="F25" i="34"/>
  <c r="B5570" i="106"/>
  <c r="D5570" i="106" s="1"/>
  <c r="F88" i="34"/>
  <c r="F18" i="34"/>
  <c r="B5564" i="106"/>
  <c r="D5564" i="106" s="1"/>
  <c r="B5556" i="106"/>
  <c r="D5556" i="106" s="1"/>
  <c r="B5583" i="106"/>
  <c r="D5583" i="106" s="1"/>
  <c r="B2832" i="106"/>
  <c r="D2832" i="106" s="1"/>
  <c r="K202" i="29"/>
  <c r="B2842" i="106" s="1"/>
  <c r="D2842" i="106" s="1"/>
  <c r="B2995" i="106"/>
  <c r="D2995" i="106" s="1"/>
  <c r="B4082" i="106"/>
  <c r="D4082" i="106" s="1"/>
  <c r="D184" i="29"/>
  <c r="F184" i="5"/>
  <c r="B5658" i="106" s="1"/>
  <c r="D5658" i="106" s="1"/>
  <c r="B4804" i="106"/>
  <c r="D4804" i="106" s="1"/>
  <c r="B7764" i="106"/>
  <c r="D7764" i="106" s="1"/>
  <c r="F93" i="34"/>
  <c r="B6313" i="106"/>
  <c r="D6313" i="106" s="1"/>
  <c r="F22" i="34"/>
  <c r="B5563" i="106"/>
  <c r="D5563" i="106" s="1"/>
  <c r="F84" i="34"/>
  <c r="D37" i="36"/>
  <c r="B3419" i="106"/>
  <c r="D3419" i="106" s="1"/>
  <c r="B5024" i="106"/>
  <c r="D5024" i="106" s="1"/>
  <c r="D71" i="36"/>
  <c r="B5014" i="106"/>
  <c r="D5014" i="106" s="1"/>
  <c r="B2831" i="106"/>
  <c r="D2831" i="106" s="1"/>
  <c r="K201" i="29"/>
  <c r="B2841" i="106" s="1"/>
  <c r="D2841" i="106" s="1"/>
  <c r="K188" i="29"/>
  <c r="B2989" i="106"/>
  <c r="D2989" i="106" s="1"/>
  <c r="K185" i="29"/>
  <c r="B2820" i="106"/>
  <c r="D2820" i="106" s="1"/>
  <c r="B1338" i="106"/>
  <c r="D1338" i="106" s="1"/>
  <c r="B1335" i="106"/>
  <c r="D1335" i="106" s="1"/>
  <c r="B5665" i="106"/>
  <c r="D5665" i="106" s="1"/>
  <c r="F154" i="5"/>
  <c r="B5618" i="106" s="1"/>
  <c r="D5618" i="106" s="1"/>
  <c r="B5615" i="106"/>
  <c r="D5615" i="106" s="1"/>
  <c r="F114" i="5"/>
  <c r="B5589" i="106"/>
  <c r="D5589" i="106" s="1"/>
  <c r="F92" i="34"/>
  <c r="B5575" i="106"/>
  <c r="D5575" i="106" s="1"/>
  <c r="B4342" i="106"/>
  <c r="D4342" i="106" s="1"/>
  <c r="F32" i="34"/>
  <c r="B5692" i="106"/>
  <c r="D5692" i="106" s="1"/>
  <c r="H204" i="29"/>
  <c r="B2998" i="106"/>
  <c r="D2998" i="106" s="1"/>
  <c r="B7060" i="106"/>
  <c r="D7060" i="106" s="1"/>
  <c r="B5673" i="106"/>
  <c r="D5673" i="106" s="1"/>
  <c r="F216" i="5"/>
  <c r="B4413" i="106" s="1"/>
  <c r="D4413" i="106" s="1"/>
  <c r="B5664" i="106"/>
  <c r="D5664" i="106" s="1"/>
  <c r="F211" i="5"/>
  <c r="B5677" i="106" s="1"/>
  <c r="D5677" i="106" s="1"/>
  <c r="B5654" i="106"/>
  <c r="D5654" i="106" s="1"/>
  <c r="F178" i="5"/>
  <c r="B5600" i="106"/>
  <c r="D5600" i="106" s="1"/>
  <c r="F24" i="34"/>
  <c r="B5574" i="106"/>
  <c r="D5574" i="106" s="1"/>
  <c r="B5585" i="106"/>
  <c r="D5585" i="106" s="1"/>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B5858" i="106"/>
  <c r="D5858" i="106" s="1"/>
  <c r="F168" i="34"/>
  <c r="B6805" i="106"/>
  <c r="D6805" i="106" s="1"/>
  <c r="B6741" i="106"/>
  <c r="D6741" i="106" s="1"/>
  <c r="B6678" i="106"/>
  <c r="D6678" i="106" s="1"/>
  <c r="B6618" i="106"/>
  <c r="D6618" i="106" s="1"/>
  <c r="B5798" i="106"/>
  <c r="D5798" i="106" s="1"/>
  <c r="B6392" i="106"/>
  <c r="D6392" i="106" s="1"/>
  <c r="B5757" i="106"/>
  <c r="D5757" i="106" s="1"/>
  <c r="G144" i="5"/>
  <c r="B5754" i="106"/>
  <c r="D5754" i="106" s="1"/>
  <c r="B5731" i="106"/>
  <c r="D5731" i="106" s="1"/>
  <c r="B8" i="7"/>
  <c r="B5721" i="106"/>
  <c r="D5721" i="106" s="1"/>
  <c r="L277" i="29"/>
  <c r="B3259" i="106"/>
  <c r="D3259" i="106" s="1"/>
  <c r="G76" i="4"/>
  <c r="B3260" i="106" s="1"/>
  <c r="D3260" i="106" s="1"/>
  <c r="K291" i="29"/>
  <c r="B2846" i="106" s="1"/>
  <c r="D2846" i="106" s="1"/>
  <c r="B2844" i="106"/>
  <c r="D2844" i="106" s="1"/>
  <c r="B1442" i="106"/>
  <c r="D1442" i="106" s="1"/>
  <c r="K276" i="29"/>
  <c r="B1506" i="106" s="1"/>
  <c r="D1506" i="106" s="1"/>
  <c r="B1431" i="106"/>
  <c r="D1431" i="106" s="1"/>
  <c r="K266" i="29"/>
  <c r="B1495" i="106" s="1"/>
  <c r="D1495" i="106" s="1"/>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B3387" i="106"/>
  <c r="D3387" i="106" s="1"/>
  <c r="K215" i="29"/>
  <c r="F167" i="34"/>
  <c r="B5856" i="106"/>
  <c r="D5856" i="106" s="1"/>
  <c r="B6797" i="106"/>
  <c r="D6797" i="106" s="1"/>
  <c r="F156" i="34"/>
  <c r="B6733" i="106"/>
  <c r="D6733" i="106" s="1"/>
  <c r="B6670" i="106"/>
  <c r="D6670" i="106" s="1"/>
  <c r="F143" i="34"/>
  <c r="B4919" i="106"/>
  <c r="D4919" i="106" s="1"/>
  <c r="B6349" i="106"/>
  <c r="D6349" i="106" s="1"/>
  <c r="K290" i="29"/>
  <c r="B2845" i="106" s="1"/>
  <c r="D2845" i="106" s="1"/>
  <c r="B2843" i="106"/>
  <c r="D2843" i="106" s="1"/>
  <c r="B1440" i="106"/>
  <c r="D1440" i="106" s="1"/>
  <c r="K275" i="29"/>
  <c r="B1504" i="106" s="1"/>
  <c r="D1504" i="106" s="1"/>
  <c r="B1430" i="106"/>
  <c r="D1430" i="106" s="1"/>
  <c r="K265" i="29"/>
  <c r="B1494" i="106" s="1"/>
  <c r="D1494" i="106" s="1"/>
  <c r="B7091" i="106"/>
  <c r="D7091" i="106" s="1"/>
  <c r="K253" i="29"/>
  <c r="B7092" i="106" s="1"/>
  <c r="D7092" i="106" s="1"/>
  <c r="B1422" i="106"/>
  <c r="D1422"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B5785" i="106"/>
  <c r="D5785" i="106" s="1"/>
  <c r="G191" i="5"/>
  <c r="B6387" i="106"/>
  <c r="D6387" i="106" s="1"/>
  <c r="G34" i="3"/>
  <c r="B6129" i="106"/>
  <c r="D6129" i="106" s="1"/>
  <c r="B1450" i="106"/>
  <c r="D1450" i="106" s="1"/>
  <c r="K289" i="29"/>
  <c r="B1513" i="106" s="1"/>
  <c r="D1513" i="106" s="1"/>
  <c r="B1439" i="106"/>
  <c r="D1439" i="106" s="1"/>
  <c r="K274" i="29"/>
  <c r="B1503" i="106" s="1"/>
  <c r="D1503" i="106" s="1"/>
  <c r="B1429" i="106"/>
  <c r="D1429" i="106" s="1"/>
  <c r="K264" i="29"/>
  <c r="B1493" i="106" s="1"/>
  <c r="D1493" i="106" s="1"/>
  <c r="D27" i="108"/>
  <c r="B7089" i="106"/>
  <c r="D7089" i="106" s="1"/>
  <c r="K252" i="29"/>
  <c r="B7090" i="106" s="1"/>
  <c r="D7090" i="106" s="1"/>
  <c r="B1420" i="106"/>
  <c r="D1420" i="106" s="1"/>
  <c r="K242" i="29"/>
  <c r="B1484" i="106" s="1"/>
  <c r="D1484" i="106" s="1"/>
  <c r="B1411" i="106"/>
  <c r="D1411" i="106" s="1"/>
  <c r="K232" i="29"/>
  <c r="D238" i="29"/>
  <c r="K221" i="29"/>
  <c r="B1406" i="106"/>
  <c r="D1406" i="106" s="1"/>
  <c r="D17" i="171"/>
  <c r="F173" i="34"/>
  <c r="B4448" i="106"/>
  <c r="D4448" i="106" s="1"/>
  <c r="B5855" i="106"/>
  <c r="D5855" i="106" s="1"/>
  <c r="B6781" i="106"/>
  <c r="D6781" i="106" s="1"/>
  <c r="B6716" i="106"/>
  <c r="D6716" i="106" s="1"/>
  <c r="F147" i="34"/>
  <c r="F141" i="34"/>
  <c r="B6654" i="106"/>
  <c r="D6654" i="106" s="1"/>
  <c r="B5844" i="106"/>
  <c r="D5844" i="106" s="1"/>
  <c r="G228" i="5"/>
  <c r="B6384" i="106"/>
  <c r="D6384" i="106" s="1"/>
  <c r="F117" i="34"/>
  <c r="B6380" i="106"/>
  <c r="D6380" i="106" s="1"/>
  <c r="G154" i="5"/>
  <c r="B5742" i="106"/>
  <c r="D5742" i="106" s="1"/>
  <c r="G121" i="5"/>
  <c r="G108" i="5"/>
  <c r="B5737" i="106" s="1"/>
  <c r="D5737" i="106" s="1"/>
  <c r="B5734" i="106"/>
  <c r="D5734" i="106" s="1"/>
  <c r="B6402" i="106"/>
  <c r="D6402" i="106" s="1"/>
  <c r="B5823" i="106"/>
  <c r="D5823" i="106" s="1"/>
  <c r="F132" i="34"/>
  <c r="B5821" i="106"/>
  <c r="D5821" i="106" s="1"/>
  <c r="B5817" i="106"/>
  <c r="D5817" i="106" s="1"/>
  <c r="H293" i="29"/>
  <c r="B1449" i="106"/>
  <c r="D1449" i="106" s="1"/>
  <c r="K288" i="29"/>
  <c r="B1438" i="106"/>
  <c r="D1438" i="106" s="1"/>
  <c r="K273" i="29"/>
  <c r="B1502" i="106" s="1"/>
  <c r="D1502" i="106" s="1"/>
  <c r="B1428" i="106"/>
  <c r="D1428" i="106" s="1"/>
  <c r="D270" i="29"/>
  <c r="B1436" i="106" s="1"/>
  <c r="D1436" i="106" s="1"/>
  <c r="K263" i="29"/>
  <c r="B7087" i="106"/>
  <c r="D7087" i="106" s="1"/>
  <c r="K251" i="29"/>
  <c r="B7088" i="106" s="1"/>
  <c r="D7088" i="106" s="1"/>
  <c r="B1419" i="106"/>
  <c r="D1419" i="106" s="1"/>
  <c r="K241" i="29"/>
  <c r="B1483" i="106" s="1"/>
  <c r="D1483" i="106" s="1"/>
  <c r="B3389" i="106"/>
  <c r="D3389" i="106" s="1"/>
  <c r="K228" i="29"/>
  <c r="B3392" i="106" s="1"/>
  <c r="D3392" i="106" s="1"/>
  <c r="K220" i="29"/>
  <c r="B7077" i="106"/>
  <c r="D7077" i="106" s="1"/>
  <c r="F172" i="34"/>
  <c r="B4361" i="106"/>
  <c r="D4361" i="106" s="1"/>
  <c r="B6843" i="106"/>
  <c r="D6843" i="106" s="1"/>
  <c r="F164" i="34"/>
  <c r="B6773" i="106"/>
  <c r="D6773" i="106" s="1"/>
  <c r="B6646" i="106"/>
  <c r="D6646" i="106" s="1"/>
  <c r="G184" i="5"/>
  <c r="B4810" i="106"/>
  <c r="D4810" i="106" s="1"/>
  <c r="B5768" i="106"/>
  <c r="D5768" i="106" s="1"/>
  <c r="B5726" i="106"/>
  <c r="D5726" i="106" s="1"/>
  <c r="G18" i="5"/>
  <c r="B5730" i="106" s="1"/>
  <c r="D5730" i="106" s="1"/>
  <c r="L238" i="29"/>
  <c r="L270" i="29"/>
  <c r="L285" i="29"/>
  <c r="K284" i="29"/>
  <c r="B4166" i="106" s="1"/>
  <c r="D4166" i="106" s="1"/>
  <c r="B4165" i="106"/>
  <c r="D4165" i="106" s="1"/>
  <c r="D277" i="29"/>
  <c r="B1444" i="106" s="1"/>
  <c r="D1444" i="106" s="1"/>
  <c r="B1437" i="106"/>
  <c r="D1437" i="106" s="1"/>
  <c r="K272" i="29"/>
  <c r="B1426" i="106"/>
  <c r="D1426" i="106" s="1"/>
  <c r="K260" i="29"/>
  <c r="B1490" i="106" s="1"/>
  <c r="D1490" i="106" s="1"/>
  <c r="B7085" i="106"/>
  <c r="D7085" i="106" s="1"/>
  <c r="K250" i="29"/>
  <c r="B7086" i="106" s="1"/>
  <c r="D7086" i="106" s="1"/>
  <c r="B1418" i="106"/>
  <c r="D1418" i="106" s="1"/>
  <c r="D243" i="29"/>
  <c r="K240" i="29"/>
  <c r="B1402" i="106"/>
  <c r="D1402" i="106" s="1"/>
  <c r="K227" i="29"/>
  <c r="B1466" i="106" s="1"/>
  <c r="D1466" i="106" s="1"/>
  <c r="K219" i="29"/>
  <c r="B3065" i="106" s="1"/>
  <c r="D3065" i="106" s="1"/>
  <c r="B3064" i="106"/>
  <c r="D3064" i="106" s="1"/>
  <c r="B4192" i="106"/>
  <c r="D4192" i="106" s="1"/>
  <c r="B6829" i="106"/>
  <c r="D6829" i="106" s="1"/>
  <c r="B6765" i="106"/>
  <c r="D6765" i="106" s="1"/>
  <c r="B6638" i="106"/>
  <c r="D6638" i="106" s="1"/>
  <c r="B5767" i="106"/>
  <c r="D5767" i="106" s="1"/>
  <c r="B5739" i="106"/>
  <c r="D5739" i="106" s="1"/>
  <c r="B5722" i="106"/>
  <c r="D5722" i="106" s="1"/>
  <c r="K283" i="29"/>
  <c r="B3721" i="106"/>
  <c r="D3721" i="106" s="1"/>
  <c r="D285" i="29"/>
  <c r="B3722" i="106" s="1"/>
  <c r="D3722" i="106" s="1"/>
  <c r="B1434" i="106"/>
  <c r="D1434" i="106" s="1"/>
  <c r="K269" i="29"/>
  <c r="B1498" i="106" s="1"/>
  <c r="D1498" i="106" s="1"/>
  <c r="D261" i="29"/>
  <c r="K259" i="29"/>
  <c r="B1425" i="106"/>
  <c r="D1425" i="106" s="1"/>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F159" i="34"/>
  <c r="B6821" i="106"/>
  <c r="D6821" i="106" s="1"/>
  <c r="B6757" i="106"/>
  <c r="D6757" i="106" s="1"/>
  <c r="F151" i="34"/>
  <c r="B6693" i="106"/>
  <c r="D6693" i="106" s="1"/>
  <c r="B6630" i="106"/>
  <c r="D6630" i="106" s="1"/>
  <c r="G216" i="5"/>
  <c r="B5799" i="106"/>
  <c r="D5799" i="106" s="1"/>
  <c r="B5790" i="106"/>
  <c r="D5790" i="106" s="1"/>
  <c r="B5779" i="106"/>
  <c r="D5779" i="106" s="1"/>
  <c r="G178" i="5"/>
  <c r="F109" i="34"/>
  <c r="B4353" i="106"/>
  <c r="D4353" i="106" s="1"/>
  <c r="L293" i="29"/>
  <c r="B7752" i="106"/>
  <c r="D7752" i="106" s="1"/>
  <c r="G44" i="4"/>
  <c r="B1447" i="106"/>
  <c r="D1447" i="106" s="1"/>
  <c r="K280" i="29"/>
  <c r="E39" i="108"/>
  <c r="G39" i="108"/>
  <c r="K268" i="29"/>
  <c r="B1497" i="106" s="1"/>
  <c r="D1497" i="106" s="1"/>
  <c r="B1433" i="106"/>
  <c r="D1433" i="106" s="1"/>
  <c r="B7097" i="106"/>
  <c r="D7097" i="106" s="1"/>
  <c r="K256" i="29"/>
  <c r="B7098" i="106" s="1"/>
  <c r="D7098" i="106" s="1"/>
  <c r="K236" i="29"/>
  <c r="B1479" i="106" s="1"/>
  <c r="D1479" i="106" s="1"/>
  <c r="B1415" i="106"/>
  <c r="D1415" i="106" s="1"/>
  <c r="B1396" i="106"/>
  <c r="D1396" i="106" s="1"/>
  <c r="K225" i="29"/>
  <c r="B1460" i="106" s="1"/>
  <c r="D1460" i="106" s="1"/>
  <c r="B3388" i="106"/>
  <c r="D3388" i="106" s="1"/>
  <c r="K217" i="29"/>
  <c r="B3391" i="106" s="1"/>
  <c r="D3391" i="106" s="1"/>
  <c r="B5860" i="106"/>
  <c r="D5860" i="106" s="1"/>
  <c r="F158" i="34"/>
  <c r="B6813" i="106"/>
  <c r="D6813" i="106" s="1"/>
  <c r="B4335" i="106"/>
  <c r="D4335" i="106" s="1"/>
  <c r="B5763" i="106"/>
  <c r="D5763" i="106" s="1"/>
  <c r="B5724" i="106"/>
  <c r="D5724" i="106" s="1"/>
  <c r="B6404" i="106"/>
  <c r="D6404" i="106" s="1"/>
  <c r="B5822" i="106"/>
  <c r="D5822" i="106" s="1"/>
  <c r="B5818" i="106"/>
  <c r="D5818" i="106" s="1"/>
  <c r="B7106" i="106"/>
  <c r="D7106" i="106" s="1"/>
  <c r="H310" i="29"/>
  <c r="B7115" i="106" s="1"/>
  <c r="D7115" i="106" s="1"/>
  <c r="D303" i="29"/>
  <c r="B1525" i="106"/>
  <c r="D1525" i="106" s="1"/>
  <c r="B5907" i="106"/>
  <c r="D5907" i="106" s="1"/>
  <c r="H184" i="5"/>
  <c r="B5908" i="106" s="1"/>
  <c r="D5908" i="106" s="1"/>
  <c r="B5871" i="106"/>
  <c r="D5871" i="106" s="1"/>
  <c r="B9" i="7"/>
  <c r="B6245" i="106"/>
  <c r="D6245" i="106" s="1"/>
  <c r="E38" i="4"/>
  <c r="B6286" i="106" s="1"/>
  <c r="D6286" i="106" s="1"/>
  <c r="B7753" i="106"/>
  <c r="D7753" i="106" s="1"/>
  <c r="K306" i="29"/>
  <c r="E310" i="29"/>
  <c r="B7114" i="106" s="1"/>
  <c r="D7114" i="106" s="1"/>
  <c r="B7105" i="106"/>
  <c r="D7105" i="106" s="1"/>
  <c r="B1522" i="106"/>
  <c r="D1522" i="106" s="1"/>
  <c r="K302" i="29"/>
  <c r="B1558" i="106" s="1"/>
  <c r="D1558" i="106" s="1"/>
  <c r="C303" i="29"/>
  <c r="B1519" i="106"/>
  <c r="D1519" i="106" s="1"/>
  <c r="K301" i="29"/>
  <c r="B6371" i="106"/>
  <c r="D6371" i="106" s="1"/>
  <c r="H172" i="5"/>
  <c r="B5899" i="106" s="1"/>
  <c r="D5899" i="106" s="1"/>
  <c r="B7100" i="106"/>
  <c r="D7100" i="106" s="1"/>
  <c r="J303" i="29"/>
  <c r="H178" i="5"/>
  <c r="B4365" i="106"/>
  <c r="D4365" i="106" s="1"/>
  <c r="B7043" i="106"/>
  <c r="D7043" i="106" s="1"/>
  <c r="B6130" i="106"/>
  <c r="D6130" i="106" s="1"/>
  <c r="H34" i="3"/>
  <c r="B7112" i="106"/>
  <c r="D7112" i="106" s="1"/>
  <c r="K309" i="29"/>
  <c r="B3717" i="106" s="1"/>
  <c r="D3717" i="106" s="1"/>
  <c r="B7099" i="106"/>
  <c r="D7099" i="106" s="1"/>
  <c r="I303" i="29"/>
  <c r="B1549" i="106"/>
  <c r="D1549" i="106" s="1"/>
  <c r="H303" i="29"/>
  <c r="H18" i="5"/>
  <c r="B5878" i="106" s="1"/>
  <c r="D5878" i="106" s="1"/>
  <c r="B5874" i="106"/>
  <c r="D5874" i="106" s="1"/>
  <c r="B5882" i="106"/>
  <c r="D5882" i="106" s="1"/>
  <c r="H108" i="5"/>
  <c r="B5886" i="106" s="1"/>
  <c r="D5886" i="106" s="1"/>
  <c r="E37" i="4"/>
  <c r="B6242" i="106"/>
  <c r="D6242" i="106" s="1"/>
  <c r="B7110" i="106"/>
  <c r="D7110" i="106" s="1"/>
  <c r="K308" i="29"/>
  <c r="B4100" i="106" s="1"/>
  <c r="D4100" i="106" s="1"/>
  <c r="G303" i="29"/>
  <c r="B1543" i="106"/>
  <c r="D1543" i="106" s="1"/>
  <c r="H259" i="5"/>
  <c r="B6619" i="106"/>
  <c r="D6619" i="106" s="1"/>
  <c r="B5887" i="106"/>
  <c r="D5887" i="106" s="1"/>
  <c r="H121" i="5"/>
  <c r="B6299" i="106"/>
  <c r="D6299" i="106" s="1"/>
  <c r="F303" i="29"/>
  <c r="B1537" i="106"/>
  <c r="D1537" i="106" s="1"/>
  <c r="B2848" i="106"/>
  <c r="D2848" i="106" s="1"/>
  <c r="B7108" i="106"/>
  <c r="D7108" i="106" s="1"/>
  <c r="K307" i="29"/>
  <c r="B4099" i="106" s="1"/>
  <c r="D4099" i="106" s="1"/>
  <c r="B1531" i="106"/>
  <c r="D1531" i="106" s="1"/>
  <c r="E303" i="29"/>
  <c r="B5872" i="106"/>
  <c r="D5872" i="106" s="1"/>
  <c r="I34" i="3"/>
  <c r="B6139" i="106"/>
  <c r="D6139" i="106" s="1"/>
  <c r="I18" i="5"/>
  <c r="B5923" i="106" s="1"/>
  <c r="D5923" i="106" s="1"/>
  <c r="B5919" i="106"/>
  <c r="D5919" i="106" s="1"/>
  <c r="B4215" i="106"/>
  <c r="D4215" i="106" s="1"/>
  <c r="I172" i="5"/>
  <c r="B5927" i="106"/>
  <c r="D5927" i="106" s="1"/>
  <c r="I108" i="5"/>
  <c r="B5930" i="106" s="1"/>
  <c r="D5930" i="106" s="1"/>
  <c r="B5917" i="106"/>
  <c r="D5917" i="106" s="1"/>
  <c r="B2772" i="106"/>
  <c r="D2772" i="106" s="1"/>
  <c r="I44" i="4"/>
  <c r="B3317" i="106" s="1"/>
  <c r="D3317" i="106" s="1"/>
  <c r="B7125" i="106"/>
  <c r="D7125" i="106" s="1"/>
  <c r="J330" i="29"/>
  <c r="B6353" i="106"/>
  <c r="D6353" i="106" s="1"/>
  <c r="J121" i="5"/>
  <c r="J34" i="3"/>
  <c r="B6131" i="106"/>
  <c r="D6131" i="106" s="1"/>
  <c r="I330" i="29"/>
  <c r="B7124" i="106"/>
  <c r="D7124" i="106" s="1"/>
  <c r="B6398" i="106"/>
  <c r="D6398" i="106" s="1"/>
  <c r="J178" i="5"/>
  <c r="H330" i="29"/>
  <c r="B7123" i="106"/>
  <c r="D7123" i="106" s="1"/>
  <c r="B6395" i="106"/>
  <c r="D6395" i="106" s="1"/>
  <c r="B6319" i="106"/>
  <c r="D6319" i="106" s="1"/>
  <c r="J108" i="5"/>
  <c r="B6351" i="106" s="1"/>
  <c r="D6351" i="106" s="1"/>
  <c r="G330" i="29"/>
  <c r="B7122" i="106"/>
  <c r="D7122" i="106" s="1"/>
  <c r="J76" i="4"/>
  <c r="B6261" i="106" s="1"/>
  <c r="D6261" i="106" s="1"/>
  <c r="B6239" i="106"/>
  <c r="D6239" i="106" s="1"/>
  <c r="B7754" i="106"/>
  <c r="D7754" i="106" s="1"/>
  <c r="J44" i="4"/>
  <c r="B7121" i="106"/>
  <c r="D7121" i="106" s="1"/>
  <c r="F330" i="29"/>
  <c r="J172" i="5"/>
  <c r="B6396" i="106" s="1"/>
  <c r="D6396" i="106" s="1"/>
  <c r="B6373" i="106"/>
  <c r="D6373" i="106" s="1"/>
  <c r="B7212" i="106"/>
  <c r="D7212" i="106" s="1"/>
  <c r="K339" i="29"/>
  <c r="B7213" i="106" s="1"/>
  <c r="D7213" i="106" s="1"/>
  <c r="B7120" i="106"/>
  <c r="D7120" i="106" s="1"/>
  <c r="E330" i="29"/>
  <c r="J12" i="5"/>
  <c r="B6298" i="106"/>
  <c r="D6298" i="106" s="1"/>
  <c r="B11" i="7"/>
  <c r="B7210" i="106"/>
  <c r="D7210" i="106" s="1"/>
  <c r="K338" i="29"/>
  <c r="B7211" i="106" s="1"/>
  <c r="D7211" i="106" s="1"/>
  <c r="B7119" i="106"/>
  <c r="D7119" i="106" s="1"/>
  <c r="D330" i="29"/>
  <c r="B7208" i="106"/>
  <c r="D7208" i="106" s="1"/>
  <c r="K337" i="29"/>
  <c r="H340" i="29"/>
  <c r="B7214" i="106" s="1"/>
  <c r="D7214" i="106" s="1"/>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B7163" i="106"/>
  <c r="D7163" i="106" s="1"/>
  <c r="K324" i="29"/>
  <c r="B7171" i="106" s="1"/>
  <c r="D7171" i="106" s="1"/>
  <c r="B7154" i="106"/>
  <c r="D7154" i="106" s="1"/>
  <c r="K323" i="29"/>
  <c r="B7162" i="106" s="1"/>
  <c r="D7162" i="106" s="1"/>
  <c r="B7145" i="106"/>
  <c r="D7145" i="106" s="1"/>
  <c r="K322" i="29"/>
  <c r="B7153" i="106" s="1"/>
  <c r="D7153" i="106" s="1"/>
  <c r="K321" i="29"/>
  <c r="B7144" i="106" s="1"/>
  <c r="D7144" i="106" s="1"/>
  <c r="B7136" i="106"/>
  <c r="D7136" i="106" s="1"/>
  <c r="B7127" i="106"/>
  <c r="D7127" i="106" s="1"/>
  <c r="K320" i="29"/>
  <c r="B7135" i="106" s="1"/>
  <c r="D7135" i="106" s="1"/>
  <c r="B7118" i="106"/>
  <c r="D7118" i="106" s="1"/>
  <c r="C330" i="29"/>
  <c r="K319" i="29"/>
  <c r="J18" i="5"/>
  <c r="B6306" i="106" s="1"/>
  <c r="D6306" i="106" s="1"/>
  <c r="B6302" i="106"/>
  <c r="D6302" i="106" s="1"/>
  <c r="B6296" i="106"/>
  <c r="D6296" i="106" s="1"/>
  <c r="D73" i="36"/>
  <c r="B7240" i="106"/>
  <c r="D7240" i="106" s="1"/>
  <c r="K363" i="29"/>
  <c r="B7241" i="106" s="1"/>
  <c r="D7241" i="106" s="1"/>
  <c r="B3638" i="106"/>
  <c r="D3638" i="106" s="1"/>
  <c r="F350" i="29"/>
  <c r="K18" i="5"/>
  <c r="B5992" i="106" s="1"/>
  <c r="D5992" i="106" s="1"/>
  <c r="B5988" i="106"/>
  <c r="D5988" i="106" s="1"/>
  <c r="L362" i="29"/>
  <c r="L365" i="29" s="1"/>
  <c r="K361" i="29"/>
  <c r="B7239" i="106" s="1"/>
  <c r="D7239" i="106" s="1"/>
  <c r="B7238" i="106"/>
  <c r="D7238" i="106" s="1"/>
  <c r="B3631" i="106"/>
  <c r="D3631" i="106" s="1"/>
  <c r="E350" i="29"/>
  <c r="B6000" i="106"/>
  <c r="D6000" i="106" s="1"/>
  <c r="K121" i="5"/>
  <c r="B5996" i="106"/>
  <c r="D5996" i="106" s="1"/>
  <c r="K108" i="5"/>
  <c r="B5999" i="106" s="1"/>
  <c r="D5999" i="106" s="1"/>
  <c r="H362" i="29"/>
  <c r="B3657" i="106"/>
  <c r="D3657" i="106" s="1"/>
  <c r="K360" i="29"/>
  <c r="B3624" i="106"/>
  <c r="D3624" i="106" s="1"/>
  <c r="D350" i="29"/>
  <c r="B3546" i="106"/>
  <c r="D3546" i="106" s="1"/>
  <c r="D42" i="36"/>
  <c r="K13" i="3"/>
  <c r="B6132" i="106"/>
  <c r="D6132" i="106" s="1"/>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6257" i="106"/>
  <c r="D6257" i="106" s="1"/>
  <c r="B3579" i="106"/>
  <c r="D3579" i="106" s="1"/>
  <c r="D68" i="36"/>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B12" i="7"/>
  <c r="B5985" i="106"/>
  <c r="D5985" i="106" s="1"/>
  <c r="K12" i="5"/>
  <c r="K44" i="4"/>
  <c r="B7755" i="106"/>
  <c r="D7755" i="106" s="1"/>
  <c r="I47" i="4"/>
  <c r="G350" i="29"/>
  <c r="B3645" i="106"/>
  <c r="D3645" i="106" s="1"/>
  <c r="K178" i="5"/>
  <c r="B4368" i="106"/>
  <c r="D4368"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F101" i="34"/>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41" i="29" l="1"/>
  <c r="B1114" i="106" s="1"/>
  <c r="D1114" i="106" s="1"/>
  <c r="K68" i="29"/>
  <c r="K183" i="29"/>
  <c r="B1380" i="106" s="1"/>
  <c r="D1380" i="106" s="1"/>
  <c r="C12" i="5"/>
  <c r="K51" i="29"/>
  <c r="E30" i="108"/>
  <c r="G30" i="108"/>
  <c r="B14" i="7"/>
  <c r="D14" i="7" s="1"/>
  <c r="B1770" i="106" s="1"/>
  <c r="D1770" i="106" s="1"/>
  <c r="L257" i="29"/>
  <c r="F160" i="34"/>
  <c r="L303" i="29"/>
  <c r="E194" i="29"/>
  <c r="E196" i="29" s="1"/>
  <c r="L310" i="29"/>
  <c r="L110" i="29"/>
  <c r="L112" i="29" s="1"/>
  <c r="K76" i="4"/>
  <c r="B3586" i="106" s="1"/>
  <c r="D3586" i="106" s="1"/>
  <c r="L340" i="29"/>
  <c r="D129" i="29"/>
  <c r="K61" i="29"/>
  <c r="E28" i="108" s="1"/>
  <c r="F27" i="108"/>
  <c r="D184" i="5"/>
  <c r="B5425" i="106" s="1"/>
  <c r="D5425" i="106" s="1"/>
  <c r="E33" i="29"/>
  <c r="I53" i="29"/>
  <c r="B6942" i="106" s="1"/>
  <c r="D6942" i="106" s="1"/>
  <c r="K62" i="29"/>
  <c r="B1129" i="106" s="1"/>
  <c r="D1129" i="106" s="1"/>
  <c r="L47" i="29"/>
  <c r="K70" i="29"/>
  <c r="E38" i="108"/>
  <c r="K52" i="29"/>
  <c r="B6940" i="106" s="1"/>
  <c r="D6940" i="106" s="1"/>
  <c r="L312" i="29"/>
  <c r="C129" i="29"/>
  <c r="I42" i="29"/>
  <c r="F154" i="34"/>
  <c r="F144" i="34"/>
  <c r="G53" i="29"/>
  <c r="B966" i="106" s="1"/>
  <c r="D966" i="106" s="1"/>
  <c r="C44" i="4"/>
  <c r="C77" i="4" s="1"/>
  <c r="B3232" i="106" s="1"/>
  <c r="D3232" i="106" s="1"/>
  <c r="F113" i="34"/>
  <c r="G65" i="29"/>
  <c r="B977" i="106" s="1"/>
  <c r="D977" i="106" s="1"/>
  <c r="F149" i="34"/>
  <c r="F29" i="34" s="1"/>
  <c r="F174" i="34"/>
  <c r="I33" i="29"/>
  <c r="B6902" i="106" s="1"/>
  <c r="D6902" i="106" s="1"/>
  <c r="F118" i="34"/>
  <c r="K64" i="29"/>
  <c r="K71" i="29"/>
  <c r="F72" i="29"/>
  <c r="B927" i="106" s="1"/>
  <c r="D927" i="106" s="1"/>
  <c r="J129" i="29"/>
  <c r="B7038" i="106" s="1"/>
  <c r="D7038" i="106" s="1"/>
  <c r="H76" i="4"/>
  <c r="B3298" i="106" s="1"/>
  <c r="D3298" i="106" s="1"/>
  <c r="H129" i="29"/>
  <c r="K123" i="29"/>
  <c r="B1275" i="106" s="1"/>
  <c r="D1275" i="106" s="1"/>
  <c r="F129" i="29"/>
  <c r="F151" i="29" s="1"/>
  <c r="B1250" i="106" s="1"/>
  <c r="D1250" i="106" s="1"/>
  <c r="L204" i="29"/>
  <c r="L208" i="29" s="1"/>
  <c r="F108" i="5"/>
  <c r="B5587" i="106" s="1"/>
  <c r="D5587" i="106" s="1"/>
  <c r="F12" i="5"/>
  <c r="B5557" i="106" s="1"/>
  <c r="D5557" i="106" s="1"/>
  <c r="L279" i="29"/>
  <c r="L229" i="29"/>
  <c r="L330" i="29"/>
  <c r="L350" i="29"/>
  <c r="L352" i="29" s="1"/>
  <c r="L367" i="29" s="1"/>
  <c r="B6401" i="106"/>
  <c r="D6401" i="106" s="1"/>
  <c r="C201" i="5"/>
  <c r="B5246" i="106" s="1"/>
  <c r="D5246" i="106" s="1"/>
  <c r="B5122" i="106"/>
  <c r="D5122" i="106" s="1"/>
  <c r="C114" i="5"/>
  <c r="B6903" i="106"/>
  <c r="D6903" i="106" s="1"/>
  <c r="H72" i="29"/>
  <c r="B1043" i="106" s="1"/>
  <c r="D1043" i="106" s="1"/>
  <c r="B1036" i="106"/>
  <c r="D1036" i="106" s="1"/>
  <c r="B5148" i="106"/>
  <c r="D5148" i="106" s="1"/>
  <c r="C140" i="5"/>
  <c r="B5161" i="106" s="1"/>
  <c r="D5161" i="106" s="1"/>
  <c r="B5181" i="106"/>
  <c r="D5181" i="106" s="1"/>
  <c r="F112" i="34"/>
  <c r="B5233" i="106"/>
  <c r="D5233" i="106" s="1"/>
  <c r="C191" i="5"/>
  <c r="C228" i="5"/>
  <c r="B5304" i="106" s="1"/>
  <c r="D5304" i="106" s="1"/>
  <c r="B5301" i="106"/>
  <c r="D5301" i="106" s="1"/>
  <c r="C13" i="3"/>
  <c r="D34" i="36"/>
  <c r="B3411" i="106"/>
  <c r="D3411" i="106" s="1"/>
  <c r="F133" i="34"/>
  <c r="F150" i="34"/>
  <c r="F123" i="34"/>
  <c r="J42" i="29"/>
  <c r="B6905" i="106"/>
  <c r="D6905" i="106" s="1"/>
  <c r="H33" i="29"/>
  <c r="K36" i="29"/>
  <c r="E14" i="145"/>
  <c r="G14" i="145" s="1"/>
  <c r="B1124" i="106"/>
  <c r="D1124" i="106" s="1"/>
  <c r="K67" i="29"/>
  <c r="K82" i="29"/>
  <c r="B2977" i="106" s="1"/>
  <c r="D2977" i="106" s="1"/>
  <c r="B2953" i="106"/>
  <c r="D2953" i="106" s="1"/>
  <c r="F39" i="34"/>
  <c r="B6877" i="106"/>
  <c r="D6877" i="106" s="1"/>
  <c r="B2081" i="106"/>
  <c r="D2081" i="106" s="1"/>
  <c r="H102" i="29"/>
  <c r="B1047" i="106" s="1"/>
  <c r="D1047" i="106" s="1"/>
  <c r="L100" i="29"/>
  <c r="B6848" i="106"/>
  <c r="D6848" i="106" s="1"/>
  <c r="F34" i="34"/>
  <c r="B836" i="106"/>
  <c r="D836" i="106" s="1"/>
  <c r="K6" i="29"/>
  <c r="B7763" i="106" s="1"/>
  <c r="D7763" i="106" s="1"/>
  <c r="B7762" i="106"/>
  <c r="D7762" i="106" s="1"/>
  <c r="E12" i="145"/>
  <c r="B1121" i="106"/>
  <c r="D1121" i="106" s="1"/>
  <c r="B3229" i="106"/>
  <c r="D3229" i="106" s="1"/>
  <c r="H65" i="29"/>
  <c r="B1035" i="106" s="1"/>
  <c r="D1035" i="106" s="1"/>
  <c r="B1028" i="106"/>
  <c r="D1028" i="106" s="1"/>
  <c r="B1146" i="106"/>
  <c r="D1146" i="106" s="1"/>
  <c r="B6899" i="106"/>
  <c r="D6899" i="106" s="1"/>
  <c r="F50" i="34"/>
  <c r="K12" i="29"/>
  <c r="B5224" i="106"/>
  <c r="D5224" i="106" s="1"/>
  <c r="C178" i="5"/>
  <c r="F114" i="34"/>
  <c r="F139" i="34"/>
  <c r="F140" i="34"/>
  <c r="F103" i="34"/>
  <c r="F122" i="34"/>
  <c r="B6889" i="106"/>
  <c r="D6889" i="106" s="1"/>
  <c r="F45" i="34"/>
  <c r="B6891" i="106"/>
  <c r="D6891" i="106" s="1"/>
  <c r="F46" i="34"/>
  <c r="L92" i="29"/>
  <c r="B6879" i="106"/>
  <c r="D6879" i="106" s="1"/>
  <c r="F40" i="34"/>
  <c r="L65" i="29"/>
  <c r="B5167" i="106"/>
  <c r="D5167" i="106" s="1"/>
  <c r="F108" i="34"/>
  <c r="K80" i="29"/>
  <c r="B2975" i="106" s="1"/>
  <c r="D2975" i="106" s="1"/>
  <c r="B2951" i="106"/>
  <c r="D2951" i="106" s="1"/>
  <c r="B1017" i="106"/>
  <c r="D1017" i="106" s="1"/>
  <c r="B5106" i="106"/>
  <c r="D5106" i="106" s="1"/>
  <c r="F97" i="34"/>
  <c r="F169" i="34"/>
  <c r="F157" i="34"/>
  <c r="C67" i="5"/>
  <c r="B5090" i="106" s="1"/>
  <c r="D5090" i="106" s="1"/>
  <c r="B2791" i="106"/>
  <c r="D2791" i="106" s="1"/>
  <c r="K107" i="29"/>
  <c r="B2795" i="106" s="1"/>
  <c r="D2795" i="106" s="1"/>
  <c r="B727" i="106"/>
  <c r="D727" i="106" s="1"/>
  <c r="C74" i="29"/>
  <c r="B755" i="106" s="1"/>
  <c r="D755" i="106" s="1"/>
  <c r="E13" i="145"/>
  <c r="G13" i="145" s="1"/>
  <c r="B2724" i="106"/>
  <c r="D2724" i="106" s="1"/>
  <c r="K59" i="29"/>
  <c r="C144" i="5"/>
  <c r="B5165" i="106" s="1"/>
  <c r="D5165" i="106" s="1"/>
  <c r="K11" i="29"/>
  <c r="B6916" i="106"/>
  <c r="D6916" i="106" s="1"/>
  <c r="I74" i="29"/>
  <c r="B6977" i="106" s="1"/>
  <c r="D6977" i="106" s="1"/>
  <c r="K19" i="29"/>
  <c r="B3381" i="106" s="1"/>
  <c r="D3381" i="106" s="1"/>
  <c r="B5103" i="106"/>
  <c r="D5103" i="106" s="1"/>
  <c r="F96" i="34"/>
  <c r="C93" i="5"/>
  <c r="B5112" i="106" s="1"/>
  <c r="D5112" i="106" s="1"/>
  <c r="F125" i="34"/>
  <c r="F152" i="34"/>
  <c r="F153" i="34"/>
  <c r="K37" i="29"/>
  <c r="B1110" i="106" s="1"/>
  <c r="D1110" i="106" s="1"/>
  <c r="B785" i="106"/>
  <c r="D785" i="106" s="1"/>
  <c r="D74" i="29"/>
  <c r="B813" i="106" s="1"/>
  <c r="D813" i="106" s="1"/>
  <c r="B843" i="106"/>
  <c r="D843" i="106" s="1"/>
  <c r="E74" i="29"/>
  <c r="B871" i="106" s="1"/>
  <c r="D871" i="106" s="1"/>
  <c r="K16" i="29"/>
  <c r="B1094" i="106" s="1"/>
  <c r="D1094" i="106" s="1"/>
  <c r="B706" i="106"/>
  <c r="D706" i="106" s="1"/>
  <c r="D33" i="29"/>
  <c r="B6895" i="106"/>
  <c r="D6895" i="106" s="1"/>
  <c r="F48" i="34"/>
  <c r="G72" i="29"/>
  <c r="B985" i="106" s="1"/>
  <c r="D985" i="106" s="1"/>
  <c r="B978" i="106"/>
  <c r="D978" i="106" s="1"/>
  <c r="K92" i="29"/>
  <c r="B2089" i="106" s="1"/>
  <c r="D2089" i="106" s="1"/>
  <c r="B6995" i="106"/>
  <c r="D6995" i="106" s="1"/>
  <c r="B6881" i="106"/>
  <c r="D6881" i="106" s="1"/>
  <c r="F41" i="34"/>
  <c r="B894" i="106"/>
  <c r="D894" i="106" s="1"/>
  <c r="L42" i="29"/>
  <c r="L84" i="29"/>
  <c r="C259" i="5"/>
  <c r="B6833" i="106" s="1"/>
  <c r="D6833" i="106" s="1"/>
  <c r="B6614" i="106"/>
  <c r="D6614" i="106" s="1"/>
  <c r="B5230" i="106"/>
  <c r="D5230" i="106" s="1"/>
  <c r="F126" i="34"/>
  <c r="C184" i="5"/>
  <c r="B5232" i="106" s="1"/>
  <c r="D5232" i="106" s="1"/>
  <c r="B5111" i="106"/>
  <c r="D5111" i="106" s="1"/>
  <c r="F100" i="34"/>
  <c r="B5126" i="106"/>
  <c r="D5126" i="106" s="1"/>
  <c r="C121" i="5"/>
  <c r="F138" i="34"/>
  <c r="F170" i="34"/>
  <c r="F116" i="34"/>
  <c r="F121" i="34"/>
  <c r="B6885" i="106"/>
  <c r="D6885" i="106" s="1"/>
  <c r="F43" i="34"/>
  <c r="L33" i="29"/>
  <c r="K69" i="29"/>
  <c r="B5064" i="106"/>
  <c r="D5064" i="106" s="1"/>
  <c r="B17" i="7"/>
  <c r="B6893" i="106"/>
  <c r="D6893" i="106" s="1"/>
  <c r="F47" i="34"/>
  <c r="B6997" i="106"/>
  <c r="D6997" i="106" s="1"/>
  <c r="K100" i="29"/>
  <c r="B7013" i="106" s="1"/>
  <c r="D7013" i="106" s="1"/>
  <c r="C211" i="5"/>
  <c r="B5260" i="106" s="1"/>
  <c r="D5260" i="106" s="1"/>
  <c r="B5247" i="106"/>
  <c r="D5247" i="106" s="1"/>
  <c r="B5133" i="106"/>
  <c r="D5133" i="106" s="1"/>
  <c r="B5113" i="106"/>
  <c r="D5113" i="106" s="1"/>
  <c r="C108" i="5"/>
  <c r="B5120" i="106" s="1"/>
  <c r="D5120" i="106" s="1"/>
  <c r="B5139" i="106"/>
  <c r="D5139" i="106" s="1"/>
  <c r="D12" i="171"/>
  <c r="F134" i="34"/>
  <c r="F166" i="34"/>
  <c r="B5066" i="106"/>
  <c r="D5066" i="106" s="1"/>
  <c r="B1123" i="106"/>
  <c r="D1123" i="106" s="1"/>
  <c r="K57" i="29"/>
  <c r="B1125" i="106" s="1"/>
  <c r="D1125" i="106" s="1"/>
  <c r="B1131" i="106"/>
  <c r="D1131" i="106" s="1"/>
  <c r="E16" i="145"/>
  <c r="G16" i="145" s="1"/>
  <c r="B1144" i="106"/>
  <c r="D1144" i="106" s="1"/>
  <c r="C14" i="4"/>
  <c r="B2558" i="106" s="1"/>
  <c r="D2558" i="106" s="1"/>
  <c r="F52" i="34"/>
  <c r="B6853" i="106"/>
  <c r="D6853" i="106" s="1"/>
  <c r="F35" i="34"/>
  <c r="C75" i="5"/>
  <c r="C40" i="5"/>
  <c r="B5087" i="106" s="1"/>
  <c r="D5087" i="106" s="1"/>
  <c r="B953" i="106"/>
  <c r="D953" i="106" s="1"/>
  <c r="G42" i="29"/>
  <c r="B960" i="106"/>
  <c r="D960" i="106" s="1"/>
  <c r="G47" i="29"/>
  <c r="B963" i="106" s="1"/>
  <c r="D963" i="106" s="1"/>
  <c r="B6897" i="106"/>
  <c r="D6897" i="106" s="1"/>
  <c r="F49" i="34"/>
  <c r="B6883" i="106"/>
  <c r="D6883" i="106" s="1"/>
  <c r="F42" i="34"/>
  <c r="L53" i="29"/>
  <c r="L57" i="29"/>
  <c r="L72" i="29"/>
  <c r="C33" i="29"/>
  <c r="K101" i="29"/>
  <c r="B7015" i="106" s="1"/>
  <c r="D7015" i="106" s="1"/>
  <c r="B2947" i="106"/>
  <c r="D2947" i="106" s="1"/>
  <c r="B5175" i="106"/>
  <c r="D5175" i="106" s="1"/>
  <c r="C154" i="5"/>
  <c r="B5178" i="106" s="1"/>
  <c r="D5178" i="106" s="1"/>
  <c r="C216" i="5"/>
  <c r="B4411" i="106" s="1"/>
  <c r="D4411" i="106" s="1"/>
  <c r="B5256" i="106"/>
  <c r="D5256" i="106" s="1"/>
  <c r="B5097" i="106"/>
  <c r="D5097" i="106" s="1"/>
  <c r="C82" i="5"/>
  <c r="B5102" i="106" s="1"/>
  <c r="D5102" i="106" s="1"/>
  <c r="F146" i="34"/>
  <c r="F171" i="34"/>
  <c r="B6901" i="106"/>
  <c r="D6901" i="106" s="1"/>
  <c r="F51" i="34"/>
  <c r="B1107" i="106"/>
  <c r="D1107" i="106" s="1"/>
  <c r="F38" i="34"/>
  <c r="B1744" i="106"/>
  <c r="D1744" i="106" s="1"/>
  <c r="D4" i="7"/>
  <c r="B1760" i="106" s="1"/>
  <c r="D1760" i="106" s="1"/>
  <c r="B6887" i="106"/>
  <c r="D6887" i="106" s="1"/>
  <c r="F44" i="34"/>
  <c r="B1116" i="106"/>
  <c r="D1116" i="106" s="1"/>
  <c r="K47" i="29"/>
  <c r="B1119" i="106" s="1"/>
  <c r="D1119" i="106" s="1"/>
  <c r="B1120" i="106"/>
  <c r="D1120" i="106" s="1"/>
  <c r="K53" i="29"/>
  <c r="B1122" i="106" s="1"/>
  <c r="D1122" i="106" s="1"/>
  <c r="E84" i="29"/>
  <c r="K78" i="29"/>
  <c r="B2949" i="106"/>
  <c r="D2949" i="106" s="1"/>
  <c r="K108" i="29"/>
  <c r="B2796" i="106" s="1"/>
  <c r="D2796" i="106" s="1"/>
  <c r="B2792" i="106"/>
  <c r="D2792" i="106" s="1"/>
  <c r="B901" i="106"/>
  <c r="D901" i="106" s="1"/>
  <c r="H110" i="29"/>
  <c r="B5341" i="106"/>
  <c r="D5341" i="106" s="1"/>
  <c r="B2091" i="106"/>
  <c r="D2091" i="106" s="1"/>
  <c r="H139" i="29"/>
  <c r="B1267" i="106" s="1"/>
  <c r="D1267" i="106" s="1"/>
  <c r="H149" i="29"/>
  <c r="B1272" i="106" s="1"/>
  <c r="D1272" i="106" s="1"/>
  <c r="B7047" i="106"/>
  <c r="D7047" i="106" s="1"/>
  <c r="H44" i="4"/>
  <c r="B3296" i="106" s="1"/>
  <c r="D3296" i="106" s="1"/>
  <c r="E127" i="29"/>
  <c r="B1235" i="106"/>
  <c r="D1235" i="106" s="1"/>
  <c r="D211" i="5"/>
  <c r="B5444" i="106" s="1"/>
  <c r="D5444" i="106" s="1"/>
  <c r="I129" i="29"/>
  <c r="L127" i="29"/>
  <c r="L129" i="29" s="1"/>
  <c r="B109" i="106"/>
  <c r="D109" i="106" s="1"/>
  <c r="B1225" i="106"/>
  <c r="D1225" i="106" s="1"/>
  <c r="C151" i="29"/>
  <c r="B1226" i="106" s="1"/>
  <c r="D1226" i="106" s="1"/>
  <c r="D151" i="29"/>
  <c r="B1234" i="106" s="1"/>
  <c r="D1234" i="106" s="1"/>
  <c r="B1233" i="106"/>
  <c r="D1233" i="106" s="1"/>
  <c r="B5485" i="106"/>
  <c r="D5485" i="106" s="1"/>
  <c r="D228" i="5"/>
  <c r="B5488" i="106" s="1"/>
  <c r="D5488" i="106" s="1"/>
  <c r="D34" i="3"/>
  <c r="B6126" i="106"/>
  <c r="D6126" i="106" s="1"/>
  <c r="B2805" i="106"/>
  <c r="D2805" i="106" s="1"/>
  <c r="D14" i="4"/>
  <c r="B2570" i="106" s="1"/>
  <c r="D2570" i="106" s="1"/>
  <c r="F56" i="34"/>
  <c r="B4080" i="106"/>
  <c r="D4080" i="106" s="1"/>
  <c r="B5328" i="106"/>
  <c r="D5328" i="106" s="1"/>
  <c r="B5" i="7"/>
  <c r="D12" i="5"/>
  <c r="B5348" i="106"/>
  <c r="D5348" i="106" s="1"/>
  <c r="F95" i="34"/>
  <c r="B5423" i="106"/>
  <c r="D5423" i="106" s="1"/>
  <c r="B1266" i="106"/>
  <c r="D1266" i="106" s="1"/>
  <c r="B5360" i="106"/>
  <c r="D5360" i="106" s="1"/>
  <c r="D5" i="4"/>
  <c r="B3406" i="106" s="1"/>
  <c r="D3406" i="106" s="1"/>
  <c r="B13" i="7"/>
  <c r="B5330" i="106"/>
  <c r="D5330" i="106" s="1"/>
  <c r="E139" i="29"/>
  <c r="B4203" i="106" s="1"/>
  <c r="D4203" i="106" s="1"/>
  <c r="B4202" i="106"/>
  <c r="D4202" i="106" s="1"/>
  <c r="B4396" i="106"/>
  <c r="D4396" i="106" s="1"/>
  <c r="B5340" i="106"/>
  <c r="D5340" i="106" s="1"/>
  <c r="L137" i="29"/>
  <c r="L139" i="29" s="1"/>
  <c r="B5367" i="106"/>
  <c r="D5367" i="106" s="1"/>
  <c r="B1283" i="106"/>
  <c r="D1283" i="106" s="1"/>
  <c r="K147" i="29"/>
  <c r="G129" i="29"/>
  <c r="B5369" i="106"/>
  <c r="D5369" i="106" s="1"/>
  <c r="D172" i="5"/>
  <c r="B5412" i="106" s="1"/>
  <c r="D5412" i="106" s="1"/>
  <c r="B3235" i="106"/>
  <c r="D3235" i="106" s="1"/>
  <c r="D77" i="4"/>
  <c r="B3238" i="106" s="1"/>
  <c r="D3238" i="106" s="1"/>
  <c r="K122" i="29"/>
  <c r="B2986" i="106"/>
  <c r="D2986" i="106" s="1"/>
  <c r="K137" i="29"/>
  <c r="B4372" i="106"/>
  <c r="D4372" i="106" s="1"/>
  <c r="E273" i="5"/>
  <c r="B7747" i="106" s="1"/>
  <c r="D7747" i="106" s="1"/>
  <c r="B6835" i="106"/>
  <c r="D6835" i="106" s="1"/>
  <c r="B1329" i="106"/>
  <c r="D1329" i="106" s="1"/>
  <c r="F61" i="34"/>
  <c r="B5534" i="106"/>
  <c r="D5534" i="106" s="1"/>
  <c r="E173" i="5"/>
  <c r="B1324" i="106"/>
  <c r="D1324" i="106" s="1"/>
  <c r="K168" i="29"/>
  <c r="B1314" i="106"/>
  <c r="D1314" i="106" s="1"/>
  <c r="H172" i="29"/>
  <c r="B7778" i="106"/>
  <c r="D7778" i="106" s="1"/>
  <c r="K160" i="29"/>
  <c r="B131" i="106"/>
  <c r="D131" i="106" s="1"/>
  <c r="B5520" i="106"/>
  <c r="D5520" i="106" s="1"/>
  <c r="B1756" i="106"/>
  <c r="D1756" i="106" s="1"/>
  <c r="D15" i="7"/>
  <c r="B1772" i="106" s="1"/>
  <c r="D1772" i="106" s="1"/>
  <c r="B1308" i="106"/>
  <c r="D1308" i="106" s="1"/>
  <c r="E174" i="29"/>
  <c r="B1309" i="106" s="1"/>
  <c r="D1309" i="106" s="1"/>
  <c r="B5509" i="106"/>
  <c r="D5509" i="106" s="1"/>
  <c r="E12" i="5"/>
  <c r="B6" i="7"/>
  <c r="B139" i="106"/>
  <c r="D139" i="106" s="1"/>
  <c r="B5568" i="106"/>
  <c r="D5568" i="106" s="1"/>
  <c r="F20" i="34"/>
  <c r="B5655" i="106"/>
  <c r="D5655" i="106" s="1"/>
  <c r="B3007" i="106"/>
  <c r="D3007" i="106" s="1"/>
  <c r="B1345" i="106"/>
  <c r="D1345" i="106" s="1"/>
  <c r="D210" i="29"/>
  <c r="B1346" i="106" s="1"/>
  <c r="D1346" i="106" s="1"/>
  <c r="L194" i="29"/>
  <c r="L196" i="29" s="1"/>
  <c r="F76" i="4"/>
  <c r="B3254" i="106" s="1"/>
  <c r="D3254" i="106" s="1"/>
  <c r="B1747" i="106"/>
  <c r="D1747" i="106" s="1"/>
  <c r="D7" i="7"/>
  <c r="B1763" i="106" s="1"/>
  <c r="D1763" i="106" s="1"/>
  <c r="K191" i="29"/>
  <c r="B3010" i="106" s="1"/>
  <c r="D3010" i="106" s="1"/>
  <c r="D72" i="36"/>
  <c r="B2993" i="106"/>
  <c r="D2993" i="106" s="1"/>
  <c r="K192" i="29"/>
  <c r="B3011" i="106" s="1"/>
  <c r="D3011" i="106" s="1"/>
  <c r="B4397" i="106"/>
  <c r="D4397" i="106" s="1"/>
  <c r="F13" i="3"/>
  <c r="H194" i="29"/>
  <c r="F64" i="34"/>
  <c r="B4211" i="106"/>
  <c r="D4211" i="106" s="1"/>
  <c r="B6312" i="106"/>
  <c r="D6312" i="106" s="1"/>
  <c r="F87" i="34"/>
  <c r="B4086" i="106"/>
  <c r="D4086" i="106" s="1"/>
  <c r="H184" i="29"/>
  <c r="H208" i="29"/>
  <c r="B1375" i="106" s="1"/>
  <c r="D1375" i="106" s="1"/>
  <c r="B4156" i="106"/>
  <c r="D4156" i="106" s="1"/>
  <c r="F131" i="5"/>
  <c r="B1372" i="106"/>
  <c r="D1372" i="106" s="1"/>
  <c r="K200" i="29"/>
  <c r="B1384" i="106" s="1"/>
  <c r="D1384" i="106" s="1"/>
  <c r="B5592" i="106"/>
  <c r="D5592" i="106" s="1"/>
  <c r="F5" i="4"/>
  <c r="B3408" i="106" s="1"/>
  <c r="D3408" i="106" s="1"/>
  <c r="B7057" i="106"/>
  <c r="D7057" i="106" s="1"/>
  <c r="I184" i="29"/>
  <c r="B1383" i="106"/>
  <c r="D1383" i="106" s="1"/>
  <c r="G38" i="108"/>
  <c r="B1351" i="106"/>
  <c r="D1351" i="106" s="1"/>
  <c r="B6314" i="106"/>
  <c r="D6314" i="106" s="1"/>
  <c r="F90" i="34"/>
  <c r="B4354" i="106"/>
  <c r="D4354" i="106" s="1"/>
  <c r="F30" i="34"/>
  <c r="J184" i="29"/>
  <c r="B7058" i="106"/>
  <c r="D7058" i="106" s="1"/>
  <c r="F14" i="4"/>
  <c r="B2597" i="106" s="1"/>
  <c r="D2597" i="106" s="1"/>
  <c r="F62" i="34"/>
  <c r="B2836" i="106"/>
  <c r="D2836" i="106" s="1"/>
  <c r="G184" i="29"/>
  <c r="F21" i="34"/>
  <c r="B5569" i="106"/>
  <c r="D5569" i="106" s="1"/>
  <c r="F63" i="5"/>
  <c r="B5579" i="106" s="1"/>
  <c r="D5579" i="106" s="1"/>
  <c r="F121" i="5"/>
  <c r="L184" i="29"/>
  <c r="F224" i="5"/>
  <c r="B5703" i="106" s="1"/>
  <c r="D5703" i="106" s="1"/>
  <c r="B2991" i="106"/>
  <c r="D2991" i="106" s="1"/>
  <c r="K190" i="29"/>
  <c r="B3009" i="106" s="1"/>
  <c r="D3009" i="106" s="1"/>
  <c r="F44" i="4"/>
  <c r="F135" i="34"/>
  <c r="B4343" i="106"/>
  <c r="D4343" i="106" s="1"/>
  <c r="B1427" i="106"/>
  <c r="D1427" i="106" s="1"/>
  <c r="G24" i="108"/>
  <c r="G201" i="5"/>
  <c r="B1470" i="106"/>
  <c r="D1470" i="106" s="1"/>
  <c r="F70" i="34"/>
  <c r="B16" i="7"/>
  <c r="B5723" i="106"/>
  <c r="D5723" i="106" s="1"/>
  <c r="B1486" i="106"/>
  <c r="D1486" i="106" s="1"/>
  <c r="G12" i="5"/>
  <c r="K248" i="29"/>
  <c r="B7082" i="106" s="1"/>
  <c r="D7082" i="106" s="1"/>
  <c r="B7081" i="106"/>
  <c r="D7081" i="106" s="1"/>
  <c r="G211" i="5"/>
  <c r="B7078" i="106"/>
  <c r="D7078" i="106" s="1"/>
  <c r="F69" i="34"/>
  <c r="B1492" i="106"/>
  <c r="D1492" i="106" s="1"/>
  <c r="K270" i="29"/>
  <c r="B1500" i="106" s="1"/>
  <c r="D1500" i="106" s="1"/>
  <c r="B1512" i="106"/>
  <c r="D1512" i="106" s="1"/>
  <c r="K293" i="29"/>
  <c r="B1417" i="106"/>
  <c r="D1417" i="106" s="1"/>
  <c r="D257" i="29"/>
  <c r="B1424" i="106" s="1"/>
  <c r="D1424" i="106" s="1"/>
  <c r="B5738" i="106"/>
  <c r="D5738" i="106" s="1"/>
  <c r="G114" i="5"/>
  <c r="B5847" i="106"/>
  <c r="D5847" i="106" s="1"/>
  <c r="F136" i="34"/>
  <c r="B1475" i="106"/>
  <c r="D1475" i="106" s="1"/>
  <c r="K238" i="29"/>
  <c r="B1748" i="106"/>
  <c r="D1748" i="106" s="1"/>
  <c r="D8" i="7"/>
  <c r="B1764" i="106" s="1"/>
  <c r="D1764" i="106" s="1"/>
  <c r="B1473" i="106"/>
  <c r="D1473" i="106" s="1"/>
  <c r="F71" i="34"/>
  <c r="F137" i="34"/>
  <c r="B6625" i="106"/>
  <c r="D6625" i="106" s="1"/>
  <c r="B1511" i="106"/>
  <c r="D1511" i="106" s="1"/>
  <c r="F72" i="34"/>
  <c r="G14" i="4"/>
  <c r="B2609" i="106" s="1"/>
  <c r="D2609" i="106" s="1"/>
  <c r="B4414" i="106"/>
  <c r="D4414" i="106" s="1"/>
  <c r="B1452" i="106"/>
  <c r="D1452" i="106" s="1"/>
  <c r="H295" i="29"/>
  <c r="B1454" i="106" s="1"/>
  <c r="D1454" i="106" s="1"/>
  <c r="G224" i="5"/>
  <c r="B5829" i="106" s="1"/>
  <c r="D5829" i="106" s="1"/>
  <c r="B188" i="106"/>
  <c r="D188" i="106" s="1"/>
  <c r="B3390" i="106"/>
  <c r="D3390" i="106" s="1"/>
  <c r="K229" i="29"/>
  <c r="B1482" i="106"/>
  <c r="D1482" i="106" s="1"/>
  <c r="K243" i="29"/>
  <c r="B1485" i="106" s="1"/>
  <c r="D1485" i="106" s="1"/>
  <c r="B5748" i="106"/>
  <c r="D5748" i="106" s="1"/>
  <c r="B4398" i="106"/>
  <c r="D4398" i="106" s="1"/>
  <c r="F128" i="34"/>
  <c r="G140" i="5"/>
  <c r="B5749" i="106"/>
  <c r="D5749" i="106" s="1"/>
  <c r="F145" i="34"/>
  <c r="B6686" i="106"/>
  <c r="D6686" i="106" s="1"/>
  <c r="B3258" i="106"/>
  <c r="D3258" i="106" s="1"/>
  <c r="G77" i="4"/>
  <c r="B3261" i="106" s="1"/>
  <c r="D3261" i="106" s="1"/>
  <c r="B1421" i="106"/>
  <c r="D1421" i="106" s="1"/>
  <c r="E22" i="108"/>
  <c r="G22" i="108"/>
  <c r="B1501" i="106"/>
  <c r="D1501" i="106" s="1"/>
  <c r="K277" i="29"/>
  <c r="B1508" i="106" s="1"/>
  <c r="D1508" i="106" s="1"/>
  <c r="G13" i="3"/>
  <c r="D38" i="36"/>
  <c r="B3422" i="106"/>
  <c r="D3422" i="106" s="1"/>
  <c r="B1410" i="106"/>
  <c r="D1410" i="106" s="1"/>
  <c r="G259" i="5"/>
  <c r="B6837" i="106" s="1"/>
  <c r="D6837" i="106" s="1"/>
  <c r="B5780" i="106"/>
  <c r="D5780" i="106" s="1"/>
  <c r="B4357" i="106"/>
  <c r="D4357" i="106" s="1"/>
  <c r="F111" i="34"/>
  <c r="B5756" i="106"/>
  <c r="D5756" i="106" s="1"/>
  <c r="F107" i="34"/>
  <c r="F68" i="34"/>
  <c r="B7076" i="106"/>
  <c r="D7076" i="106" s="1"/>
  <c r="B1489" i="106"/>
  <c r="D1489" i="106" s="1"/>
  <c r="K261" i="29"/>
  <c r="B1491" i="106" s="1"/>
  <c r="D1491" i="106" s="1"/>
  <c r="B3723" i="106"/>
  <c r="D3723" i="106" s="1"/>
  <c r="K285" i="29"/>
  <c r="B5784" i="106"/>
  <c r="D5784" i="106" s="1"/>
  <c r="F67" i="34"/>
  <c r="B7074" i="106"/>
  <c r="D7074" i="106" s="1"/>
  <c r="B3425" i="106"/>
  <c r="D3425" i="106" s="1"/>
  <c r="D39" i="36"/>
  <c r="H13" i="3"/>
  <c r="H273" i="5"/>
  <c r="B4441" i="106" s="1"/>
  <c r="D4441" i="106" s="1"/>
  <c r="B6838" i="106"/>
  <c r="D6838" i="106" s="1"/>
  <c r="B4950" i="106"/>
  <c r="D4950" i="106" s="1"/>
  <c r="B1751" i="106"/>
  <c r="D1751" i="106" s="1"/>
  <c r="D9" i="7"/>
  <c r="B1767" i="106" s="1"/>
  <c r="D1767" i="106" s="1"/>
  <c r="B7104" i="106"/>
  <c r="D7104" i="106" s="1"/>
  <c r="J312" i="29"/>
  <c r="B7117" i="106" s="1"/>
  <c r="D7117" i="106" s="1"/>
  <c r="C312" i="29"/>
  <c r="B1524" i="106" s="1"/>
  <c r="D1524" i="106" s="1"/>
  <c r="B1523" i="106"/>
  <c r="D1523" i="106" s="1"/>
  <c r="B1547" i="106"/>
  <c r="D1547" i="106" s="1"/>
  <c r="G312" i="29"/>
  <c r="B1548" i="106" s="1"/>
  <c r="D1548" i="106" s="1"/>
  <c r="B211" i="106"/>
  <c r="D211" i="106" s="1"/>
  <c r="B1754" i="106"/>
  <c r="D1754" i="106" s="1"/>
  <c r="B1553" i="106"/>
  <c r="D1553" i="106" s="1"/>
  <c r="H312" i="29"/>
  <c r="B1554" i="106" s="1"/>
  <c r="D1554" i="106" s="1"/>
  <c r="B5893" i="106"/>
  <c r="D5893" i="106" s="1"/>
  <c r="H173" i="5"/>
  <c r="B1529" i="106"/>
  <c r="D1529" i="106" s="1"/>
  <c r="D312" i="29"/>
  <c r="B1530" i="106" s="1"/>
  <c r="D1530" i="106" s="1"/>
  <c r="B5880" i="106"/>
  <c r="D5880" i="106" s="1"/>
  <c r="B18" i="7"/>
  <c r="B4103" i="106" s="1"/>
  <c r="D4103" i="106" s="1"/>
  <c r="B1535" i="106"/>
  <c r="D1535" i="106" s="1"/>
  <c r="E312" i="29"/>
  <c r="B1536" i="106" s="1"/>
  <c r="D1536" i="106" s="1"/>
  <c r="B6285" i="106"/>
  <c r="D6285" i="106" s="1"/>
  <c r="E44" i="4"/>
  <c r="B7103" i="106"/>
  <c r="D7103" i="106" s="1"/>
  <c r="I312" i="29"/>
  <c r="B7116" i="106" s="1"/>
  <c r="D7116" i="106" s="1"/>
  <c r="B7107" i="106"/>
  <c r="D7107" i="106" s="1"/>
  <c r="K310" i="29"/>
  <c r="B1541" i="106"/>
  <c r="D1541" i="106" s="1"/>
  <c r="F312" i="29"/>
  <c r="B1542" i="106" s="1"/>
  <c r="D1542" i="106" s="1"/>
  <c r="B1555" i="106"/>
  <c r="D1555" i="106" s="1"/>
  <c r="K303" i="29"/>
  <c r="H12" i="5"/>
  <c r="B4363" i="106"/>
  <c r="D4363" i="106" s="1"/>
  <c r="I173" i="5"/>
  <c r="B10" i="7"/>
  <c r="B5916" i="106"/>
  <c r="D5916" i="106" s="1"/>
  <c r="I12" i="5"/>
  <c r="B3427" i="106"/>
  <c r="D3427" i="106" s="1"/>
  <c r="D40" i="36"/>
  <c r="I13" i="3"/>
  <c r="H24" i="118"/>
  <c r="B5925" i="106"/>
  <c r="D5925" i="106" s="1"/>
  <c r="B5924" i="106"/>
  <c r="D5924" i="106" s="1"/>
  <c r="B2910" i="106"/>
  <c r="D2910" i="106" s="1"/>
  <c r="J13" i="3"/>
  <c r="D41" i="36"/>
  <c r="B6217" i="106"/>
  <c r="D6217" i="106" s="1"/>
  <c r="J274" i="5"/>
  <c r="B6400" i="106"/>
  <c r="D6400" i="106" s="1"/>
  <c r="B6357" i="106"/>
  <c r="D6357" i="106" s="1"/>
  <c r="J173" i="5"/>
  <c r="B7126" i="106"/>
  <c r="D7126" i="106" s="1"/>
  <c r="K330" i="29"/>
  <c r="B7209" i="106"/>
  <c r="D7209" i="106" s="1"/>
  <c r="K340" i="29"/>
  <c r="D342" i="29"/>
  <c r="B7217" i="106" s="1"/>
  <c r="D7217" i="106" s="1"/>
  <c r="B7200" i="106"/>
  <c r="D7200" i="106" s="1"/>
  <c r="B1752" i="106"/>
  <c r="D1752" i="106" s="1"/>
  <c r="D11" i="7"/>
  <c r="B1768" i="106" s="1"/>
  <c r="D1768" i="106" s="1"/>
  <c r="B7202" i="106"/>
  <c r="D7202" i="106" s="1"/>
  <c r="F342" i="29"/>
  <c r="B7219" i="106" s="1"/>
  <c r="D7219" i="106" s="1"/>
  <c r="J342" i="29"/>
  <c r="B7223" i="106" s="1"/>
  <c r="D7223" i="106" s="1"/>
  <c r="B7206" i="106"/>
  <c r="D7206" i="106" s="1"/>
  <c r="C342" i="29"/>
  <c r="B7216" i="106" s="1"/>
  <c r="D7216" i="106" s="1"/>
  <c r="B7199" i="106"/>
  <c r="D7199" i="106" s="1"/>
  <c r="B7203" i="106"/>
  <c r="D7203" i="106" s="1"/>
  <c r="G342" i="29"/>
  <c r="B7220" i="106" s="1"/>
  <c r="D7220" i="106" s="1"/>
  <c r="B7205" i="106"/>
  <c r="D7205" i="106" s="1"/>
  <c r="I342" i="29"/>
  <c r="B7222" i="106" s="1"/>
  <c r="D7222" i="106" s="1"/>
  <c r="B6317" i="106"/>
  <c r="D6317" i="106" s="1"/>
  <c r="B6301" i="106"/>
  <c r="D6301" i="106" s="1"/>
  <c r="B6238" i="106"/>
  <c r="D6238" i="106" s="1"/>
  <c r="J77" i="4"/>
  <c r="B6262" i="106" s="1"/>
  <c r="D6262" i="106" s="1"/>
  <c r="B7201" i="106"/>
  <c r="D7201" i="106" s="1"/>
  <c r="E342" i="29"/>
  <c r="B7218" i="106" s="1"/>
  <c r="D7218" i="106" s="1"/>
  <c r="B7204" i="106"/>
  <c r="D7204" i="106" s="1"/>
  <c r="H342" i="29"/>
  <c r="B7221" i="106" s="1"/>
  <c r="D7221" i="106" s="1"/>
  <c r="B6191" i="106"/>
  <c r="D6191" i="106" s="1"/>
  <c r="B3584" i="106"/>
  <c r="D3584" i="106" s="1"/>
  <c r="B3658" i="106"/>
  <c r="D3658" i="106" s="1"/>
  <c r="H365" i="29"/>
  <c r="B7242" i="106" s="1"/>
  <c r="D7242" i="106" s="1"/>
  <c r="F352" i="29"/>
  <c r="B3640" i="106"/>
  <c r="D3640" i="106" s="1"/>
  <c r="B5987" i="106"/>
  <c r="D5987" i="106" s="1"/>
  <c r="B3552" i="106"/>
  <c r="D3552" i="106" s="1"/>
  <c r="B4951" i="106"/>
  <c r="D4951" i="106" s="1"/>
  <c r="K274" i="5"/>
  <c r="B1753" i="106"/>
  <c r="D1753" i="106" s="1"/>
  <c r="D12" i="7"/>
  <c r="K173" i="5"/>
  <c r="B6006" i="106"/>
  <c r="D6006" i="106" s="1"/>
  <c r="H352" i="29"/>
  <c r="B3654" i="106"/>
  <c r="D3654" i="106" s="1"/>
  <c r="B3626" i="106"/>
  <c r="D3626" i="106" s="1"/>
  <c r="D352" i="29"/>
  <c r="G352" i="29"/>
  <c r="B3647" i="106"/>
  <c r="D3647" i="106" s="1"/>
  <c r="I352" i="29"/>
  <c r="B7230" i="106"/>
  <c r="D7230" i="106" s="1"/>
  <c r="B7231" i="106"/>
  <c r="D7231" i="106" s="1"/>
  <c r="J352" i="29"/>
  <c r="B3619" i="106"/>
  <c r="D3619" i="106" s="1"/>
  <c r="C352" i="29"/>
  <c r="B3633" i="106"/>
  <c r="D3633" i="106" s="1"/>
  <c r="E352" i="29"/>
  <c r="B2105" i="106"/>
  <c r="D2105" i="106" s="1"/>
  <c r="I76" i="4"/>
  <c r="K350" i="29"/>
  <c r="B3668" i="106"/>
  <c r="D3668" i="106" s="1"/>
  <c r="B3675" i="106"/>
  <c r="D3675" i="106" s="1"/>
  <c r="K362" i="29"/>
  <c r="K34" i="3"/>
  <c r="B1617" i="106"/>
  <c r="D1617" i="106" s="1"/>
  <c r="L342" i="29" l="1"/>
  <c r="B1249" i="106"/>
  <c r="D1249" i="106" s="1"/>
  <c r="B1135" i="106"/>
  <c r="D1135" i="106" s="1"/>
  <c r="G34" i="108"/>
  <c r="E34" i="108"/>
  <c r="B1352" i="106"/>
  <c r="D1352" i="106" s="1"/>
  <c r="E210" i="29"/>
  <c r="B1353" i="106" s="1"/>
  <c r="D1353" i="106" s="1"/>
  <c r="B2823" i="106"/>
  <c r="D2823" i="106" s="1"/>
  <c r="F74" i="29"/>
  <c r="B929" i="106" s="1"/>
  <c r="D929" i="106" s="1"/>
  <c r="K77" i="4"/>
  <c r="B3587" i="106" s="1"/>
  <c r="D3587" i="106" s="1"/>
  <c r="D273" i="5"/>
  <c r="B5501" i="106" s="1"/>
  <c r="D5501" i="106" s="1"/>
  <c r="L210" i="29"/>
  <c r="K257" i="29"/>
  <c r="B1488" i="106" s="1"/>
  <c r="D1488" i="106" s="1"/>
  <c r="L102" i="29"/>
  <c r="L295" i="29"/>
  <c r="F127" i="34"/>
  <c r="J151" i="29"/>
  <c r="B7052" i="106" s="1"/>
  <c r="D7052" i="106" s="1"/>
  <c r="B1128" i="106"/>
  <c r="D1128" i="106" s="1"/>
  <c r="F28" i="108"/>
  <c r="B1137" i="106"/>
  <c r="D1137" i="106" s="1"/>
  <c r="D36" i="108"/>
  <c r="F36" i="108"/>
  <c r="I67" i="5"/>
  <c r="B5926" i="106" s="1"/>
  <c r="D5926" i="106" s="1"/>
  <c r="H77" i="4"/>
  <c r="B3299" i="106" s="1"/>
  <c r="D3299" i="106" s="1"/>
  <c r="L74" i="29"/>
  <c r="B1139" i="106"/>
  <c r="D1139" i="106" s="1"/>
  <c r="D37" i="108"/>
  <c r="F37" i="108"/>
  <c r="D31" i="108"/>
  <c r="F31" i="108"/>
  <c r="F131" i="34"/>
  <c r="D67" i="5"/>
  <c r="B5342" i="106" s="1"/>
  <c r="D5342" i="106" s="1"/>
  <c r="H151" i="29"/>
  <c r="B1273" i="106" s="1"/>
  <c r="D1273" i="106" s="1"/>
  <c r="G273" i="5"/>
  <c r="B5863" i="106" s="1"/>
  <c r="D5863" i="106" s="1"/>
  <c r="H274" i="5"/>
  <c r="F94" i="34"/>
  <c r="B5096" i="106"/>
  <c r="D5096" i="106" s="1"/>
  <c r="C224" i="5"/>
  <c r="B5286" i="106" s="1"/>
  <c r="D5286" i="106" s="1"/>
  <c r="B5274" i="106"/>
  <c r="D5274" i="106" s="1"/>
  <c r="B5225" i="106"/>
  <c r="D5225" i="106" s="1"/>
  <c r="K110" i="29"/>
  <c r="B4395" i="106"/>
  <c r="D4395" i="106" s="1"/>
  <c r="G12" i="145"/>
  <c r="B2973" i="106"/>
  <c r="D2973" i="106" s="1"/>
  <c r="K84" i="29"/>
  <c r="B2789" i="106"/>
  <c r="D2789" i="106" s="1"/>
  <c r="E102" i="29"/>
  <c r="B2790" i="106" s="1"/>
  <c r="D2790" i="106" s="1"/>
  <c r="B720" i="106"/>
  <c r="D720" i="106" s="1"/>
  <c r="C114" i="29"/>
  <c r="B757" i="106" s="1"/>
  <c r="D757" i="106" s="1"/>
  <c r="C109" i="5"/>
  <c r="F114" i="29"/>
  <c r="B931" i="106" s="1"/>
  <c r="D931" i="106" s="1"/>
  <c r="B937" i="106"/>
  <c r="D937" i="106" s="1"/>
  <c r="G33" i="29"/>
  <c r="K5" i="29"/>
  <c r="B1010" i="106"/>
  <c r="D1010" i="106" s="1"/>
  <c r="B77" i="106"/>
  <c r="D77" i="106" s="1"/>
  <c r="B1053" i="106"/>
  <c r="D1053" i="106" s="1"/>
  <c r="H112" i="29"/>
  <c r="B7018" i="106" s="1"/>
  <c r="D7018" i="106" s="1"/>
  <c r="E15" i="145"/>
  <c r="B1126" i="106"/>
  <c r="D1126" i="106" s="1"/>
  <c r="K65" i="29"/>
  <c r="B1133" i="106" s="1"/>
  <c r="D1133" i="106" s="1"/>
  <c r="F26" i="108"/>
  <c r="D26" i="108"/>
  <c r="B5199" i="106"/>
  <c r="D5199" i="106" s="1"/>
  <c r="F115" i="34"/>
  <c r="B5125" i="106"/>
  <c r="D5125" i="106" s="1"/>
  <c r="C5" i="4"/>
  <c r="B3405" i="106" s="1"/>
  <c r="D3405" i="106" s="1"/>
  <c r="B6858" i="106"/>
  <c r="D6858" i="106" s="1"/>
  <c r="F36" i="34"/>
  <c r="B959" i="106"/>
  <c r="D959" i="106" s="1"/>
  <c r="G74" i="29"/>
  <c r="B987" i="106" s="1"/>
  <c r="D987" i="106" s="1"/>
  <c r="C131" i="5"/>
  <c r="F105" i="34" s="1"/>
  <c r="B4102" i="106"/>
  <c r="D4102" i="106" s="1"/>
  <c r="D17" i="7"/>
  <c r="B4104" i="106" s="1"/>
  <c r="D4104" i="106" s="1"/>
  <c r="B778" i="106"/>
  <c r="D778" i="106" s="1"/>
  <c r="D114" i="29"/>
  <c r="B815" i="106" s="1"/>
  <c r="D815" i="106" s="1"/>
  <c r="H74" i="29"/>
  <c r="B1045" i="106" s="1"/>
  <c r="D1045" i="106" s="1"/>
  <c r="B1104" i="106"/>
  <c r="D1104" i="106" s="1"/>
  <c r="F37" i="34"/>
  <c r="B6917" i="106"/>
  <c r="D6917" i="106" s="1"/>
  <c r="J74" i="29"/>
  <c r="C34" i="3"/>
  <c r="B6125" i="106"/>
  <c r="D6125" i="106" s="1"/>
  <c r="I114" i="29"/>
  <c r="K42" i="29"/>
  <c r="B1109" i="106"/>
  <c r="D1109" i="106" s="1"/>
  <c r="E24" i="108"/>
  <c r="B5312" i="106"/>
  <c r="D5312" i="106" s="1"/>
  <c r="F165" i="34"/>
  <c r="B1136" i="106"/>
  <c r="D1136" i="106" s="1"/>
  <c r="G35" i="108"/>
  <c r="E35" i="108"/>
  <c r="B5132" i="106"/>
  <c r="D5132" i="106" s="1"/>
  <c r="E17" i="145"/>
  <c r="G17" i="145" s="1"/>
  <c r="B1134" i="106"/>
  <c r="D1134" i="106" s="1"/>
  <c r="K72" i="29"/>
  <c r="B1141" i="106" s="1"/>
  <c r="D1141" i="106" s="1"/>
  <c r="E33" i="108"/>
  <c r="G33" i="108"/>
  <c r="K139" i="29"/>
  <c r="B2093" i="106"/>
  <c r="D2093" i="106" s="1"/>
  <c r="B1239" i="106"/>
  <c r="D1239" i="106" s="1"/>
  <c r="E129" i="29"/>
  <c r="B122" i="106"/>
  <c r="D122" i="106" s="1"/>
  <c r="F15" i="145"/>
  <c r="E26" i="108"/>
  <c r="K127" i="29"/>
  <c r="G26" i="108"/>
  <c r="B1274" i="106"/>
  <c r="D1274" i="106" s="1"/>
  <c r="D173" i="5"/>
  <c r="D274" i="5"/>
  <c r="B7048" i="106"/>
  <c r="D7048" i="106" s="1"/>
  <c r="K149" i="29"/>
  <c r="L151" i="29"/>
  <c r="B3725" i="106"/>
  <c r="D3725" i="106" s="1"/>
  <c r="D13" i="7"/>
  <c r="B3726" i="106" s="1"/>
  <c r="D3726" i="106" s="1"/>
  <c r="B7037" i="106"/>
  <c r="D7037" i="106" s="1"/>
  <c r="I151" i="29"/>
  <c r="B5334" i="106"/>
  <c r="D5334" i="106" s="1"/>
  <c r="D109" i="5"/>
  <c r="G151" i="29"/>
  <c r="B1258" i="106"/>
  <c r="D1258" i="106" s="1"/>
  <c r="B1745" i="106"/>
  <c r="D1745" i="106" s="1"/>
  <c r="D5" i="7"/>
  <c r="B1761" i="106" s="1"/>
  <c r="D1761" i="106" s="1"/>
  <c r="B5519" i="106"/>
  <c r="D5519" i="106" s="1"/>
  <c r="E67" i="5"/>
  <c r="B5521" i="106" s="1"/>
  <c r="D5521" i="106" s="1"/>
  <c r="B5544" i="106"/>
  <c r="D5544" i="106" s="1"/>
  <c r="E6" i="4"/>
  <c r="B2631" i="106" s="1"/>
  <c r="D2631" i="106" s="1"/>
  <c r="F60" i="34"/>
  <c r="E15" i="4"/>
  <c r="H174" i="29"/>
  <c r="B1318" i="106" s="1"/>
  <c r="D1318" i="106" s="1"/>
  <c r="B1317" i="106"/>
  <c r="D1317" i="106" s="1"/>
  <c r="D6" i="7"/>
  <c r="B1762" i="106" s="1"/>
  <c r="D1762" i="106" s="1"/>
  <c r="B1746" i="106"/>
  <c r="D1746" i="106" s="1"/>
  <c r="B5513" i="106"/>
  <c r="D5513" i="106" s="1"/>
  <c r="K172" i="29"/>
  <c r="B1328" i="106"/>
  <c r="D1328" i="106" s="1"/>
  <c r="E274" i="5"/>
  <c r="K194" i="29"/>
  <c r="B3252" i="106"/>
  <c r="D3252" i="106" s="1"/>
  <c r="F77" i="4"/>
  <c r="B3255" i="106" s="1"/>
  <c r="D3255" i="106" s="1"/>
  <c r="B4081" i="106"/>
  <c r="D4081" i="106" s="1"/>
  <c r="K180" i="29"/>
  <c r="C184" i="29"/>
  <c r="B1364" i="106"/>
  <c r="D1364" i="106" s="1"/>
  <c r="G210" i="29"/>
  <c r="F34" i="3"/>
  <c r="B6128" i="106"/>
  <c r="D6128" i="106" s="1"/>
  <c r="K204" i="29"/>
  <c r="B5614" i="106"/>
  <c r="D5614" i="106" s="1"/>
  <c r="F172" i="5"/>
  <c r="B5644" i="106" s="1"/>
  <c r="D5644" i="106" s="1"/>
  <c r="B1354" i="106"/>
  <c r="D1354" i="106" s="1"/>
  <c r="F184" i="29"/>
  <c r="K182" i="29"/>
  <c r="H196" i="29"/>
  <c r="B2830" i="106" s="1"/>
  <c r="D2830" i="106" s="1"/>
  <c r="B2828" i="106"/>
  <c r="D2828" i="106" s="1"/>
  <c r="B7063" i="106"/>
  <c r="D7063" i="106" s="1"/>
  <c r="I210" i="29"/>
  <c r="B157" i="106"/>
  <c r="D157" i="106" s="1"/>
  <c r="B5599" i="106"/>
  <c r="D5599" i="106" s="1"/>
  <c r="B1370" i="106"/>
  <c r="D1370" i="106" s="1"/>
  <c r="B5581" i="106"/>
  <c r="D5581" i="106" s="1"/>
  <c r="F67" i="5"/>
  <c r="B5582" i="106" s="1"/>
  <c r="D5582" i="106" s="1"/>
  <c r="B7064" i="106"/>
  <c r="D7064" i="106" s="1"/>
  <c r="J210" i="29"/>
  <c r="B7072" i="106" s="1"/>
  <c r="D7072" i="106" s="1"/>
  <c r="F273" i="5"/>
  <c r="F106" i="34"/>
  <c r="G172" i="5"/>
  <c r="B5752" i="106"/>
  <c r="D5752" i="106" s="1"/>
  <c r="B5741" i="106"/>
  <c r="D5741" i="106" s="1"/>
  <c r="G5" i="4"/>
  <c r="B3409" i="106" s="1"/>
  <c r="D3409" i="106" s="1"/>
  <c r="B1474" i="106"/>
  <c r="D1474" i="106" s="1"/>
  <c r="G12" i="4"/>
  <c r="B5732" i="106"/>
  <c r="D5732" i="106" s="1"/>
  <c r="G67" i="5"/>
  <c r="B5733" i="106" s="1"/>
  <c r="D5733" i="106" s="1"/>
  <c r="G15" i="4"/>
  <c r="B6032" i="106" s="1"/>
  <c r="D6032" i="106" s="1"/>
  <c r="B3724" i="106"/>
  <c r="D3724" i="106" s="1"/>
  <c r="F73" i="34"/>
  <c r="B6409" i="106"/>
  <c r="D6409" i="106" s="1"/>
  <c r="F129" i="34"/>
  <c r="B19" i="7"/>
  <c r="B1759" i="106" s="1"/>
  <c r="D1759" i="106" s="1"/>
  <c r="B5725" i="106"/>
  <c r="D5725" i="106" s="1"/>
  <c r="G109" i="5"/>
  <c r="G274" i="5"/>
  <c r="K279" i="29"/>
  <c r="K295" i="29" s="1"/>
  <c r="B1481" i="106"/>
  <c r="D1481" i="106" s="1"/>
  <c r="B180" i="106"/>
  <c r="D180" i="106" s="1"/>
  <c r="B5803" i="106"/>
  <c r="D5803" i="106" s="1"/>
  <c r="F130" i="34"/>
  <c r="F161" i="34"/>
  <c r="D279" i="29"/>
  <c r="G16" i="4"/>
  <c r="B2611" i="106" s="1"/>
  <c r="D2611" i="106" s="1"/>
  <c r="B1515" i="106"/>
  <c r="D1515" i="106" s="1"/>
  <c r="B3446" i="106"/>
  <c r="D3446" i="106" s="1"/>
  <c r="D16" i="7"/>
  <c r="B3447" i="106" s="1"/>
  <c r="D3447" i="106" s="1"/>
  <c r="H67" i="5"/>
  <c r="B5881" i="106" s="1"/>
  <c r="D5881" i="106" s="1"/>
  <c r="B5879" i="106"/>
  <c r="D5879" i="106" s="1"/>
  <c r="H7" i="4"/>
  <c r="B2657" i="106" s="1"/>
  <c r="D2657" i="106" s="1"/>
  <c r="B5914" i="106"/>
  <c r="D5914" i="106" s="1"/>
  <c r="B2102" i="106"/>
  <c r="D2102" i="106" s="1"/>
  <c r="H15" i="4"/>
  <c r="B2660" i="106" s="1"/>
  <c r="D2660" i="106" s="1"/>
  <c r="B5873" i="106"/>
  <c r="D5873" i="106" s="1"/>
  <c r="B203" i="106"/>
  <c r="D203" i="106" s="1"/>
  <c r="D18" i="7"/>
  <c r="B4105" i="106" s="1"/>
  <c r="D4105" i="106" s="1"/>
  <c r="K312" i="29"/>
  <c r="B1560" i="106" s="1"/>
  <c r="D1560" i="106" s="1"/>
  <c r="B1559" i="106"/>
  <c r="D1559" i="106" s="1"/>
  <c r="H13" i="4"/>
  <c r="E77" i="4"/>
  <c r="B3274" i="106"/>
  <c r="D3274" i="106" s="1"/>
  <c r="B5906" i="106"/>
  <c r="D5906" i="106" s="1"/>
  <c r="H6" i="4"/>
  <c r="B2656" i="106" s="1"/>
  <c r="D2656" i="106" s="1"/>
  <c r="B2888" i="106"/>
  <c r="D2888" i="106" s="1"/>
  <c r="B5918" i="106"/>
  <c r="D5918" i="106" s="1"/>
  <c r="I109" i="5"/>
  <c r="B1749" i="106"/>
  <c r="D1749" i="106" s="1"/>
  <c r="D10" i="7"/>
  <c r="B1765" i="106" s="1"/>
  <c r="D1765" i="106" s="1"/>
  <c r="B4216" i="106"/>
  <c r="D4216" i="106" s="1"/>
  <c r="I6" i="4"/>
  <c r="B5011" i="106" s="1"/>
  <c r="D5011" i="106" s="1"/>
  <c r="B6397" i="106"/>
  <c r="D6397" i="106" s="1"/>
  <c r="J6" i="4"/>
  <c r="B6221" i="106" s="1"/>
  <c r="D6221" i="106" s="1"/>
  <c r="B7054" i="106"/>
  <c r="D7054" i="106" s="1"/>
  <c r="J7" i="4"/>
  <c r="B6222" i="106" s="1"/>
  <c r="D6222" i="106" s="1"/>
  <c r="B7215" i="106"/>
  <c r="D7215" i="106" s="1"/>
  <c r="J16" i="4"/>
  <c r="B6226" i="106" s="1"/>
  <c r="D6226" i="106" s="1"/>
  <c r="B6316" i="106"/>
  <c r="D6316" i="106" s="1"/>
  <c r="J67" i="5"/>
  <c r="B7207" i="106"/>
  <c r="D7207" i="106" s="1"/>
  <c r="J13" i="4"/>
  <c r="G23" i="108"/>
  <c r="K342" i="29"/>
  <c r="E23" i="108"/>
  <c r="B6124" i="106"/>
  <c r="D6124" i="106" s="1"/>
  <c r="J367" i="29"/>
  <c r="B7245" i="106" s="1"/>
  <c r="D7245" i="106" s="1"/>
  <c r="B7235" i="106"/>
  <c r="D7235" i="106" s="1"/>
  <c r="D367" i="29"/>
  <c r="B3629" i="106" s="1"/>
  <c r="D3629" i="106" s="1"/>
  <c r="B3628" i="106"/>
  <c r="D3628" i="106" s="1"/>
  <c r="K352" i="29"/>
  <c r="B3670" i="106"/>
  <c r="D3670" i="106" s="1"/>
  <c r="B6022" i="106"/>
  <c r="D6022" i="106" s="1"/>
  <c r="K7" i="4"/>
  <c r="B3318" i="106"/>
  <c r="D3318" i="106" s="1"/>
  <c r="I77" i="4"/>
  <c r="B3642" i="106"/>
  <c r="D3642" i="106" s="1"/>
  <c r="F367" i="29"/>
  <c r="B3643" i="106" s="1"/>
  <c r="D3643" i="106" s="1"/>
  <c r="I367" i="29"/>
  <c r="B7234" i="106"/>
  <c r="D7234" i="106" s="1"/>
  <c r="H367" i="29"/>
  <c r="B3660" i="106" s="1"/>
  <c r="D3660" i="106" s="1"/>
  <c r="B3656" i="106"/>
  <c r="D3656" i="106" s="1"/>
  <c r="B3635" i="106"/>
  <c r="D3635" i="106" s="1"/>
  <c r="E367" i="29"/>
  <c r="B3636" i="106" s="1"/>
  <c r="D3636" i="106" s="1"/>
  <c r="B3565" i="106"/>
  <c r="D3565" i="106" s="1"/>
  <c r="B3649" i="106"/>
  <c r="D3649" i="106" s="1"/>
  <c r="G367" i="29"/>
  <c r="B3650" i="106" s="1"/>
  <c r="D3650" i="106" s="1"/>
  <c r="K6" i="4"/>
  <c r="B3570" i="106" s="1"/>
  <c r="D3570" i="106" s="1"/>
  <c r="B6014" i="106"/>
  <c r="D6014" i="106" s="1"/>
  <c r="K365" i="29"/>
  <c r="B3676" i="106"/>
  <c r="D3676" i="106" s="1"/>
  <c r="C367" i="29"/>
  <c r="B3622" i="106" s="1"/>
  <c r="D3622" i="106" s="1"/>
  <c r="B3621" i="106"/>
  <c r="D3621" i="106" s="1"/>
  <c r="B5994" i="106"/>
  <c r="D5994" i="106" s="1"/>
  <c r="K67" i="5"/>
  <c r="B1769" i="106"/>
  <c r="D1769" i="106" s="1"/>
  <c r="L114" i="29" l="1"/>
  <c r="E109" i="5"/>
  <c r="D41" i="108"/>
  <c r="E43" i="108" s="1"/>
  <c r="F41" i="108"/>
  <c r="G43" i="108" s="1"/>
  <c r="H109" i="5"/>
  <c r="E19" i="145"/>
  <c r="H114" i="29"/>
  <c r="B1054" i="106" s="1"/>
  <c r="D1054" i="106" s="1"/>
  <c r="H210" i="29"/>
  <c r="B1376" i="106" s="1"/>
  <c r="D1376" i="106" s="1"/>
  <c r="B7020" i="106"/>
  <c r="D7020" i="106" s="1"/>
  <c r="F55" i="34"/>
  <c r="B5121" i="106"/>
  <c r="D5121" i="106" s="1"/>
  <c r="C4" i="4"/>
  <c r="B91" i="106"/>
  <c r="D91" i="106" s="1"/>
  <c r="B6978" i="106"/>
  <c r="D6978" i="106" s="1"/>
  <c r="J114" i="29"/>
  <c r="B7021" i="106" s="1"/>
  <c r="D7021" i="106" s="1"/>
  <c r="B1093" i="106"/>
  <c r="D1093" i="106" s="1"/>
  <c r="K33" i="29"/>
  <c r="C273" i="5"/>
  <c r="B5147" i="106"/>
  <c r="D5147" i="106" s="1"/>
  <c r="C172" i="5"/>
  <c r="B952" i="106"/>
  <c r="D952" i="106" s="1"/>
  <c r="G114" i="29"/>
  <c r="B2088" i="106"/>
  <c r="D2088" i="106" s="1"/>
  <c r="K102" i="29"/>
  <c r="B1151" i="106"/>
  <c r="D1151" i="106" s="1"/>
  <c r="K112" i="29"/>
  <c r="B1115" i="106"/>
  <c r="D1115" i="106" s="1"/>
  <c r="K74" i="29"/>
  <c r="E114" i="29"/>
  <c r="B873" i="106" s="1"/>
  <c r="D873" i="106" s="1"/>
  <c r="B5356" i="106"/>
  <c r="D5356" i="106" s="1"/>
  <c r="D4" i="4"/>
  <c r="D275" i="5"/>
  <c r="B1287" i="106"/>
  <c r="D1287" i="106" s="1"/>
  <c r="D16" i="4"/>
  <c r="B2572" i="106" s="1"/>
  <c r="D2572" i="106" s="1"/>
  <c r="F19" i="145"/>
  <c r="G15" i="145"/>
  <c r="G19" i="145" s="1"/>
  <c r="J20" i="145" s="1"/>
  <c r="F59" i="34"/>
  <c r="B7051" i="106"/>
  <c r="D7051" i="106" s="1"/>
  <c r="D7" i="4"/>
  <c r="B2567" i="106" s="1"/>
  <c r="D2567" i="106" s="1"/>
  <c r="B5507" i="106"/>
  <c r="D5507" i="106" s="1"/>
  <c r="B5421" i="106"/>
  <c r="D5421" i="106" s="1"/>
  <c r="D6" i="4"/>
  <c r="B2566" i="106" s="1"/>
  <c r="D2566" i="106" s="1"/>
  <c r="B1241" i="106"/>
  <c r="D1241" i="106" s="1"/>
  <c r="E151" i="29"/>
  <c r="B1242" i="106" s="1"/>
  <c r="D1242" i="106" s="1"/>
  <c r="F58" i="34"/>
  <c r="B1259" i="106"/>
  <c r="D1259" i="106" s="1"/>
  <c r="B1279" i="106"/>
  <c r="D1279" i="106" s="1"/>
  <c r="K129" i="29"/>
  <c r="F57" i="34"/>
  <c r="D15" i="4"/>
  <c r="B2571" i="106" s="1"/>
  <c r="D2571" i="106" s="1"/>
  <c r="B1282" i="106"/>
  <c r="D1282" i="106" s="1"/>
  <c r="B4434" i="106"/>
  <c r="D4434" i="106" s="1"/>
  <c r="E7" i="4"/>
  <c r="B4443" i="106" s="1"/>
  <c r="D4443" i="106" s="1"/>
  <c r="B2633" i="106"/>
  <c r="D2633" i="106" s="1"/>
  <c r="K174" i="29"/>
  <c r="B1331" i="106"/>
  <c r="D1331" i="106" s="1"/>
  <c r="E16" i="4"/>
  <c r="B2634" i="106" s="1"/>
  <c r="D2634" i="106" s="1"/>
  <c r="E4" i="4"/>
  <c r="B5527" i="106"/>
  <c r="D5527" i="106" s="1"/>
  <c r="E275" i="5"/>
  <c r="D19" i="7"/>
  <c r="B1775" i="106" s="1"/>
  <c r="D1775" i="106" s="1"/>
  <c r="B7071" i="106"/>
  <c r="D7071" i="106" s="1"/>
  <c r="F66" i="34"/>
  <c r="C210" i="29"/>
  <c r="B1340" i="106" s="1"/>
  <c r="D1340" i="106" s="1"/>
  <c r="B1339" i="106"/>
  <c r="D1339" i="106" s="1"/>
  <c r="B4087" i="106"/>
  <c r="D4087" i="106" s="1"/>
  <c r="K184" i="29"/>
  <c r="G21" i="108"/>
  <c r="E21" i="108"/>
  <c r="B4157" i="106"/>
  <c r="D4157" i="106" s="1"/>
  <c r="K208" i="29"/>
  <c r="F173" i="5"/>
  <c r="F109" i="5"/>
  <c r="B5713" i="106"/>
  <c r="D5713" i="106" s="1"/>
  <c r="F274" i="5"/>
  <c r="B1377" i="106"/>
  <c r="D1377" i="106" s="1"/>
  <c r="G29" i="108"/>
  <c r="E29" i="108"/>
  <c r="B169" i="106"/>
  <c r="D169" i="106" s="1"/>
  <c r="B2837" i="106"/>
  <c r="D2837" i="106" s="1"/>
  <c r="K196" i="29"/>
  <c r="F210" i="29"/>
  <c r="B1359" i="106" s="1"/>
  <c r="D1359" i="106" s="1"/>
  <c r="B1358" i="106"/>
  <c r="D1358" i="106" s="1"/>
  <c r="B1365" i="106"/>
  <c r="D1365" i="106" s="1"/>
  <c r="F65" i="34"/>
  <c r="F12" i="34"/>
  <c r="B1517" i="106"/>
  <c r="D1517" i="106" s="1"/>
  <c r="B2607" i="106"/>
  <c r="D2607" i="106" s="1"/>
  <c r="G13" i="4"/>
  <c r="B2608" i="106" s="1"/>
  <c r="D2608" i="106" s="1"/>
  <c r="B1510" i="106"/>
  <c r="D1510" i="106" s="1"/>
  <c r="D295" i="29"/>
  <c r="B1448" i="106" s="1"/>
  <c r="D1448" i="106" s="1"/>
  <c r="B1446" i="106"/>
  <c r="D1446" i="106" s="1"/>
  <c r="B5869" i="106"/>
  <c r="D5869" i="106" s="1"/>
  <c r="G7" i="4"/>
  <c r="B2605" i="106" s="1"/>
  <c r="D2605" i="106" s="1"/>
  <c r="B6024" i="106"/>
  <c r="D6024" i="106" s="1"/>
  <c r="G4" i="4"/>
  <c r="B5770" i="106"/>
  <c r="D5770" i="106" s="1"/>
  <c r="G173" i="5"/>
  <c r="F178" i="34"/>
  <c r="B6025" i="106"/>
  <c r="D6025" i="106" s="1"/>
  <c r="H275" i="5"/>
  <c r="H4" i="4"/>
  <c r="B3277" i="106"/>
  <c r="D3277" i="106" s="1"/>
  <c r="B2659" i="106"/>
  <c r="D2659" i="106" s="1"/>
  <c r="H17" i="4"/>
  <c r="B6026" i="106"/>
  <c r="D6026" i="106" s="1"/>
  <c r="I275" i="5"/>
  <c r="B5946" i="106" s="1"/>
  <c r="D5946" i="106" s="1"/>
  <c r="I4" i="4"/>
  <c r="F13" i="34"/>
  <c r="B7224" i="106"/>
  <c r="D7224" i="106" s="1"/>
  <c r="B7042" i="106"/>
  <c r="D7042" i="106" s="1"/>
  <c r="J17" i="4"/>
  <c r="B6318" i="106"/>
  <c r="D6318" i="106" s="1"/>
  <c r="J109" i="5"/>
  <c r="B3718" i="106"/>
  <c r="D3718" i="106" s="1"/>
  <c r="B5995" i="106"/>
  <c r="D5995" i="106" s="1"/>
  <c r="K109" i="5"/>
  <c r="B7244" i="106"/>
  <c r="D7244" i="106" s="1"/>
  <c r="F17" i="11"/>
  <c r="K13" i="4"/>
  <c r="K367" i="29"/>
  <c r="B3678" i="106" s="1"/>
  <c r="D3678" i="106" s="1"/>
  <c r="B3672" i="106"/>
  <c r="D3672" i="106" s="1"/>
  <c r="B3319" i="106"/>
  <c r="D3319" i="106" s="1"/>
  <c r="B7243" i="106"/>
  <c r="D7243" i="106" s="1"/>
  <c r="K16" i="4"/>
  <c r="B3574" i="106" s="1"/>
  <c r="D3574" i="106" s="1"/>
  <c r="B7019" i="106" l="1"/>
  <c r="D7019" i="106" s="1"/>
  <c r="C16" i="4"/>
  <c r="B2560" i="106" s="1"/>
  <c r="D2560" i="106" s="1"/>
  <c r="B1143" i="106"/>
  <c r="D1143" i="106" s="1"/>
  <c r="C13" i="4"/>
  <c r="B2557" i="106" s="1"/>
  <c r="D2557" i="106" s="1"/>
  <c r="B5214" i="106"/>
  <c r="D5214" i="106" s="1"/>
  <c r="C173" i="5"/>
  <c r="B5320" i="106"/>
  <c r="D5320" i="106" s="1"/>
  <c r="C274" i="5"/>
  <c r="C12" i="4"/>
  <c r="B1108" i="106"/>
  <c r="D1108" i="106" s="1"/>
  <c r="K114" i="29"/>
  <c r="E19" i="108"/>
  <c r="E41" i="108" s="1"/>
  <c r="E44" i="108" s="1"/>
  <c r="E45" i="108" s="1"/>
  <c r="G19" i="108"/>
  <c r="G41" i="108" s="1"/>
  <c r="G44" i="108" s="1"/>
  <c r="G45" i="108" s="1"/>
  <c r="B2551" i="106"/>
  <c r="D2551" i="106" s="1"/>
  <c r="F53" i="34"/>
  <c r="B1145" i="106"/>
  <c r="D1145" i="106" s="1"/>
  <c r="C15" i="4"/>
  <c r="B2559" i="106" s="1"/>
  <c r="D2559" i="106" s="1"/>
  <c r="F54" i="34"/>
  <c r="B989" i="106"/>
  <c r="D989" i="106" s="1"/>
  <c r="K151" i="29"/>
  <c r="K152" i="29" s="1"/>
  <c r="B1289" i="106" s="1"/>
  <c r="D1289" i="106" s="1"/>
  <c r="D13" i="4"/>
  <c r="B1281" i="106"/>
  <c r="D1281" i="106" s="1"/>
  <c r="B5508" i="106"/>
  <c r="D5508" i="106" s="1"/>
  <c r="B2564" i="106"/>
  <c r="D2564" i="106" s="1"/>
  <c r="D8" i="4"/>
  <c r="B2630" i="106"/>
  <c r="D2630" i="106" s="1"/>
  <c r="E8" i="4"/>
  <c r="F10" i="34"/>
  <c r="B1332" i="106"/>
  <c r="D1332" i="106" s="1"/>
  <c r="E17" i="4"/>
  <c r="B5552" i="106"/>
  <c r="D5552" i="106" s="1"/>
  <c r="K175" i="29"/>
  <c r="B1333" i="106" s="1"/>
  <c r="D1333" i="106" s="1"/>
  <c r="B140" i="106"/>
  <c r="D140" i="106" s="1"/>
  <c r="E41" i="3"/>
  <c r="F4" i="4"/>
  <c r="B5588" i="106"/>
  <c r="D5588" i="106" s="1"/>
  <c r="F275" i="5"/>
  <c r="B5653" i="106"/>
  <c r="D5653" i="106" s="1"/>
  <c r="F6" i="4"/>
  <c r="B2593" i="106" s="1"/>
  <c r="D2593" i="106" s="1"/>
  <c r="F16" i="4"/>
  <c r="B2599" i="106" s="1"/>
  <c r="D2599" i="106" s="1"/>
  <c r="B1387" i="106"/>
  <c r="D1387" i="106" s="1"/>
  <c r="F7" i="4"/>
  <c r="B5719" i="106"/>
  <c r="D5719" i="106" s="1"/>
  <c r="F13" i="4"/>
  <c r="B1381" i="106"/>
  <c r="D1381" i="106" s="1"/>
  <c r="K210" i="29"/>
  <c r="B1382" i="106"/>
  <c r="D1382" i="106" s="1"/>
  <c r="F15" i="4"/>
  <c r="B2598" i="106" s="1"/>
  <c r="D2598" i="106" s="1"/>
  <c r="F63" i="34"/>
  <c r="B5778" i="106"/>
  <c r="D5778" i="106" s="1"/>
  <c r="G6" i="4"/>
  <c r="B2604" i="106" s="1"/>
  <c r="D2604" i="106" s="1"/>
  <c r="G275" i="5"/>
  <c r="B2603" i="106"/>
  <c r="D2603" i="106" s="1"/>
  <c r="G17" i="4"/>
  <c r="H19" i="4"/>
  <c r="B4141" i="106" s="1"/>
  <c r="D4141" i="106" s="1"/>
  <c r="B2661" i="106"/>
  <c r="D2661" i="106" s="1"/>
  <c r="H8" i="4"/>
  <c r="B2655" i="106"/>
  <c r="D2655" i="106" s="1"/>
  <c r="B5915" i="106"/>
  <c r="D5915" i="106" s="1"/>
  <c r="K313" i="29"/>
  <c r="B1561" i="106" s="1"/>
  <c r="D1561" i="106" s="1"/>
  <c r="B2912" i="106"/>
  <c r="D2912" i="106" s="1"/>
  <c r="I41" i="3"/>
  <c r="B3225" i="106"/>
  <c r="D3225" i="106" s="1"/>
  <c r="I8" i="4"/>
  <c r="J275" i="5"/>
  <c r="B6352" i="106"/>
  <c r="D6352" i="106" s="1"/>
  <c r="J4" i="4"/>
  <c r="B6215" i="106"/>
  <c r="D6215" i="106" s="1"/>
  <c r="J41" i="3"/>
  <c r="J19" i="4"/>
  <c r="B6229" i="106" s="1"/>
  <c r="D6229" i="106" s="1"/>
  <c r="B6227" i="106"/>
  <c r="D6227" i="106" s="1"/>
  <c r="K17" i="4"/>
  <c r="B3572" i="106"/>
  <c r="D3572" i="106" s="1"/>
  <c r="I17" i="11"/>
  <c r="B7624" i="106"/>
  <c r="D7624" i="106" s="1"/>
  <c r="B6028" i="106"/>
  <c r="D6028" i="106" s="1"/>
  <c r="K275" i="5"/>
  <c r="K4" i="4"/>
  <c r="G8" i="4" l="1"/>
  <c r="F76" i="34"/>
  <c r="C6" i="4"/>
  <c r="B5223" i="106"/>
  <c r="D5223" i="106" s="1"/>
  <c r="C275" i="5"/>
  <c r="B2556" i="106"/>
  <c r="D2556" i="106" s="1"/>
  <c r="C17" i="4"/>
  <c r="B5326" i="106"/>
  <c r="D5326" i="106" s="1"/>
  <c r="C7" i="4"/>
  <c r="B2554" i="106" s="1"/>
  <c r="D2554" i="106" s="1"/>
  <c r="B1152" i="106"/>
  <c r="D1152" i="106" s="1"/>
  <c r="F8" i="34"/>
  <c r="C8" i="146"/>
  <c r="B2568" i="106"/>
  <c r="D2568" i="106" s="1"/>
  <c r="D10" i="4"/>
  <c r="B4123" i="106" s="1"/>
  <c r="D4123" i="106" s="1"/>
  <c r="B2569" i="106"/>
  <c r="D2569" i="106" s="1"/>
  <c r="D17" i="4"/>
  <c r="B1288" i="106"/>
  <c r="D1288" i="106" s="1"/>
  <c r="F9" i="34"/>
  <c r="E19" i="4"/>
  <c r="B4138" i="106" s="1"/>
  <c r="D4138" i="106" s="1"/>
  <c r="B2635" i="106"/>
  <c r="D2635" i="106" s="1"/>
  <c r="B2632" i="106"/>
  <c r="D2632" i="106" s="1"/>
  <c r="E20" i="4"/>
  <c r="E10" i="4"/>
  <c r="B4124" i="106" s="1"/>
  <c r="D4124" i="106" s="1"/>
  <c r="B141" i="106"/>
  <c r="D141" i="106" s="1"/>
  <c r="D46" i="36"/>
  <c r="F11" i="34"/>
  <c r="B1388" i="106"/>
  <c r="D1388" i="106" s="1"/>
  <c r="B2596" i="106"/>
  <c r="D2596" i="106" s="1"/>
  <c r="F17" i="4"/>
  <c r="B5720" i="106"/>
  <c r="D5720" i="106" s="1"/>
  <c r="K211" i="29"/>
  <c r="B1389" i="106" s="1"/>
  <c r="D1389" i="106" s="1"/>
  <c r="B2594" i="106"/>
  <c r="D2594" i="106" s="1"/>
  <c r="D10" i="171"/>
  <c r="D19" i="171" s="1"/>
  <c r="D32" i="171" s="1"/>
  <c r="D49" i="171" s="1"/>
  <c r="B2591" i="106"/>
  <c r="D2591" i="106" s="1"/>
  <c r="F8" i="4"/>
  <c r="G10" i="4"/>
  <c r="B4126" i="106" s="1"/>
  <c r="D4126" i="106" s="1"/>
  <c r="G20" i="4"/>
  <c r="B2606" i="106"/>
  <c r="D2606" i="106" s="1"/>
  <c r="G19" i="4"/>
  <c r="B4140" i="106" s="1"/>
  <c r="D4140" i="106" s="1"/>
  <c r="B2612" i="106"/>
  <c r="D2612" i="106" s="1"/>
  <c r="B5870" i="106"/>
  <c r="D5870" i="106" s="1"/>
  <c r="K296" i="29"/>
  <c r="B1518" i="106" s="1"/>
  <c r="D1518" i="106" s="1"/>
  <c r="H10" i="4"/>
  <c r="B4127" i="106" s="1"/>
  <c r="D4127" i="106" s="1"/>
  <c r="B2658" i="106"/>
  <c r="D2658" i="106" s="1"/>
  <c r="H20" i="4"/>
  <c r="B3226" i="106"/>
  <c r="D3226" i="106" s="1"/>
  <c r="I20" i="4"/>
  <c r="E8" i="146"/>
  <c r="I10" i="4"/>
  <c r="B4128" i="106" s="1"/>
  <c r="D4128" i="106" s="1"/>
  <c r="B2913" i="106"/>
  <c r="D2913" i="106" s="1"/>
  <c r="D50" i="36"/>
  <c r="B6216" i="106"/>
  <c r="D6216" i="106" s="1"/>
  <c r="D51" i="36"/>
  <c r="B6220" i="106"/>
  <c r="D6220" i="106" s="1"/>
  <c r="J8" i="4"/>
  <c r="B7055" i="106"/>
  <c r="D7055" i="106" s="1"/>
  <c r="K343" i="29"/>
  <c r="B7225" i="106" s="1"/>
  <c r="D7225" i="106" s="1"/>
  <c r="K8" i="4"/>
  <c r="B3569" i="106"/>
  <c r="D3569" i="106" s="1"/>
  <c r="K368" i="29"/>
  <c r="B3681" i="106" s="1"/>
  <c r="D3681" i="106" s="1"/>
  <c r="B6023" i="106"/>
  <c r="D6023" i="106" s="1"/>
  <c r="I18" i="11"/>
  <c r="B7625" i="106"/>
  <c r="D7625" i="106" s="1"/>
  <c r="K19" i="4"/>
  <c r="B4144" i="106" s="1"/>
  <c r="D4144" i="106" s="1"/>
  <c r="B3575" i="106"/>
  <c r="D3575" i="106" s="1"/>
  <c r="F14" i="34" l="1"/>
  <c r="F77" i="34" s="1"/>
  <c r="F179" i="34" s="1"/>
  <c r="B5327" i="106"/>
  <c r="D5327" i="106" s="1"/>
  <c r="K115" i="29"/>
  <c r="B1153" i="106" s="1"/>
  <c r="D1153" i="106" s="1"/>
  <c r="C19" i="4"/>
  <c r="B4136" i="106" s="1"/>
  <c r="D4136" i="106" s="1"/>
  <c r="B2561" i="106"/>
  <c r="D2561" i="106" s="1"/>
  <c r="B9" i="146"/>
  <c r="B2553" i="106"/>
  <c r="D2553" i="106" s="1"/>
  <c r="C8" i="4"/>
  <c r="B2573" i="106"/>
  <c r="D2573" i="106" s="1"/>
  <c r="C9" i="146"/>
  <c r="C10" i="146" s="1"/>
  <c r="D19" i="4"/>
  <c r="B4137" i="106" s="1"/>
  <c r="D4137" i="106" s="1"/>
  <c r="D20" i="4"/>
  <c r="B123" i="106"/>
  <c r="D123" i="106" s="1"/>
  <c r="D41" i="3"/>
  <c r="B2636" i="106"/>
  <c r="D2636" i="106" s="1"/>
  <c r="E78" i="4"/>
  <c r="B282" i="106"/>
  <c r="D282" i="106" s="1"/>
  <c r="N23" i="3"/>
  <c r="F16" i="37"/>
  <c r="D9" i="146"/>
  <c r="F19" i="4"/>
  <c r="B4139" i="106" s="1"/>
  <c r="D4139" i="106" s="1"/>
  <c r="H17" i="118"/>
  <c r="H25" i="118" s="1"/>
  <c r="K24" i="118" s="1"/>
  <c r="O23" i="118" s="1"/>
  <c r="O25" i="118" s="1"/>
  <c r="B2600" i="106"/>
  <c r="D2600" i="106" s="1"/>
  <c r="F20" i="4"/>
  <c r="F10" i="4"/>
  <c r="B4125" i="106" s="1"/>
  <c r="D4125" i="106" s="1"/>
  <c r="B2595" i="106"/>
  <c r="D2595" i="106" s="1"/>
  <c r="D8" i="146"/>
  <c r="G78" i="4"/>
  <c r="B2613" i="106"/>
  <c r="D2613" i="106" s="1"/>
  <c r="B189" i="106"/>
  <c r="D189" i="106" s="1"/>
  <c r="G41" i="3"/>
  <c r="B212" i="106"/>
  <c r="D212" i="106" s="1"/>
  <c r="H41" i="3"/>
  <c r="H78" i="4"/>
  <c r="B2662" i="106"/>
  <c r="D2662" i="106" s="1"/>
  <c r="E10" i="146"/>
  <c r="B3227" i="106"/>
  <c r="D3227" i="106" s="1"/>
  <c r="I78" i="4"/>
  <c r="J20" i="4"/>
  <c r="B6223" i="106"/>
  <c r="D6223" i="106" s="1"/>
  <c r="J10" i="4"/>
  <c r="B6225" i="106" s="1"/>
  <c r="D6225" i="106" s="1"/>
  <c r="B7631" i="106"/>
  <c r="D7631" i="106" s="1"/>
  <c r="F180" i="34"/>
  <c r="F181" i="34" s="1"/>
  <c r="F183" i="34" s="1"/>
  <c r="B3567" i="106"/>
  <c r="D3567" i="106" s="1"/>
  <c r="K41" i="3"/>
  <c r="B3571" i="106"/>
  <c r="D3571" i="106" s="1"/>
  <c r="K10" i="4"/>
  <c r="B4130" i="106" s="1"/>
  <c r="D4130" i="106" s="1"/>
  <c r="K20" i="4"/>
  <c r="D10" i="146" l="1"/>
  <c r="F9" i="146"/>
  <c r="D76" i="36"/>
  <c r="C10" i="4"/>
  <c r="B4122" i="106" s="1"/>
  <c r="D4122" i="106" s="1"/>
  <c r="B8" i="146"/>
  <c r="C20" i="4"/>
  <c r="B2555" i="106"/>
  <c r="D2555" i="106" s="1"/>
  <c r="H18" i="118"/>
  <c r="K17" i="118" s="1"/>
  <c r="O16" i="118" s="1"/>
  <c r="D16" i="37"/>
  <c r="H16" i="37" s="1"/>
  <c r="H13" i="118"/>
  <c r="B92" i="106"/>
  <c r="D92" i="106" s="1"/>
  <c r="C41" i="3"/>
  <c r="B124" i="106"/>
  <c r="D124" i="106" s="1"/>
  <c r="D45" i="36"/>
  <c r="B2574" i="106"/>
  <c r="D2574" i="106" s="1"/>
  <c r="D78" i="4"/>
  <c r="B284" i="106"/>
  <c r="D284" i="106" s="1"/>
  <c r="D55" i="36"/>
  <c r="B3278" i="106"/>
  <c r="D3278" i="106" s="1"/>
  <c r="E81" i="4"/>
  <c r="F78" i="4"/>
  <c r="B2601" i="106"/>
  <c r="D2601" i="106" s="1"/>
  <c r="B170" i="106"/>
  <c r="D170" i="106" s="1"/>
  <c r="F41" i="3"/>
  <c r="B190" i="106"/>
  <c r="D190" i="106" s="1"/>
  <c r="D48" i="36"/>
  <c r="B3262" i="106"/>
  <c r="D3262" i="106" s="1"/>
  <c r="G81" i="4"/>
  <c r="B3300" i="106"/>
  <c r="D3300" i="106" s="1"/>
  <c r="H81" i="4"/>
  <c r="B213" i="106"/>
  <c r="D213" i="106" s="1"/>
  <c r="D49" i="36"/>
  <c r="B3320" i="106"/>
  <c r="D3320" i="106" s="1"/>
  <c r="I81" i="4"/>
  <c r="B6230" i="106"/>
  <c r="D6230" i="106" s="1"/>
  <c r="J78" i="4"/>
  <c r="B3568" i="106"/>
  <c r="D3568" i="106" s="1"/>
  <c r="D52" i="36"/>
  <c r="B3576" i="106"/>
  <c r="D3576" i="106" s="1"/>
  <c r="K78" i="4"/>
  <c r="B2562" i="106" l="1"/>
  <c r="D2562" i="106" s="1"/>
  <c r="C78" i="4"/>
  <c r="B93" i="106"/>
  <c r="D93" i="106" s="1"/>
  <c r="D44" i="36"/>
  <c r="B10" i="146"/>
  <c r="F8" i="146"/>
  <c r="F10" i="146" s="1"/>
  <c r="B3239" i="106"/>
  <c r="D3239" i="106" s="1"/>
  <c r="D81" i="4"/>
  <c r="D59" i="36"/>
  <c r="B1658" i="106"/>
  <c r="D1658" i="106" s="1"/>
  <c r="E82" i="4"/>
  <c r="B171" i="106"/>
  <c r="D171" i="106" s="1"/>
  <c r="D47" i="36"/>
  <c r="B3256" i="106"/>
  <c r="D3256" i="106" s="1"/>
  <c r="F81" i="4"/>
  <c r="G82" i="4"/>
  <c r="B1686" i="106"/>
  <c r="D1686" i="106" s="1"/>
  <c r="D61" i="36"/>
  <c r="H82" i="4"/>
  <c r="B1700" i="106"/>
  <c r="D1700" i="106" s="1"/>
  <c r="D62" i="36"/>
  <c r="E11" i="146"/>
  <c r="I82" i="4"/>
  <c r="B3323" i="106"/>
  <c r="D3323" i="106" s="1"/>
  <c r="D63" i="36"/>
  <c r="B6263" i="106"/>
  <c r="D6263" i="106" s="1"/>
  <c r="J81" i="4"/>
  <c r="B3588" i="106"/>
  <c r="D3588" i="106" s="1"/>
  <c r="K81" i="4"/>
  <c r="B3233" i="106" l="1"/>
  <c r="D3233" i="106" s="1"/>
  <c r="C81" i="4"/>
  <c r="B1644" i="106"/>
  <c r="D1644" i="106" s="1"/>
  <c r="D82" i="4"/>
  <c r="C11" i="146"/>
  <c r="D58" i="36"/>
  <c r="E83" i="4"/>
  <c r="B6278" i="106" s="1"/>
  <c r="D6278" i="106" s="1"/>
  <c r="B6269" i="106"/>
  <c r="D6269" i="106" s="1"/>
  <c r="D11" i="146"/>
  <c r="B1672" i="106"/>
  <c r="D1672" i="106" s="1"/>
  <c r="F82" i="4"/>
  <c r="D60" i="36"/>
  <c r="B6271" i="106"/>
  <c r="D6271" i="106" s="1"/>
  <c r="G83" i="4"/>
  <c r="B6280" i="106" s="1"/>
  <c r="D6280" i="106" s="1"/>
  <c r="B6272" i="106"/>
  <c r="D6272" i="106" s="1"/>
  <c r="H83" i="4"/>
  <c r="B6281" i="106" s="1"/>
  <c r="D6281" i="106" s="1"/>
  <c r="I83" i="4"/>
  <c r="B6282" i="106" s="1"/>
  <c r="D6282" i="106" s="1"/>
  <c r="B6273" i="106"/>
  <c r="D6273" i="106" s="1"/>
  <c r="B6266" i="106"/>
  <c r="D6266" i="106" s="1"/>
  <c r="J82" i="4"/>
  <c r="D64" i="36"/>
  <c r="H12" i="118"/>
  <c r="K12" i="118" s="1"/>
  <c r="K82" i="4"/>
  <c r="B3591" i="106"/>
  <c r="D3591" i="106" s="1"/>
  <c r="D65" i="36"/>
  <c r="B11" i="146" l="1"/>
  <c r="F11" i="146" s="1"/>
  <c r="C12" i="146" s="1"/>
  <c r="C82" i="4"/>
  <c r="B1630" i="106"/>
  <c r="D1630" i="106" s="1"/>
  <c r="D57" i="36"/>
  <c r="J16" i="37"/>
  <c r="B4269" i="106" s="1"/>
  <c r="D4269" i="106" s="1"/>
  <c r="B6268" i="106"/>
  <c r="D6268" i="106" s="1"/>
  <c r="D83" i="4"/>
  <c r="B6277" i="106" s="1"/>
  <c r="D6277" i="106" s="1"/>
  <c r="D29" i="36"/>
  <c r="B6270" i="106"/>
  <c r="D6270" i="106" s="1"/>
  <c r="F83" i="4"/>
  <c r="B6279" i="106" s="1"/>
  <c r="D6279" i="106" s="1"/>
  <c r="O11" i="118"/>
  <c r="O13" i="118" s="1"/>
  <c r="J20" i="118"/>
  <c r="B6274" i="106"/>
  <c r="D6274" i="106" s="1"/>
  <c r="J83" i="4"/>
  <c r="B6283" i="106" s="1"/>
  <c r="D6283" i="106" s="1"/>
  <c r="B6275" i="106"/>
  <c r="D6275" i="106" s="1"/>
  <c r="K83" i="4"/>
  <c r="B6284" i="106" s="1"/>
  <c r="D6284" i="106" s="1"/>
  <c r="C83" i="4" l="1"/>
  <c r="B6276" i="106" s="1"/>
  <c r="D6276" i="106" s="1"/>
  <c r="B6267" i="106"/>
  <c r="D6267" i="106" s="1"/>
  <c r="O17" i="118"/>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<sst xmlns="http://schemas.openxmlformats.org/spreadsheetml/2006/main" count="5385" uniqueCount="2251">
  <si>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</si>
  <si>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</si>
  <si>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</si>
  <si>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</si>
  <si>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</si>
  <si>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</si>
  <si>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</si>
  <si>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</si>
  <si>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</si>
  <si>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</si>
  <si>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</si>
  <si>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</si>
  <si>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</si>
  <si>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</si>
  <si>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</si>
  <si>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</si>
  <si>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</si>
  <si>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</si>
  <si>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</si>
  <si>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</si>
  <si>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</si>
  <si>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</si>
  <si>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</si>
  <si>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</si>
  <si>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</si>
  <si>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</si>
  <si>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</si>
  <si>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</si>
  <si>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</si>
  <si>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</si>
  <si>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</si>
  <si>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</si>
  <si>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</si>
  <si>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</si>
  <si>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</si>
  <si>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</si>
  <si>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</si>
  <si>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</si>
  <si>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</si>
  <si>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</si>
  <si>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</si>
  <si>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</si>
  <si>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</si>
  <si>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</si>
  <si>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</si>
  <si>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</si>
  <si>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</si>
  <si>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</si>
  <si>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</si>
  <si>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</si>
  <si>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</si>
  <si>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</si>
  <si>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</si>
  <si>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</si>
  <si>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</si>
  <si>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</si>
  <si>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</si>
  <si>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</si>
  <si>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</si>
  <si>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</si>
  <si>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</si>
  <si>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</si>
  <si>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</si>
  <si>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</si>
  <si>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</si>
  <si>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</si>
  <si>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</si>
  <si>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</si>
  <si>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</si>
  <si>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</si>
  <si>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</si>
  <si>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</si>
  <si>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</si>
  <si>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</si>
  <si>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</si>
  <si>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</si>
  <si>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</si>
  <si>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</si>
  <si>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</si>
  <si>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</si>
  <si>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</si>
  <si>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</si>
  <si>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</si>
  <si>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</si>
  <si>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</si>
  <si>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</si>
  <si>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</si>
  <si>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</si>
  <si>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</si>
  <si>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</si>
  <si>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</si>
  <si>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</si>
  <si>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</si>
  <si>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</si>
  <si>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</si>
  <si>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</si>
  <si>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</si>
  <si>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</si>
  <si>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</si>
  <si>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</si>
  <si>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</si>
  <si>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</si>
  <si>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</si>
  <si>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</si>
  <si>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</si>
  <si>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</si>
  <si>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</si>
  <si>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</si>
  <si>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</si>
  <si>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</si>
  <si>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</si>
  <si>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</si>
  <si>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</si>
  <si>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</si>
  <si>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</si>
  <si>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</si>
  <si>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</si>
  <si>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</si>
  <si>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</si>
  <si>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</si>
  <si>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</si>
  <si>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</si>
  <si>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</si>
  <si>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</si>
  <si>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</si>
  <si>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</si>
  <si>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</si>
  <si>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</si>
  <si>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</si>
  <si>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</si>
  <si>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</si>
  <si>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</si>
  <si>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</si>
  <si>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</si>
  <si>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</si>
  <si>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</si>
  <si>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</si>
  <si>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</si>
  <si>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</si>
  <si>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</si>
  <si>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</si>
  <si>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</si>
  <si>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</si>
  <si>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</si>
  <si>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</si>
  <si>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</si>
  <si>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</si>
  <si>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</si>
  <si>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</si>
  <si>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</si>
  <si>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</si>
  <si>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</si>
  <si>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</si>
  <si>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</si>
  <si>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</si>
  <si>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</si>
  <si>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</si>
  <si>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</si>
  <si>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</si>
  <si>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</si>
  <si>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</si>
  <si>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</si>
  <si>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</si>
  <si>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</si>
  <si>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</si>
  <si>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</si>
  <si>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</si>
  <si>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</si>
  <si>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</si>
  <si>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</si>
  <si>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</si>
  <si>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</si>
  <si>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</si>
  <si>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</si>
  <si>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</si>
  <si>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</si>
  <si>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</si>
  <si>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</si>
  <si>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</si>
  <si>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</si>
  <si>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</si>
  <si>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</si>
  <si>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</si>
  <si>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</si>
  <si>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</si>
  <si>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</si>
  <si>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</si>
  <si>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</si>
  <si>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</si>
  <si>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</si>
  <si>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</si>
  <si>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</si>
  <si>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</si>
  <si>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</si>
  <si>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</si>
  <si>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</si>
  <si>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</si>
  <si>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</si>
  <si>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</si>
  <si>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</si>
  <si>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</si>
  <si>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</si>
  <si>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</si>
  <si>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</si>
  <si>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</si>
  <si>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</si>
  <si>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</si>
  <si>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</si>
  <si>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</si>
  <si>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</si>
  <si>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</si>
  <si>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</si>
  <si>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</si>
  <si>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</si>
  <si>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</si>
  <si>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</si>
  <si>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</si>
  <si>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</si>
  <si>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</si>
  <si>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</si>
  <si>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</si>
  <si>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</si>
  <si>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</si>
  <si>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</si>
  <si>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</si>
  <si>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</si>
  <si>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</si>
  <si>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</si>
  <si>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</si>
  <si>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</si>
  <si>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</si>
  <si>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</si>
  <si>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</si>
  <si>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</si>
  <si>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</si>
  <si>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</si>
  <si>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</si>
  <si>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</si>
  <si>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</si>
  <si>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</si>
  <si>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</si>
  <si>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</si>
  <si>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</si>
  <si>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</si>
  <si>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</si>
  <si>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</si>
  <si>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</si>
  <si>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</si>
  <si>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</si>
  <si>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</si>
  <si>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</si>
  <si>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</si>
  <si>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</si>
  <si>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</si>
  <si>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</si>
  <si>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</si>
  <si>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</si>
  <si>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</si>
  <si>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</si>
  <si>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</si>
  <si>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</si>
  <si>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</si>
  <si>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</si>
  <si>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</si>
  <si>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</si>
  <si>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</si>
  <si>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</si>
  <si>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</si>
  <si>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</si>
  <si>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</si>
  <si>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</si>
  <si>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</si>
  <si>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</si>
  <si>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</si>
  <si>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</si>
  <si>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</si>
  <si>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</si>
  <si>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</si>
  <si>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</si>
  <si>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</si>
  <si>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</si>
  <si>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</si>
  <si>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</si>
  <si>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</si>
  <si>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</si>
  <si>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</si>
  <si>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</si>
  <si>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</si>
  <si>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</si>
  <si>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</si>
  <si>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</si>
  <si>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</si>
  <si>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</si>
  <si>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</si>
  <si>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</si>
  <si>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</si>
  <si>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</si>
  <si>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</si>
  <si>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</si>
  <si>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</si>
  <si>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</si>
  <si>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</si>
  <si>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</si>
  <si>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</si>
  <si>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</si>
  <si>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</si>
  <si>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</si>
  <si>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</si>
  <si>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</si>
  <si>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</si>
  <si>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</si>
  <si>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</si>
  <si>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</si>
  <si>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</si>
  <si>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</si>
  <si>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</si>
  <si>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</si>
  <si>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</si>
  <si>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</si>
  <si>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</si>
  <si>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</si>
  <si>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</si>
  <si>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</si>
  <si>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</si>
  <si>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</si>
  <si>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</si>
  <si>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</si>
  <si>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</si>
  <si>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</si>
  <si>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</si>
  <si>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</si>
  <si>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</si>
  <si>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</si>
  <si>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</si>
  <si>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</si>
  <si>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</si>
  <si>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</si>
  <si>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</si>
  <si>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</si>
  <si>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</si>
  <si>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</si>
  <si>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</si>
  <si>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</si>
  <si>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</si>
  <si>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</si>
  <si>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</si>
  <si>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</si>
  <si>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</si>
  <si>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</si>
  <si>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</si>
  <si>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</si>
  <si>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</si>
  <si>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</si>
  <si>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</si>
  <si>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</si>
  <si>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</si>
  <si>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</si>
  <si>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</si>
  <si>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</si>
  <si>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</si>
  <si>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</si>
  <si>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</si>
  <si>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</si>
  <si>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</si>
  <si>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</si>
  <si>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</si>
  <si>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</si>
  <si>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</si>
  <si>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</si>
  <si>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</si>
  <si>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</si>
  <si>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</si>
  <si>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</si>
  <si>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</si>
  <si>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</si>
  <si>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</si>
  <si>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</si>
  <si>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</si>
  <si>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</si>
  <si>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</si>
  <si>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</si>
  <si>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</si>
  <si>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</si>
  <si>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</si>
  <si>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</si>
  <si>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</si>
  <si>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</si>
  <si>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</si>
  <si>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</si>
  <si>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</si>
  <si>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</si>
  <si>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</si>
  <si>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</si>
  <si>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</si>
  <si>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</si>
  <si>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</si>
  <si>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</si>
  <si>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</si>
  <si>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</si>
  <si>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</si>
  <si>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</si>
  <si>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</si>
  <si>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</si>
  <si>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</si>
  <si>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</si>
  <si>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</si>
  <si>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</si>
  <si>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</si>
  <si>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</si>
  <si>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</si>
  <si>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</si>
  <si>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</si>
  <si>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</si>
  <si>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</si>
  <si>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</si>
  <si>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</si>
  <si>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</si>
  <si>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</si>
  <si>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</si>
  <si>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</si>
  <si>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</si>
  <si>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</si>
  <si>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</si>
  <si>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</si>
  <si>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</si>
  <si>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</si>
  <si>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</si>
  <si>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</si>
  <si>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</si>
  <si>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</si>
  <si>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</si>
  <si>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</si>
  <si>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</si>
  <si>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</si>
  <si>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</si>
  <si>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</si>
  <si>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</si>
  <si>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</si>
  <si>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</si>
  <si>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</si>
  <si>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</si>
  <si>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</si>
  <si>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</si>
  <si>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</si>
  <si>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</si>
  <si>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</si>
  <si>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</si>
  <si>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</si>
  <si>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</si>
  <si>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</si>
  <si>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</si>
  <si>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</si>
  <si>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</si>
  <si>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</si>
  <si>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</si>
  <si>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</si>
  <si>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</si>
  <si>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</si>
  <si>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</si>
  <si>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</si>
  <si>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</si>
  <si>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</si>
  <si>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</si>
  <si>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</si>
  <si>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</si>
  <si>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</si>
  <si>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</si>
  <si>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</si>
  <si>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</si>
  <si>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</si>
  <si>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</si>
  <si>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</si>
  <si>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</si>
  <si>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</si>
  <si>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</si>
  <si>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</si>
  <si>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</si>
  <si>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</si>
  <si>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</si>
  <si>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</si>
  <si>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</si>
  <si>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</si>
  <si>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</si>
  <si>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</si>
  <si>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</si>
  <si>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</si>
  <si>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</si>
  <si>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</si>
  <si>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</si>
  <si>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</si>
  <si>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</si>
  <si>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</si>
  <si>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</si>
  <si>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</si>
  <si>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</si>
  <si>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</si>
  <si>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</si>
  <si>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</si>
  <si>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</si>
  <si>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</si>
  <si>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</si>
  <si>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</si>
  <si>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</si>
  <si>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</si>
  <si>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</si>
  <si>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</si>
  <si>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</si>
  <si>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</si>
  <si>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</si>
  <si>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</si>
  <si>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</si>
  <si>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</si>
  <si>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</si>
  <si>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</si>
  <si>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</si>
  <si>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</si>
  <si>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</si>
  <si>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</si>
  <si>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</si>
  <si>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</si>
  <si>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</si>
  <si>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</si>
  <si>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</si>
  <si>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</si>
  <si>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</si>
  <si>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</si>
  <si>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</si>
  <si>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</si>
  <si>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</si>
  <si>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</si>
  <si>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</si>
  <si>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</si>
  <si>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</si>
  <si>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</si>
  <si>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</si>
  <si>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</si>
  <si>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</si>
  <si>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</si>
  <si>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</si>
  <si>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</si>
  <si>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</si>
  <si>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</si>
  <si>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</si>
  <si>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</si>
  <si>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</si>
  <si>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</si>
  <si>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</si>
  <si>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</si>
  <si>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</si>
  <si>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</si>
  <si>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</si>
  <si>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</si>
  <si>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</si>
  <si>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</si>
  <si>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</si>
  <si>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</si>
  <si>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</si>
  <si>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</si>
  <si>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</si>
  <si>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</si>
  <si>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</si>
  <si>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</si>
  <si>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</si>
  <si>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</si>
  <si>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</si>
  <si>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</si>
  <si>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</si>
  <si>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</si>
  <si>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</si>
  <si>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</si>
  <si>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</si>
  <si>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</si>
  <si>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</si>
  <si>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</si>
  <si>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</si>
  <si>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</si>
  <si>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</si>
  <si>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</si>
  <si>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</si>
  <si>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</si>
  <si>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</si>
  <si>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</si>
  <si>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</si>
  <si>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</si>
  <si>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</si>
  <si>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</si>
  <si>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</si>
  <si>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</si>
  <si>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</si>
  <si>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</si>
  <si>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</si>
  <si>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</si>
  <si>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</si>
  <si>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</si>
  <si>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</si>
  <si>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</si>
  <si>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</si>
  <si>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</si>
  <si>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</si>
  <si>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</si>
  <si>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</si>
  <si>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</si>
  <si>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</si>
  <si>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</si>
  <si>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</si>
  <si>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</si>
  <si>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</si>
  <si>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</si>
  <si>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</si>
  <si>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</si>
  <si>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</si>
  <si>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</si>
  <si>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</si>
  <si>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</si>
  <si>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</si>
  <si>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</si>
  <si>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</si>
  <si>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</si>
  <si>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</si>
  <si>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</si>
  <si>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</si>
  <si>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</si>
  <si>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</si>
  <si>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</si>
  <si>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</si>
  <si>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</si>
  <si>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</si>
  <si>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</si>
  <si>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</si>
  <si>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</si>
  <si>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</si>
  <si>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</si>
  <si>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</si>
  <si>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</si>
  <si>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</si>
  <si>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</si>
  <si>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</si>
  <si>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</si>
  <si>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</si>
  <si>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</si>
  <si>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</si>
  <si>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</si>
  <si>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</si>
  <si>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</si>
  <si>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</si>
  <si>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</si>
  <si>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</si>
  <si>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</si>
  <si>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</si>
  <si>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</si>
  <si>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</si>
  <si>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</si>
  <si>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</si>
  <si>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</si>
  <si>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</si>
  <si>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</si>
  <si>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</si>
  <si>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</si>
  <si>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</si>
  <si>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</si>
  <si>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</si>
  <si>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</si>
  <si>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</si>
  <si>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</si>
  <si>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</si>
  <si>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</si>
  <si>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</si>
  <si>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</si>
  <si>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</si>
  <si>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</si>
  <si>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</si>
  <si>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</si>
  <si>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</si>
  <si>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</si>
  <si>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</si>
  <si>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</si>
  <si>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</si>
  <si>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</si>
  <si>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</si>
  <si>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</si>
  <si>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</si>
  <si>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</si>
  <si>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</si>
  <si>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</si>
  <si>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</si>
  <si>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</si>
  <si>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</si>
  <si>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</si>
  <si>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</si>
  <si>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</si>
  <si>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</si>
  <si>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</si>
  <si>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</si>
  <si>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</si>
  <si>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</si>
  <si>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</si>
  <si>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</si>
  <si>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</si>
  <si>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</si>
  <si>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</si>
  <si>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</si>
  <si>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</si>
  <si>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</si>
  <si>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</si>
  <si>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</si>
  <si>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</si>
  <si>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</si>
  <si>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</si>
  <si>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</si>
  <si>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</si>
  <si>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</si>
  <si>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</si>
  <si>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</si>
  <si>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</si>
  <si>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</si>
  <si>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</si>
  <si>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</si>
  <si>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</si>
  <si>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</si>
  <si>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</si>
  <si>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</si>
  <si>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</si>
  <si>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</si>
  <si>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</si>
  <si>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</si>
  <si>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</si>
  <si>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</si>
  <si>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</si>
  <si>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</si>
  <si>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</si>
  <si>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</si>
  <si>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</si>
  <si>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</si>
  <si>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</si>
  <si>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</si>
  <si>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</si>
  <si>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</si>
  <si>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</si>
  <si>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</si>
  <si>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</si>
  <si>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</si>
  <si>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</si>
  <si>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</si>
  <si>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</si>
  <si>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</si>
  <si>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</si>
  <si>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</si>
  <si>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</si>
  <si>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</si>
  <si>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</si>
  <si>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</si>
  <si>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</si>
  <si>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</si>
  <si>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</si>
  <si>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</si>
  <si>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</si>
  <si>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</si>
  <si>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</si>
  <si>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</si>
  <si>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</si>
  <si>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</si>
  <si>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</si>
  <si>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</si>
  <si>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</si>
  <si>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</si>
  <si>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</si>
  <si>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</si>
  <si>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</si>
  <si>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</si>
  <si>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</si>
  <si>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</si>
  <si>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</si>
  <si>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</si>
  <si>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</si>
  <si>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</si>
  <si>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</si>
  <si>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</si>
  <si>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</si>
  <si>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</si>
  <si>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</si>
  <si>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</si>
  <si>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</si>
  <si>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</si>
  <si>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</si>
  <si>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</si>
  <si>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</si>
  <si>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</si>
  <si>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</si>
  <si>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</si>
  <si>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</si>
  <si>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</si>
  <si>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</si>
  <si>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</si>
  <si>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</si>
  <si>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</si>
  <si>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</si>
  <si>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</si>
  <si>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</si>
  <si>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</si>
  <si>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</si>
  <si>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</si>
  <si>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</si>
  <si>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</si>
  <si>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</si>
  <si>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</si>
  <si>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</si>
  <si>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</si>
  <si>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</si>
  <si>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</si>
  <si>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</si>
  <si>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</si>
  <si>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</si>
  <si>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</si>
  <si>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</si>
  <si>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</si>
  <si>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</si>
  <si>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</si>
  <si>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</si>
  <si>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</si>
  <si>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</si>
  <si>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</si>
  <si>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</si>
  <si>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</si>
  <si>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</si>
  <si>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</si>
  <si>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</si>
  <si>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</si>
  <si>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</si>
  <si>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</si>
  <si>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</si>
  <si>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</si>
  <si>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</si>
  <si>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</si>
  <si>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</si>
  <si>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</si>
  <si>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</si>
  <si>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</si>
  <si>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</si>
  <si>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</si>
  <si>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</si>
  <si>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</si>
  <si>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</si>
  <si>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</si>
  <si>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</si>
  <si>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</si>
  <si>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</si>
  <si>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</si>
  <si>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</si>
  <si>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</si>
  <si>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</si>
  <si>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</si>
  <si>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</si>
  <si>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</si>
  <si>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</si>
  <si>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</si>
  <si>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</si>
  <si>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</si>
  <si>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</si>
  <si>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</si>
  <si>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</si>
  <si>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</si>
  <si>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</si>
  <si>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</si>
  <si>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</si>
  <si>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</si>
  <si>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</si>
  <si>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</si>
  <si>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</si>
  <si>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</si>
  <si>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</si>
  <si>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</si>
  <si>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</si>
  <si>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</si>
  <si>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</si>
  <si>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</si>
  <si>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</si>
  <si>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</si>
  <si>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</si>
  <si>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</si>
  <si>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</si>
  <si>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</si>
  <si>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</si>
  <si>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</si>
  <si>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</si>
  <si>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</si>
  <si>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</si>
  <si>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</si>
  <si>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</si>
  <si>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</si>
  <si>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</si>
  <si>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</si>
  <si>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</si>
  <si>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</si>
  <si>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</si>
  <si>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</si>
  <si>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</si>
  <si>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</si>
  <si>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</si>
  <si>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</si>
  <si>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</si>
  <si>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</si>
  <si>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</si>
  <si>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</si>
  <si>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</si>
  <si>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</si>
  <si>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</si>
  <si>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</si>
  <si>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</si>
  <si>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</si>
  <si>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</si>
  <si>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</si>
  <si>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</si>
  <si>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</si>
  <si>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</si>
  <si>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</si>
  <si>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</si>
  <si>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</si>
  <si>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</si>
  <si>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</si>
  <si>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</si>
  <si>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</si>
  <si>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</si>
  <si>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</si>
  <si>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</si>
  <si>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</si>
  <si>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</si>
  <si>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</si>
  <si>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</si>
  <si>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</si>
  <si>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</si>
  <si>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</si>
  <si>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</si>
  <si>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</si>
  <si>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</si>
  <si>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</si>
  <si>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</si>
  <si>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</si>
  <si>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</si>
  <si>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</si>
  <si>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</si>
  <si>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</si>
  <si>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</si>
  <si>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</si>
  <si>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</si>
  <si>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</si>
  <si>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</si>
  <si>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</si>
  <si>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</si>
  <si>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</si>
  <si>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</si>
  <si>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</si>
  <si>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</si>
  <si>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</si>
  <si>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</si>
  <si>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</si>
  <si>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</si>
  <si>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</si>
  <si>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</si>
  <si>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</si>
  <si>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</si>
  <si>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</si>
  <si>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</si>
  <si>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</si>
  <si>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</si>
  <si>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</si>
  <si>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</si>
  <si>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</si>
  <si>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</si>
  <si>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</si>
  <si>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</si>
  <si>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</si>
  <si>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</si>
  <si>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</si>
  <si>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</si>
  <si>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</si>
  <si>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</si>
  <si>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</si>
  <si>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</si>
  <si>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</si>
  <si>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</si>
  <si>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</si>
  <si>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</si>
  <si>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</si>
  <si>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</si>
  <si>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</si>
  <si>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</si>
  <si>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</si>
  <si>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</si>
  <si>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</si>
  <si>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</si>
  <si>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</si>
  <si>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</si>
  <si>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</si>
  <si>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</si>
  <si>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</si>
  <si>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</si>
  <si>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</si>
  <si>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</si>
  <si>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</si>
  <si>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</si>
  <si>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</si>
  <si>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</si>
  <si>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</si>
  <si>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</si>
  <si>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</si>
  <si>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</si>
  <si>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</si>
  <si>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</si>
  <si>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</si>
  <si>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</si>
  <si>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</si>
  <si>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</si>
  <si>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</si>
  <si>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</si>
  <si>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</si>
  <si>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</si>
  <si>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</si>
  <si>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</si>
  <si>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</si>
  <si>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</si>
  <si>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</si>
  <si>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</si>
  <si>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</si>
  <si>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</si>
  <si>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</si>
  <si>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</si>
  <si>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</si>
  <si>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</si>
  <si>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</si>
  <si>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</si>
  <si>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</si>
  <si>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</si>
  <si>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</si>
  <si>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</si>
  <si>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</si>
  <si>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</si>
  <si>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</si>
  <si>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</si>
  <si>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</si>
  <si>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</si>
  <si>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</si>
  <si>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</si>
  <si>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</si>
  <si>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</si>
  <si>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</si>
  <si>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</si>
  <si>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</si>
  <si>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</si>
  <si>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</si>
  <si>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</si>
  <si>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</si>
  <si>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</si>
  <si>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</si>
  <si>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</si>
  <si>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</si>
  <si>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</si>
  <si>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</si>
  <si>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</si>
  <si>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</si>
  <si>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</si>
  <si>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</si>
  <si>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</si>
  <si>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</si>
  <si>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</si>
  <si>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</si>
  <si>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</si>
  <si>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</si>
  <si>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</si>
  <si>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</si>
  <si>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</si>
  <si>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</si>
  <si>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</si>
  <si>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</si>
  <si>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</si>
  <si>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</si>
  <si>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</si>
  <si>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</si>
  <si>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</si>
  <si>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</si>
  <si>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</si>
  <si>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</si>
  <si>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</si>
  <si>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</si>
  <si>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</si>
  <si>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</si>
  <si>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</si>
  <si>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</si>
  <si>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</si>
  <si>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</si>
  <si>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</si>
  <si>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</si>
  <si>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</si>
  <si>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</si>
  <si>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</si>
  <si>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</si>
  <si>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</si>
  <si>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</si>
  <si>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</si>
  <si>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</si>
  <si>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</si>
  <si>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</si>
  <si>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</si>
  <si>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</si>
  <si>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</si>
  <si>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</si>
  <si>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</si>
  <si>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</si>
  <si>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</si>
  <si>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</si>
  <si>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</si>
  <si>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</si>
  <si>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</si>
  <si>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</si>
  <si>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</si>
  <si>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</si>
  <si>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</si>
  <si>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</si>
  <si>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</si>
  <si>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</si>
  <si>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</si>
  <si>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</si>
  <si>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</si>
  <si>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</si>
  <si>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</si>
  <si>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</si>
  <si>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</si>
  <si>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</si>
  <si>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</si>
  <si>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</si>
  <si>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</si>
  <si>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</si>
  <si>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</si>
  <si>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</si>
  <si>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</si>
  <si>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</si>
  <si>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</si>
  <si>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</si>
  <si>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</si>
  <si>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</si>
  <si>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</si>
  <si>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</si>
  <si>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</si>
  <si>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</si>
  <si>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</si>
  <si>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</si>
  <si>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</si>
  <si>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</si>
  <si>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</si>
  <si>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</si>
  <si>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</si>
  <si>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</si>
  <si>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</si>
  <si>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</si>
  <si>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</si>
  <si>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</si>
  <si>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</si>
  <si>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</si>
  <si>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</si>
  <si>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</si>
  <si>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</si>
  <si>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</si>
  <si>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</si>
  <si>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</si>
  <si>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</si>
  <si>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</si>
  <si>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</si>
  <si>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</si>
  <si>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</si>
  <si>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</si>
  <si>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</si>
  <si>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</si>
  <si>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</si>
  <si>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</si>
  <si>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</si>
  <si>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</si>
  <si>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</si>
  <si>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</si>
  <si>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</si>
  <si>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</si>
  <si>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</si>
  <si>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</si>
  <si>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</si>
  <si>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</si>
  <si>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</si>
  <si>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</si>
  <si>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</si>
  <si>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</si>
  <si>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</si>
  <si>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</si>
  <si>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</si>
  <si>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</si>
  <si>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</si>
  <si>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</si>
  <si>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</si>
  <si>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</si>
  <si>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</si>
  <si>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</si>
  <si>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</si>
  <si>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</si>
  <si>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</si>
  <si>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</si>
  <si>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</si>
  <si>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</si>
  <si>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</si>
  <si>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</si>
  <si>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</si>
  <si>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</si>
  <si>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</si>
  <si>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</si>
  <si>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</si>
  <si>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</si>
  <si>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</si>
  <si>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</si>
  <si>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</si>
  <si>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</si>
  <si>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</si>
  <si>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</si>
  <si>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</si>
  <si>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</si>
  <si>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</si>
  <si>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</si>
  <si>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</si>
  <si>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</si>
  <si>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</si>
  <si>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</si>
  <si>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</si>
  <si>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</si>
  <si>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</si>
  <si>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</si>
  <si>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</si>
  <si>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</si>
  <si>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</si>
  <si>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</si>
  <si>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</si>
  <si>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</si>
  <si>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</si>
  <si>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</si>
  <si>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</si>
  <si>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</si>
  <si>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</si>
  <si>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</si>
  <si>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</si>
  <si>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</si>
  <si>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</si>
  <si>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</si>
  <si>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</si>
  <si>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</si>
  <si>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</si>
  <si>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</si>
  <si>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</si>
  <si>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</si>
  <si>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</si>
  <si>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</si>
  <si>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</si>
  <si>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</si>
  <si>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</si>
  <si>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</si>
  <si>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</si>
  <si>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</si>
  <si>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</si>
  <si>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</si>
  <si>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</si>
  <si>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</si>
  <si>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</si>
  <si>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</si>
  <si>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</si>
  <si>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</si>
  <si>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</si>
  <si>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</si>
  <si>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</si>
  <si>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</si>
  <si>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</si>
  <si>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</si>
  <si>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</si>
  <si>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</si>
  <si>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</si>
  <si>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</si>
  <si>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</si>
  <si>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</si>
  <si>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</si>
  <si>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</si>
  <si>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</si>
  <si>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</si>
  <si>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</si>
  <si>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</si>
  <si>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</si>
  <si>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</si>
  <si>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</si>
  <si>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</si>
  <si>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</si>
  <si>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</si>
  <si>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</si>
  <si>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</si>
  <si>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</si>
  <si>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</si>
  <si>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</si>
  <si>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</si>
  <si>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</si>
  <si>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</si>
  <si>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</si>
  <si>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</si>
  <si>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</si>
  <si>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</si>
  <si>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</si>
  <si>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</si>
  <si>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</si>
  <si>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</si>
  <si>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</si>
  <si>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</si>
  <si>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</si>
  <si>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</si>
  <si>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</si>
  <si>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</si>
  <si>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</si>
  <si>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</si>
  <si>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</si>
  <si>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</si>
  <si>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</si>
  <si>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</si>
  <si>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</si>
  <si>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</si>
  <si>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</si>
  <si>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</si>
  <si>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</si>
  <si>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</si>
  <si>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</si>
  <si>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</si>
  <si>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</si>
  <si>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</si>
  <si>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</si>
  <si>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</si>
  <si>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</si>
  <si>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</si>
  <si>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</si>
  <si>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</si>
  <si>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</si>
  <si>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</si>
  <si>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</si>
  <si>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</si>
  <si>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</si>
  <si>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</si>
  <si>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</si>
  <si>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</si>
  <si>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</si>
  <si>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</si>
  <si>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</si>
  <si>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</si>
  <si>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</si>
  <si>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</si>
  <si>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</si>
  <si>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</si>
  <si>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</si>
  <si>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</si>
  <si>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</si>
  <si>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</si>
  <si>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</si>
  <si>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</si>
  <si>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</si>
  <si>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</si>
  <si>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</si>
  <si>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</si>
  <si>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</si>
  <si>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</si>
  <si>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</si>
  <si>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</si>
  <si>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</si>
  <si>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</si>
  <si>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</si>
  <si>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</si>
  <si>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</si>
  <si>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</si>
  <si>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</si>
  <si>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</si>
  <si>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</si>
  <si>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</si>
  <si>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</si>
  <si>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</si>
  <si>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</si>
  <si>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</si>
  <si>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</si>
  <si>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</si>
  <si>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</si>
  <si>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</si>
  <si>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</si>
  <si>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</si>
  <si>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</si>
  <si>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</si>
  <si>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</si>
  <si>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</si>
  <si>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</si>
  <si>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</si>
  <si>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</si>
  <si>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</si>
  <si>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</si>
  <si>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</si>
  <si>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</si>
  <si>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</si>
  <si>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</si>
  <si>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</si>
  <si>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</si>
  <si>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</si>
  <si>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</si>
  <si>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</si>
  <si>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</si>
  <si>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</si>
  <si>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</si>
  <si>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</si>
  <si>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</si>
  <si>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</si>
  <si>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</si>
  <si>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</si>
  <si>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</si>
  <si>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</si>
  <si>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</si>
  <si>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</si>
  <si>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</si>
  <si>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</si>
  <si>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</si>
  <si>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</si>
  <si>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</si>
  <si>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</si>
  <si>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</si>
  <si>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</si>
  <si>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</si>
  <si>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</si>
  <si>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</si>
  <si>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</si>
  <si>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</si>
  <si>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</si>
  <si>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</si>
  <si>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</si>
  <si>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</si>
  <si>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</si>
  <si>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</si>
  <si>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</si>
  <si>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</si>
  <si>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</si>
  <si>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</si>
  <si>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</si>
  <si>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</si>
  <si>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</si>
  <si>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</si>
  <si>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</si>
  <si>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</si>
  <si>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</si>
  <si>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</si>
  <si>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</si>
  <si>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</si>
  <si>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</si>
  <si>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</si>
  <si>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</si>
  <si>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</si>
  <si>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</si>
  <si>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</si>
  <si>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</si>
  <si>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</si>
  <si>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</si>
  <si>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</si>
  <si>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</si>
  <si>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</si>
  <si>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</si>
  <si>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</si>
  <si>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</si>
  <si>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</si>
  <si>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</si>
  <si>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</si>
  <si>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</si>
  <si>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</si>
  <si>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</si>
  <si>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</si>
  <si>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</si>
  <si>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</si>
  <si>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</si>
  <si>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</si>
  <si>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</si>
  <si>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</si>
  <si>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</si>
  <si>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</si>
  <si>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</si>
  <si>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</si>
  <si>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</si>
  <si>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</si>
  <si>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</si>
  <si>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</si>
  <si>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</si>
  <si>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</si>
  <si>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</si>
  <si>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</si>
  <si>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</si>
  <si>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</si>
  <si>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</si>
  <si>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</si>
  <si>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</si>
  <si>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</si>
  <si>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</si>
  <si>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</si>
  <si>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</si>
  <si>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</si>
  <si>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</si>
  <si>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</si>
  <si>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</si>
  <si>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</si>
  <si>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</si>
  <si>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</si>
  <si>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</si>
  <si>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</si>
  <si>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</si>
  <si>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</si>
  <si>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</si>
  <si>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</si>
  <si>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</si>
  <si>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</si>
  <si>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</si>
  <si>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</si>
  <si>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</si>
  <si>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</si>
  <si>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</si>
  <si>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</si>
  <si>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</si>
  <si>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</si>
  <si>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</si>
  <si>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</si>
  <si>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</si>
  <si>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</si>
  <si>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</si>
  <si>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</si>
  <si>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</si>
  <si>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</si>
  <si>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</si>
  <si>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</si>
  <si>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</si>
  <si>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</si>
  <si>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</si>
  <si>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</si>
  <si>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</si>
  <si>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</si>
  <si>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</si>
  <si>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</si>
  <si>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</si>
  <si>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</si>
  <si>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</si>
  <si>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</si>
  <si>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</si>
  <si>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</si>
  <si>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</si>
  <si>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</si>
  <si>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</si>
  <si>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</si>
  <si>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</si>
  <si>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</si>
  <si>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</si>
  <si>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</si>
  <si>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</si>
  <si>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</si>
  <si>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</si>
  <si>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</si>
  <si>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</si>
  <si>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</si>
  <si>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</si>
  <si>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</si>
  <si>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</si>
  <si>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</si>
  <si>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</si>
  <si>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</si>
  <si>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</si>
  <si>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</si>
  <si>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</si>
  <si>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</si>
  <si>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</si>
  <si>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</si>
  <si>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</si>
  <si>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</si>
  <si>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</si>
  <si>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</si>
  <si>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</si>
  <si>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</si>
  <si>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</si>
  <si>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</si>
  <si>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</si>
  <si>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</si>
  <si>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</si>
  <si>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</si>
  <si>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</si>
  <si>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</si>
  <si>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</si>
  <si>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</si>
  <si>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</si>
  <si>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</si>
  <si>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</si>
  <si>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</si>
  <si>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</si>
  <si>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</si>
  <si>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</si>
  <si>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</si>
  <si>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</si>
  <si>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</si>
  <si>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</si>
  <si>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</si>
  <si>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</si>
  <si>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</si>
  <si>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</si>
  <si>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</si>
  <si>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</si>
  <si>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</si>
  <si>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</si>
  <si>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</si>
  <si>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</si>
  <si>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</si>
  <si>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</si>
  <si>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</si>
  <si>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</si>
  <si>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</si>
  <si>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</si>
  <si>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</si>
  <si>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</si>
  <si>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</si>
  <si>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</si>
  <si>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</si>
  <si>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</si>
  <si>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</si>
  <si>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</si>
  <si>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</si>
  <si>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</si>
  <si>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</si>
  <si>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</si>
  <si>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</si>
  <si>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</si>
  <si>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</si>
  <si>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</si>
  <si>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</si>
  <si>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</si>
  <si>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</si>
  <si>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</si>
  <si>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</si>
  <si>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</si>
  <si>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</si>
  <si>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</si>
  <si>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</si>
  <si>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</si>
  <si>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</si>
  <si>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</si>
  <si>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</si>
  <si>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</si>
  <si>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</si>
  <si>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</si>
  <si>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</si>
  <si>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</si>
  <si>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</si>
  <si>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</si>
  <si>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</si>
  <si>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</si>
  <si>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</si>
  <si>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</si>
  <si>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</si>
  <si>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</si>
  <si>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</si>
  <si>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</si>
  <si>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</si>
  <si>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</si>
  <si>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</si>
  <si>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</si>
  <si>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</si>
  <si>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</si>
  <si>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</si>
  <si>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</si>
  <si>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</si>
  <si>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</si>
  <si>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</si>
  <si>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</si>
  <si>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</si>
  <si>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</si>
  <si>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</si>
  <si>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</si>
  <si>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</si>
  <si>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</si>
  <si>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</si>
  <si>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</si>
  <si>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</si>
  <si>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</si>
  <si>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</si>
  <si>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</si>
  <si>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</si>
  <si>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</si>
  <si>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</si>
  <si>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</si>
  <si>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</si>
  <si>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</si>
  <si>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</si>
  <si>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</si>
  <si>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</si>
  <si>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</si>
  <si>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</si>
  <si>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</si>
  <si>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</si>
  <si>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</si>
  <si>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</si>
  <si>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</si>
  <si>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</si>
  <si>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</si>
  <si>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</si>
  <si>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</si>
  <si>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</si>
  <si>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</si>
  <si>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</si>
  <si>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</si>
  <si>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</si>
  <si>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</si>
  <si>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</si>
  <si>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</si>
  <si>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</si>
  <si>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</si>
  <si>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</si>
  <si>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</si>
  <si>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</si>
  <si>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</si>
  <si>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</si>
  <si>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</si>
  <si>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</si>
  <si>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</si>
  <si>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</si>
  <si>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</si>
  <si>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</si>
  <si>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</si>
  <si>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</si>
  <si>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</si>
  <si>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</si>
  <si>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</si>
  <si>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</si>
  <si>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</si>
  <si>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</si>
  <si>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</si>
  <si>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</si>
  <si>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</si>
  <si>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</si>
  <si>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</si>
  <si>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</si>
  <si>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</si>
  <si>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</si>
  <si>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</si>
  <si>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</si>
  <si>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</si>
  <si>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</si>
  <si>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</si>
  <si>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</si>
  <si>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</si>
  <si>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</si>
  <si>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</si>
  <si>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</si>
  <si>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</si>
  <si>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</si>
  <si>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</si>
  <si>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</si>
  <si>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</si>
  <si>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</si>
  <si>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</si>
  <si>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</si>
  <si>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</si>
  <si>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</si>
  <si>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</si>
  <si>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</si>
  <si>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</si>
  <si>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</si>
  <si>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</si>
  <si>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</si>
  <si>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</si>
  <si>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</si>
  <si>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</si>
  <si>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</si>
  <si>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</si>
  <si>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</si>
  <si>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</si>
  <si>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</si>
  <si>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</si>
  <si>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</si>
  <si>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</si>
  <si>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</si>
  <si>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</si>
  <si>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</si>
  <si>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</si>
  <si>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</si>
  <si>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</si>
  <si>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</si>
  <si>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</si>
  <si>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</si>
  <si>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</si>
  <si>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</si>
  <si>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</si>
  <si>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</si>
  <si>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</si>
  <si>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</si>
  <si>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</si>
  <si>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</si>
  <si>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</si>
  <si>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</si>
  <si>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</si>
  <si>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</si>
  <si>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</si>
  <si>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</si>
  <si>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</si>
  <si>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</si>
  <si>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</si>
  <si>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</si>
  <si>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</si>
  <si>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</si>
  <si>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</si>
  <si>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</si>
  <si>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</si>
  <si>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</si>
  <si>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</si>
  <si>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</si>
  <si>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</si>
  <si>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</si>
  <si>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</si>
  <si>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</si>
  <si>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</si>
  <si>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</si>
  <si>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</si>
  <si>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</si>
  <si>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</si>
  <si>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</si>
  <si>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</si>
  <si>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</si>
  <si>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</si>
  <si>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</si>
  <si>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</si>
  <si>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</si>
  <si>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</si>
  <si>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</si>
  <si>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</si>
  <si>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</si>
  <si>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</si>
  <si>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</si>
  <si>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</si>
  <si>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</si>
  <si>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</si>
  <si>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</si>
  <si>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</si>
  <si>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</si>
  <si>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</si>
  <si>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</si>
  <si>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</si>
  <si>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</si>
  <si>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</si>
  <si>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</si>
  <si>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</si>
  <si>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</si>
  <si>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</si>
  <si>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</si>
  <si>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</si>
  <si>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</si>
  <si>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</si>
  <si>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</si>
  <si>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</si>
  <si>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</si>
  <si>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</si>
  <si>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</si>
  <si>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</si>
  <si>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</si>
  <si>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</si>
  <si>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</si>
  <si>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</si>
  <si>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</si>
  <si>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</si>
  <si>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</si>
  <si>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</si>
  <si>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</si>
  <si>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</si>
  <si>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</si>
  <si>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</si>
  <si>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</si>
  <si>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</si>
  <si>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</si>
  <si>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</si>
  <si>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</si>
  <si>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</si>
  <si>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</si>
  <si>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</si>
  <si>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</si>
  <si>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</si>
  <si>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</si>
  <si>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</si>
  <si>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</si>
  <si>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</si>
  <si>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</si>
  <si>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</si>
  <si>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</si>
  <si>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</si>
  <si>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</si>
  <si>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</si>
  <si>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</si>
  <si>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</si>
  <si>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</si>
  <si>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</si>
  <si>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</si>
  <si>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</si>
  <si>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</si>
  <si>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</si>
  <si>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</si>
  <si>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</si>
  <si>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</si>
  <si>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</si>
  <si>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</si>
  <si>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</si>
  <si>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</si>
  <si>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</si>
  <si>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</si>
  <si>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</si>
  <si>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</si>
  <si>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</si>
  <si>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</si>
  <si>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</si>
  <si>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</si>
  <si>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</si>
  <si>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</si>
  <si>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</si>
  <si>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</si>
  <si>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</si>
  <si>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</si>
  <si>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</si>
  <si>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</si>
  <si>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</si>
  <si>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</si>
  <si>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</si>
  <si>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</si>
  <si>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</si>
  <si>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</si>
  <si>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</si>
  <si>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</si>
  <si>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</si>
  <si>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</si>
  <si>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</si>
  <si>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</si>
  <si>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</si>
  <si>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</si>
  <si>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</si>
  <si>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</si>
  <si>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</si>
  <si>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</si>
  <si>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</si>
  <si>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</si>
  <si>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</si>
  <si>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</si>
  <si>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</si>
  <si>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</si>
  <si>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</si>
  <si>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</si>
  <si>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</si>
  <si>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</si>
  <si>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</si>
  <si>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</si>
  <si>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</si>
  <si>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</si>
  <si>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</si>
  <si>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</si>
  <si>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</si>
  <si>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</si>
  <si>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</si>
  <si>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</si>
  <si>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</si>
  <si>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</si>
  <si>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</si>
  <si>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</si>
  <si>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</si>
  <si>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</si>
  <si>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</si>
  <si>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</si>
  <si>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</si>
  <si>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</si>
  <si>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</si>
  <si>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</si>
  <si>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</si>
  <si>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</si>
  <si>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</si>
  <si>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</si>
  <si>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</si>
  <si>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</si>
  <si>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</si>
  <si>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</si>
  <si>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</si>
  <si>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</si>
  <si>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</si>
  <si>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</si>
  <si>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</si>
  <si>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</si>
  <si>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</si>
  <si>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</si>
  <si>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</si>
  <si>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</si>
  <si>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</si>
  <si>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</si>
  <si>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</si>
  <si>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</si>
  <si>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</si>
  <si>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</si>
  <si>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</si>
  <si>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</si>
  <si>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</si>
  <si>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</si>
  <si>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</si>
  <si>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</si>
  <si>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</si>
  <si>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</si>
  <si>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</si>
  <si>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</si>
  <si>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</si>
  <si>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</si>
  <si>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</si>
  <si>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</si>
  <si>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</si>
  <si>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</si>
  <si>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</si>
  <si>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</si>
  <si>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</si>
  <si>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</si>
  <si>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</si>
  <si>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</si>
  <si>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</si>
  <si>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</si>
  <si>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</si>
  <si>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</si>
  <si>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</si>
  <si>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</si>
  <si>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</si>
  <si>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</si>
  <si>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</si>
  <si>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</si>
  <si>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</si>
  <si>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</si>
  <si>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</si>
  <si>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</si>
  <si>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</si>
  <si>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</si>
  <si>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</si>
  <si>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</si>
  <si>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</si>
  <si>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</si>
  <si>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</si>
  <si>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</si>
  <si>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</si>
  <si>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</si>
  <si>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</si>
  <si>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</si>
  <si>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</si>
  <si>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</si>
  <si>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</si>
  <si>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</si>
  <si>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</si>
  <si>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</si>
  <si>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</si>
  <si>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</si>
  <si>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</si>
  <si>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</si>
  <si>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</si>
  <si>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</si>
  <si>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</si>
  <si>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</si>
  <si>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</si>
  <si>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</si>
  <si>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</si>
  <si>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</si>
  <si>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</si>
  <si>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</si>
  <si>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</si>
  <si>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</si>
  <si>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</si>
  <si>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</si>
  <si>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</si>
  <si>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</si>
  <si>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</si>
  <si>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</si>
  <si>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</si>
  <si>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</si>
  <si>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</si>
  <si>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</si>
  <si>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</si>
  <si>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</si>
  <si>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</si>
  <si>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</si>
  <si>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</si>
  <si>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</si>
  <si>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</si>
  <si>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</si>
  <si>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</si>
  <si>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26-062-0000-61</t>
  </si>
  <si>
    <t>McDonough</t>
  </si>
  <si>
    <t>130 S. LaFayette, Suite 201</t>
  </si>
  <si>
    <t>Macomb</t>
  </si>
  <si>
    <t>Tim C. Custis, CPA</t>
  </si>
  <si>
    <t>tcustis@gorenzcpa.com</t>
  </si>
  <si>
    <t>lwiley@wcisec.org</t>
  </si>
  <si>
    <t>Leyona Wiley</t>
  </si>
  <si>
    <t>x</t>
  </si>
  <si>
    <t>Lewistown #97 &amp; Macomb CUSD #185</t>
  </si>
  <si>
    <t>Astoria #1, Bushnell #170, (see below)</t>
  </si>
  <si>
    <t>Illini West HSD #307, Canton CUSD #66, Carthage ESD #317 &amp; West Prairie #103</t>
  </si>
  <si>
    <t>Canton #66, Carthage ESD #317, Dallas Elem, Fulton County No. 3, Hamilton, Illini West HSD 307, LaHarpe, Lewistown CUSD 97, Macomb CUSD 185, Navoo-Colusa 325, Schuyler-Industry CUSD 5, Southeastern CUSD 337,</t>
  </si>
  <si>
    <t>Spoon River Valley, VIT, Warsaw, West Central CUSD 235, &amp; West Prairie CUSD 103</t>
  </si>
  <si>
    <t>2017-001</t>
  </si>
  <si>
    <t xml:space="preserve">Bank reconciliations were not performed in a </t>
  </si>
  <si>
    <t>timely manner</t>
  </si>
  <si>
    <t>The opinion is adverse due to the use of the Regulatory Basis of Accounting.</t>
  </si>
  <si>
    <t>IDEA - Flow-Thru</t>
  </si>
  <si>
    <t>2017-4620-00</t>
  </si>
  <si>
    <t>Illinois State Board of Education</t>
  </si>
  <si>
    <t>U.S. Dept. of Education</t>
  </si>
  <si>
    <t>Benefits paid with grant funds should only be attributable to employees whose salaries are also charged to the grant.  Additionally, all expenditures should be appropriately anticipated and budgeted.</t>
  </si>
  <si>
    <t>$ 379,554 - This was previously reported by an ISBE auditor.</t>
  </si>
  <si>
    <t>Expenditures claimed were overstated by a total of $ 379,554.</t>
  </si>
  <si>
    <t>More care should be used when preparing grant reports, to be sure expenditures claimed are allowable.</t>
  </si>
  <si>
    <t>More care will be used in the future to be sure that expenditures are claimed appropriately.</t>
  </si>
  <si>
    <t>Resolved</t>
  </si>
  <si>
    <t>AU-C 265 has prescribed definitions for significant deficiencies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</si>
  <si>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</si>
  <si>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 with one individual having the ability to make journal entries without supervision.  The same individual had the ability to sign checks.</t>
  </si>
  <si>
    <t>Certain individuals have the ability to complete and record accounting functions which ideally would be segregated.</t>
  </si>
  <si>
    <t>Limited funding precludes the hiring of additional staff.</t>
  </si>
  <si>
    <t>Segregation of duties is normally difficult to accomplish within a small governmental entity. Management should be ever mindful of areas that could be improved including, but not limited to, hiring additional personnel.</t>
  </si>
  <si>
    <t>2018-4620-00</t>
  </si>
  <si>
    <t>Expenditures claimed were overstated by a total of $ 30,266.</t>
  </si>
  <si>
    <t>066-005027</t>
  </si>
  <si>
    <t>IDEA Part B, Flow Through - Canton Union No. 66</t>
  </si>
  <si>
    <t>IDEA Part B, Flow Through - Nauvoo-Colusa No. 325</t>
  </si>
  <si>
    <t>IDEA Part B, Flow Through - Macomb No. 185</t>
  </si>
  <si>
    <t>The Co-op is currently reviewing procedures and attempting to separate accounting duties.  The Director is becoming involved with providing additional oversight for checks on journal entries.</t>
  </si>
  <si>
    <t>The Co-op arbitrarily claimed benefits for staff in various budget categories without regard to an affilation to the employees charged to the grant.  Additionally, expenditures were claimed against the grant that had not been included in the approved budget.</t>
  </si>
  <si>
    <t>The Co-op was charging employee benefits amounts to the grant for employees who were not part of the employee group charged to the grant.  The Co-op also claimed some expenditures which had not been properly budgeted for in the grant application.</t>
  </si>
  <si>
    <t>The Co-op did not appropriately match expenditures with budgeted amounts and arbitarily claimed benefits against the grant.</t>
  </si>
  <si>
    <t>Expenditures claimed should be appropriately anticipated in the budget approved by ISBE.</t>
  </si>
  <si>
    <t>The Co-op claimed expenditures against the grant that had not been included in the approved budget.</t>
  </si>
  <si>
    <t>The Co-op claimed expenditures which had not been properly budgeted for in the grant application.</t>
  </si>
  <si>
    <t>The Co-op did not appropriately match expenditures with budgeted amounts.</t>
  </si>
  <si>
    <t>Unmodified</t>
  </si>
  <si>
    <t>84.173 &amp; 84.027</t>
  </si>
  <si>
    <t>IDEA Cluster</t>
  </si>
  <si>
    <t>West Central Illinois Special Education Co-Op</t>
  </si>
  <si>
    <r>
      <t>CORRECTIVE ACTION PLAN FOR CURRENT YEAR AUDIT FINDINGS</t>
    </r>
    <r>
      <rPr>
        <b/>
        <vertAlign val="superscript"/>
        <sz val="9"/>
        <rFont val="Arial"/>
        <family val="2"/>
      </rPr>
      <t>21</t>
    </r>
  </si>
  <si>
    <t>Corrective Action Plan</t>
  </si>
  <si>
    <t>Finding No.:</t>
  </si>
  <si>
    <t>Condition:</t>
  </si>
  <si>
    <t>Two individuals hold the majority of the responsibility for the accounting and financial duties for the Co-op. Duties include recording, reconciling, and reporting cash transactions.</t>
  </si>
  <si>
    <t>Plan:</t>
  </si>
  <si>
    <t>Anticipated Date of Completion:</t>
  </si>
  <si>
    <t>Name of Contact Person:</t>
  </si>
  <si>
    <t>Michelle Markey, Business Manager</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</si>
  <si>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</si>
  <si>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</si>
  <si>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The Co-op arbitrarily claimed benefits for staff in various budget categories without regard to an affiliation to the employees charged to the grant. Additionally, expenditures were claimed against the grant that had not been included in the approved budget.</t>
  </si>
  <si>
    <t xml:space="preserve">Use the detailed budget to confirm individuals who have salaries and benefits allowable to be charged to the grant. </t>
  </si>
  <si>
    <t>The Co-op claimed expendtiures against the grant that had not been included in the approved budget.</t>
  </si>
  <si>
    <t>Use the detailed budget to identify expenses allowable to be charged to the grant.</t>
  </si>
  <si>
    <t>The accompanying Schedule of Expenditures of Federal Awards includes the federal grant activity of West Central Illinois Special Education Co-Op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</si>
  <si>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West Central Illinois Special Education Co-Op provided federal awards to subrecipients as follows:</t>
  </si>
  <si>
    <r>
      <t xml:space="preserve">The following amounts were expended in the form of non-cash assistance by West Central Illinois Special Education Co-Op and </t>
    </r>
    <r>
      <rPr>
        <b/>
        <sz val="9"/>
        <rFont val="Calibri"/>
        <family val="2"/>
        <scheme val="minor"/>
      </rPr>
      <t>should be</t>
    </r>
    <r>
      <rPr>
        <sz val="9"/>
        <rFont val="Calibri"/>
        <family val="2"/>
        <scheme val="minor"/>
      </rPr>
      <t xml:space="preserve"> included in the Schedule of Expenditures of Federal Awards:</t>
    </r>
  </si>
  <si>
    <t>Note 6: Matching Expenditures</t>
  </si>
  <si>
    <t>Note 7: Relationship to Basic Financial Statements and Program Financial Reports</t>
  </si>
  <si>
    <t>Federal awards received are reflected in the Cooperative's financial statements within the Educational Fund as receipts from</t>
  </si>
  <si>
    <t>federal sources. Amounts reported in the accompanying Schedule of Federal Awards agree with the amounts reported in the</t>
  </si>
  <si>
    <t>Program Financial Report for programs which have filed final reports as of June 30, 2018, with the Illinois State Board of</t>
  </si>
  <si>
    <t>Education.</t>
  </si>
  <si>
    <t>STEP (CFDA #84.126) (Contract #46CWF00038) required matching expenditures of $62,279.</t>
  </si>
  <si>
    <t>The Co-op is looking at hiring additional accounting personnel and separating cash duties among different individuals requiring a checks and balance system.</t>
  </si>
  <si>
    <t>The Co-op is currently reviewing procedures and attempting to separate accounting duties.</t>
  </si>
  <si>
    <t>The Director is becoming involved with providing additional oversight for checks on journal entries.</t>
  </si>
  <si>
    <t xml:space="preserve">
Part A, Question 12 - See Findings 2018-002 and 2018-003
Part C, Question 20 - See Finding 2018-001</t>
  </si>
  <si>
    <t>No contracts for the year ended June 30, 2018</t>
  </si>
  <si>
    <t>For the current fiscal year under audit, the district did not have any qualifying contracts exceeding the $25,000 limit.</t>
  </si>
  <si>
    <t>Page 29, Line 80 - "PLEASE ENTER CONTRACTS PAID IN THE CURRENT YEAR"</t>
  </si>
  <si>
    <t>Page 5, Line 12 - Flex Checking Account</t>
  </si>
  <si>
    <t>Page 10, Line 92 - Workshop Receipts</t>
  </si>
  <si>
    <t>Page 14, Line 272 - State of Illinois Pre-Vocational Grant</t>
  </si>
  <si>
    <t>Page 16, Line 73 - Postage</t>
  </si>
  <si>
    <t>West Central Illinois Special Education Cooperative</t>
  </si>
  <si>
    <t xml:space="preserve">                                Year Ended June 30, 2018                                </t>
  </si>
  <si>
    <t xml:space="preserve">  Expenditures/Disbursements  </t>
  </si>
  <si>
    <t>ISBE</t>
  </si>
  <si>
    <t xml:space="preserve">          Receipts/Revenues          </t>
  </si>
  <si>
    <t>Project</t>
  </si>
  <si>
    <t>Prior to</t>
  </si>
  <si>
    <t>7/01/17</t>
  </si>
  <si>
    <t xml:space="preserve">Prior to </t>
  </si>
  <si>
    <t>Final</t>
  </si>
  <si>
    <t>Federal Grantor/Pass-Through Grantor, Subrecipients,</t>
  </si>
  <si>
    <t>Number</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</si>
  <si>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</si>
  <si>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</si>
  <si>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</si>
  <si>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</si>
  <si>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</si>
  <si>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</si>
  <si>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</si>
  <si>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</si>
  <si>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</si>
  <si>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</si>
  <si>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</si>
  <si>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</si>
  <si>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</si>
  <si>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</si>
  <si>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</si>
  <si>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17-4210-00</t>
  </si>
  <si>
    <t>N/A</t>
  </si>
  <si>
    <t>18-4210-00</t>
  </si>
  <si>
    <t>National School Breakfast Program</t>
  </si>
  <si>
    <t>17-4220-00</t>
  </si>
  <si>
    <t>18-4220-00</t>
  </si>
  <si>
    <t>Total U.S. Department of Agriculture - Pass-through programs</t>
  </si>
  <si>
    <t xml:space="preserve">U.S. Department of Education - </t>
  </si>
  <si>
    <t>(M)</t>
  </si>
  <si>
    <t>IDEA Part B, Preschool Flow Through</t>
  </si>
  <si>
    <t>17-4600-00</t>
  </si>
  <si>
    <t>18-4600-00</t>
  </si>
  <si>
    <t>IDEA Part B, Preschool Flow Through -</t>
  </si>
  <si>
    <t>Revenue - 2200</t>
  </si>
  <si>
    <t>13-4600-00</t>
  </si>
  <si>
    <t xml:space="preserve">IDEA Part B, Flow Through </t>
  </si>
  <si>
    <t>17-4620-00</t>
  </si>
  <si>
    <t xml:space="preserve">  Revenue - 2200</t>
  </si>
  <si>
    <t>Canton Union No. 66</t>
  </si>
  <si>
    <t>18-4620-00</t>
  </si>
  <si>
    <t>Nauvoo-Colusa CUSD #325</t>
  </si>
  <si>
    <t>Macomb CUSD #185</t>
  </si>
  <si>
    <t xml:space="preserve">ARRA Spec. Ed I.D.E.A. Flow Through </t>
  </si>
  <si>
    <t>10-4857-00</t>
  </si>
  <si>
    <t xml:space="preserve">  Revenue -2200</t>
  </si>
  <si>
    <t>11-4857-00</t>
  </si>
  <si>
    <t xml:space="preserve">  Pass through program from</t>
  </si>
  <si>
    <t xml:space="preserve">   Illinois Department of Human Services</t>
  </si>
  <si>
    <t xml:space="preserve">  </t>
  </si>
  <si>
    <t>STEP - Performance Based</t>
  </si>
  <si>
    <t>46CVF00038</t>
  </si>
  <si>
    <t xml:space="preserve">  Local Match - See Note 6</t>
  </si>
  <si>
    <t>46CWF00038</t>
  </si>
  <si>
    <t>Transition Planning Committee Grant</t>
  </si>
  <si>
    <t>13-4998-00</t>
  </si>
  <si>
    <t>14-4998-00</t>
  </si>
  <si>
    <t>Total U.S. Department of Education - Pass-through programs</t>
  </si>
  <si>
    <t>U.S. Department of Health and Human Services</t>
  </si>
  <si>
    <t>Medicaid Infrastructure Grant</t>
  </si>
  <si>
    <t>12-4998-00</t>
  </si>
  <si>
    <t xml:space="preserve">   Illinois Department of Healthcare and Family Services</t>
  </si>
  <si>
    <t>Medicaid Administrative Outreach</t>
  </si>
  <si>
    <t>17-4991-00</t>
  </si>
  <si>
    <t>18-4991-00</t>
  </si>
  <si>
    <t>Total U.S. Department of Health and Human Services - Pass-through programs</t>
  </si>
  <si>
    <t>Total Federal Awards Passed Through Illinois State Board of Education</t>
  </si>
  <si>
    <t>Total Federal Awards Passed Through Other Entities</t>
  </si>
  <si>
    <t>Total Federal Awards</t>
  </si>
  <si>
    <t>(M) Indicates Major Federal Financial Assistance Program.</t>
  </si>
  <si>
    <t>(A) Project not complete as of June 30, 2018.</t>
  </si>
  <si>
    <t>(B) Carryover funds per ISBE</t>
  </si>
  <si>
    <t>see embeded PDF version</t>
  </si>
  <si>
    <t>West Central Illinois Special Education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</si>
</sst>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 numFmtId="182" formatCode="_(* #,##0_);_(* \(#,##0\);_(* &quot;-&quot;??_);_(@_)"/>
    <numFmt numFmtId="183" formatCode="_(* #,##0_);_(* \(#,##0\);_(* &quot; &quot;_);_(@_)"/>
    <numFmt numFmtId="184" formatCode="_(* #,##0.0_);_(* \(#,##0.0\);_(* &quot; &quot;_);_(@_)"/>
    <numFmt numFmtId="185" formatCode="_(* #,##0_);_(* \(#,##0\);_(* &quot;0&quot;_);_(@_)"/>
    <numFmt numFmtId="186" formatCode="0.000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amily val="3"/>
    </font>
    <font>
      <b/>
      <sz val="10"/>
      <name val="Garamond"/>
      <family val="1"/>
    </font>
    <font>
      <b/>
      <u/>
      <sz val="10"/>
      <name val="Garamond"/>
      <family val="1"/>
    </font>
    <font>
      <sz val="10"/>
      <name val="Garamond"/>
      <family val="1"/>
    </font>
    <font>
      <u/>
      <sz val="10"/>
      <name val="Garamond"/>
      <family val="1"/>
    </font>
    <font>
      <u val="singleAccounting"/>
      <sz val="10"/>
      <name val="Garamond"/>
      <family val="1"/>
    </font>
    <font>
      <u val="doubleAccounting"/>
      <sz val="10"/>
      <name val="Garamond"/>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40" fillId="0" borderId="0"/>
    <xf numFmtId="43" fontId="43" fillId="0" borderId="0" applyFont="0" applyFill="0" applyBorder="0" applyAlignment="0" applyProtection="0"/>
  </cellStyleXfs>
  <cellXfs count="273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7"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8" fillId="0" borderId="0" xfId="3" applyFont="1" applyBorder="1" applyAlignment="1" applyProtection="1">
      <alignment horizontal="left"/>
    </xf>
    <xf numFmtId="14" fontId="8" fillId="0" borderId="0" xfId="3" applyNumberFormat="1" applyAlignment="1" applyProtection="1">
      <alignment horizontal="left" indent="2"/>
      <protection locked="0"/>
    </xf>
    <xf numFmtId="0" fontId="8" fillId="0" borderId="0" xfId="3" applyBorder="1" applyProtection="1">
      <protection locked="0"/>
    </xf>
    <xf numFmtId="0" fontId="8" fillId="0" borderId="0" xfId="3" applyProtection="1">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78" xfId="3" applyFont="1" applyBorder="1" applyAlignment="1" applyProtection="1"/>
    <xf numFmtId="0" fontId="8" fillId="0" borderId="78" xfId="3" applyBorder="1" applyProtection="1"/>
    <xf numFmtId="0" fontId="139"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39" fillId="0" borderId="0" xfId="3" applyFont="1" applyBorder="1" applyProtection="1"/>
    <xf numFmtId="0" fontId="139" fillId="0" borderId="0" xfId="3" applyFont="1" applyProtection="1"/>
    <xf numFmtId="0" fontId="55" fillId="0" borderId="0" xfId="3"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3" fontId="1" fillId="0" borderId="158" xfId="1" applyFont="1" applyBorder="1" applyAlignment="1" applyProtection="1">
      <alignment horizontal="center" vertical="top"/>
      <protection locked="0"/>
    </xf>
    <xf numFmtId="43" fontId="4" fillId="0" borderId="158" xfId="1" applyFont="1" applyBorder="1" applyAlignment="1" applyProtection="1">
      <alignment vertical="top"/>
      <protection locked="0"/>
    </xf>
    <xf numFmtId="43" fontId="5" fillId="0" borderId="158" xfId="1" applyFont="1" applyBorder="1" applyAlignment="1" applyProtection="1">
      <alignment horizontal="right" vertical="top"/>
      <protection locked="0"/>
    </xf>
    <xf numFmtId="37" fontId="43" fillId="0" borderId="0" xfId="19" applyFont="1" applyAlignment="1">
      <alignment vertical="center"/>
    </xf>
    <xf numFmtId="37" fontId="140" fillId="0" borderId="0" xfId="19" applyFont="1" applyAlignment="1">
      <alignment vertical="center"/>
    </xf>
    <xf numFmtId="37" fontId="143" fillId="0" borderId="0" xfId="19" applyFont="1" applyBorder="1" applyAlignment="1">
      <alignment horizontal="centerContinuous"/>
    </xf>
    <xf numFmtId="37" fontId="143" fillId="0" borderId="0" xfId="19" applyFont="1" applyFill="1" applyBorder="1" applyAlignment="1">
      <alignment horizontal="left"/>
    </xf>
    <xf numFmtId="37" fontId="143" fillId="0" borderId="0" xfId="19" applyFont="1" applyBorder="1" applyAlignment="1">
      <alignment horizontal="left"/>
    </xf>
    <xf numFmtId="37" fontId="143" fillId="0" borderId="0" xfId="19" applyFont="1" applyBorder="1"/>
    <xf numFmtId="37" fontId="143" fillId="0" borderId="0" xfId="19" applyFont="1" applyBorder="1" applyAlignment="1">
      <alignment horizontal="center"/>
    </xf>
    <xf numFmtId="37" fontId="143" fillId="0" borderId="0" xfId="19" applyFont="1" applyBorder="1" applyAlignment="1">
      <alignment horizontal="center" vertical="center"/>
    </xf>
    <xf numFmtId="37" fontId="143" fillId="0" borderId="0" xfId="19" applyFont="1" applyAlignment="1">
      <alignment horizontal="center" vertical="center"/>
    </xf>
    <xf numFmtId="37" fontId="143" fillId="0" borderId="0" xfId="19" applyFont="1" applyAlignment="1">
      <alignment horizontal="left" vertical="center"/>
    </xf>
    <xf numFmtId="37" fontId="143" fillId="0" borderId="0" xfId="19" applyFont="1" applyAlignment="1">
      <alignment vertical="center"/>
    </xf>
    <xf numFmtId="37" fontId="143" fillId="0" borderId="0" xfId="19" quotePrefix="1" applyFont="1" applyAlignment="1">
      <alignment horizontal="center" vertical="center"/>
    </xf>
    <xf numFmtId="37" fontId="143" fillId="0" borderId="0" xfId="19" applyFont="1" applyAlignment="1">
      <alignment horizontal="center"/>
    </xf>
    <xf numFmtId="14" fontId="143" fillId="0" borderId="0" xfId="19" quotePrefix="1" applyNumberFormat="1" applyFont="1" applyAlignment="1">
      <alignment horizontal="center" vertical="center"/>
    </xf>
    <xf numFmtId="14" fontId="143" fillId="0" borderId="0" xfId="19" applyNumberFormat="1" applyFont="1" applyAlignment="1">
      <alignment horizontal="center" vertical="center"/>
    </xf>
    <xf numFmtId="37" fontId="143" fillId="0" borderId="0" xfId="19" applyFont="1"/>
    <xf numFmtId="37" fontId="144" fillId="0" borderId="0" xfId="19" applyFont="1" applyBorder="1" applyAlignment="1">
      <alignment horizontal="left" vertical="center"/>
    </xf>
    <xf numFmtId="37" fontId="144" fillId="0" borderId="0" xfId="19" applyFont="1" applyBorder="1" applyAlignment="1">
      <alignment horizontal="center" vertical="center"/>
    </xf>
    <xf numFmtId="37" fontId="144" fillId="0" borderId="0" xfId="19" applyFont="1" applyBorder="1" applyAlignment="1">
      <alignment vertical="center"/>
    </xf>
    <xf numFmtId="37" fontId="144" fillId="0" borderId="0" xfId="19" applyNumberFormat="1" applyFont="1" applyBorder="1" applyAlignment="1" applyProtection="1">
      <alignment horizontal="center" vertical="center"/>
    </xf>
    <xf numFmtId="37" fontId="144" fillId="0" borderId="0" xfId="19" applyNumberFormat="1" applyFont="1" applyBorder="1" applyAlignment="1" applyProtection="1">
      <alignment vertical="center"/>
    </xf>
    <xf numFmtId="37" fontId="144" fillId="0" borderId="0" xfId="19" applyFont="1" applyAlignment="1">
      <alignment horizontal="left"/>
    </xf>
    <xf numFmtId="37" fontId="144" fillId="0" borderId="0" xfId="19" applyFont="1" applyAlignment="1">
      <alignment horizontal="center"/>
    </xf>
    <xf numFmtId="37" fontId="144" fillId="0" borderId="0" xfId="19" applyNumberFormat="1" applyFont="1" applyAlignment="1" applyProtection="1">
      <alignment horizontal="center"/>
    </xf>
    <xf numFmtId="37" fontId="143" fillId="0" borderId="0" xfId="19" applyNumberFormat="1" applyFont="1" applyProtection="1"/>
    <xf numFmtId="37" fontId="143" fillId="0" borderId="0" xfId="19" applyNumberFormat="1" applyFont="1" applyAlignment="1" applyProtection="1">
      <alignment horizontal="center"/>
    </xf>
    <xf numFmtId="37" fontId="141" fillId="0" borderId="0" xfId="19" applyFont="1" applyBorder="1" applyAlignment="1" applyProtection="1">
      <alignment horizontal="left"/>
      <protection locked="0"/>
    </xf>
    <xf numFmtId="37" fontId="43" fillId="0" borderId="0" xfId="19" applyFont="1" applyAlignment="1">
      <alignment horizontal="center" vertical="center"/>
    </xf>
    <xf numFmtId="37" fontId="141" fillId="0" borderId="0" xfId="19" applyFont="1" applyAlignment="1">
      <alignment horizontal="left"/>
    </xf>
    <xf numFmtId="39" fontId="144" fillId="0" borderId="0" xfId="19" applyNumberFormat="1" applyFont="1" applyAlignment="1" applyProtection="1">
      <alignment horizontal="center"/>
    </xf>
    <xf numFmtId="37" fontId="141" fillId="0" borderId="0" xfId="19" applyFont="1" applyAlignment="1"/>
    <xf numFmtId="39" fontId="143" fillId="0" borderId="0" xfId="19" applyNumberFormat="1" applyFont="1" applyProtection="1"/>
    <xf numFmtId="37" fontId="143" fillId="0" borderId="0" xfId="19" applyFont="1" applyBorder="1" applyAlignment="1" applyProtection="1">
      <alignment horizontal="left"/>
      <protection locked="0"/>
    </xf>
    <xf numFmtId="181" fontId="143" fillId="0" borderId="0" xfId="19" applyNumberFormat="1" applyFont="1" applyBorder="1" applyAlignment="1" applyProtection="1">
      <alignment horizontal="left"/>
      <protection locked="0"/>
    </xf>
    <xf numFmtId="3" fontId="143" fillId="0" borderId="0" xfId="19" applyNumberFormat="1" applyFont="1" applyBorder="1" applyAlignment="1" applyProtection="1">
      <alignment horizontal="right"/>
      <protection locked="0"/>
    </xf>
    <xf numFmtId="37" fontId="143" fillId="0" borderId="0" xfId="19" quotePrefix="1" applyFont="1" applyBorder="1" applyAlignment="1" applyProtection="1">
      <alignment horizontal="left"/>
      <protection locked="0"/>
    </xf>
    <xf numFmtId="182" fontId="143" fillId="0" borderId="0" xfId="20" applyNumberFormat="1" applyFont="1" applyBorder="1" applyAlignment="1" applyProtection="1">
      <alignment horizontal="right"/>
      <protection locked="0"/>
    </xf>
    <xf numFmtId="182" fontId="143" fillId="0" borderId="0" xfId="20" applyNumberFormat="1" applyFont="1"/>
    <xf numFmtId="182" fontId="143" fillId="0" borderId="0" xfId="20" applyNumberFormat="1" applyFont="1" applyAlignment="1">
      <alignment horizontal="center"/>
    </xf>
    <xf numFmtId="37" fontId="143" fillId="0" borderId="0" xfId="19" quotePrefix="1" applyFont="1" applyFill="1" applyBorder="1" applyAlignment="1" applyProtection="1">
      <alignment horizontal="left" vertical="center"/>
      <protection locked="0"/>
    </xf>
    <xf numFmtId="182" fontId="143" fillId="0" borderId="0" xfId="20" applyNumberFormat="1" applyFont="1" applyFill="1" applyBorder="1" applyAlignment="1" applyProtection="1">
      <alignment horizontal="right"/>
      <protection locked="0"/>
    </xf>
    <xf numFmtId="182" fontId="143" fillId="0" borderId="0" xfId="20" applyNumberFormat="1" applyFont="1" applyFill="1"/>
    <xf numFmtId="182" fontId="143" fillId="5" borderId="0" xfId="20" applyNumberFormat="1" applyFont="1" applyFill="1" applyBorder="1" applyAlignment="1" applyProtection="1">
      <alignment horizontal="right"/>
      <protection locked="0"/>
    </xf>
    <xf numFmtId="37" fontId="143" fillId="0" borderId="0" xfId="19" applyFont="1" applyFill="1" applyBorder="1" applyAlignment="1" applyProtection="1">
      <alignment horizontal="left"/>
      <protection locked="0"/>
    </xf>
    <xf numFmtId="181" fontId="143" fillId="0" borderId="0" xfId="19" applyNumberFormat="1" applyFont="1" applyFill="1" applyBorder="1" applyAlignment="1" applyProtection="1">
      <alignment horizontal="left"/>
      <protection locked="0"/>
    </xf>
    <xf numFmtId="3" fontId="143" fillId="0" borderId="0" xfId="19" applyNumberFormat="1" applyFont="1" applyFill="1" applyBorder="1" applyAlignment="1" applyProtection="1">
      <alignment horizontal="right"/>
      <protection locked="0"/>
    </xf>
    <xf numFmtId="184" fontId="144" fillId="0" borderId="0" xfId="20" applyNumberFormat="1" applyFont="1" applyFill="1" applyBorder="1" applyAlignment="1" applyProtection="1">
      <alignment horizontal="right"/>
      <protection locked="0"/>
    </xf>
    <xf numFmtId="182" fontId="144" fillId="0" borderId="0" xfId="20" applyNumberFormat="1" applyFont="1" applyFill="1" applyBorder="1" applyAlignment="1" applyProtection="1">
      <alignment horizontal="right"/>
      <protection locked="0"/>
    </xf>
    <xf numFmtId="183" fontId="144" fillId="0" borderId="0" xfId="20" applyNumberFormat="1" applyFont="1" applyFill="1" applyBorder="1" applyAlignment="1" applyProtection="1">
      <alignment horizontal="right"/>
      <protection locked="0"/>
    </xf>
    <xf numFmtId="182" fontId="143" fillId="0" borderId="0" xfId="20" applyNumberFormat="1" applyFont="1" applyFill="1" applyProtection="1"/>
    <xf numFmtId="182" fontId="143" fillId="0" borderId="0" xfId="20" applyNumberFormat="1" applyFont="1" applyFill="1" applyAlignment="1" applyProtection="1">
      <alignment horizontal="center"/>
    </xf>
    <xf numFmtId="182" fontId="143" fillId="0" borderId="0" xfId="20" applyNumberFormat="1" applyFont="1" applyProtection="1"/>
    <xf numFmtId="37" fontId="141" fillId="0" borderId="0" xfId="19" applyFont="1" applyBorder="1" applyAlignment="1" applyProtection="1">
      <alignment horizontal="left" vertical="center"/>
      <protection locked="0"/>
    </xf>
    <xf numFmtId="37" fontId="143" fillId="0" borderId="0" xfId="19" applyFont="1" applyBorder="1" applyAlignment="1" applyProtection="1">
      <alignment horizontal="left" vertical="center"/>
      <protection locked="0"/>
    </xf>
    <xf numFmtId="181" fontId="143" fillId="0" borderId="0" xfId="19" applyNumberFormat="1" applyFont="1" applyBorder="1" applyAlignment="1" applyProtection="1">
      <alignment horizontal="left" vertical="center"/>
      <protection locked="0"/>
    </xf>
    <xf numFmtId="3" fontId="143" fillId="0" borderId="0" xfId="19" applyNumberFormat="1" applyFont="1" applyBorder="1" applyAlignment="1" applyProtection="1">
      <alignment horizontal="right" vertical="center"/>
      <protection locked="0"/>
    </xf>
    <xf numFmtId="182" fontId="145" fillId="0" borderId="0" xfId="20" applyNumberFormat="1" applyFont="1" applyBorder="1" applyAlignment="1" applyProtection="1">
      <alignment horizontal="right" vertical="center"/>
      <protection locked="0"/>
    </xf>
    <xf numFmtId="182" fontId="145" fillId="0" borderId="0" xfId="20" applyNumberFormat="1" applyFont="1" applyFill="1" applyBorder="1" applyAlignment="1" applyProtection="1">
      <alignment horizontal="right" vertical="center"/>
      <protection locked="0"/>
    </xf>
    <xf numFmtId="184" fontId="145" fillId="0" borderId="0" xfId="20" applyNumberFormat="1" applyFont="1" applyFill="1" applyBorder="1" applyAlignment="1" applyProtection="1">
      <alignment horizontal="right" vertical="center"/>
      <protection locked="0"/>
    </xf>
    <xf numFmtId="183" fontId="145" fillId="0" borderId="0" xfId="20" applyNumberFormat="1" applyFont="1" applyFill="1" applyBorder="1" applyAlignment="1" applyProtection="1">
      <alignment horizontal="right" vertical="center"/>
      <protection locked="0"/>
    </xf>
    <xf numFmtId="182" fontId="143" fillId="0" borderId="0" xfId="20" applyNumberFormat="1" applyFont="1" applyAlignment="1" applyProtection="1">
      <alignment vertical="center"/>
    </xf>
    <xf numFmtId="182" fontId="143" fillId="0" borderId="0" xfId="20" applyNumberFormat="1" applyFont="1" applyBorder="1" applyAlignment="1" applyProtection="1">
      <alignment horizontal="right" vertical="center"/>
      <protection locked="0"/>
    </xf>
    <xf numFmtId="182" fontId="143" fillId="0" borderId="0" xfId="20" applyNumberFormat="1" applyFont="1" applyAlignment="1" applyProtection="1">
      <alignment horizontal="center"/>
    </xf>
    <xf numFmtId="37" fontId="143" fillId="0" borderId="0" xfId="19" applyFont="1" applyBorder="1" applyAlignment="1" applyProtection="1">
      <alignment horizontal="right" vertical="center"/>
      <protection locked="0"/>
    </xf>
    <xf numFmtId="37" fontId="143" fillId="0" borderId="0" xfId="19" quotePrefix="1" applyFont="1" applyFill="1" applyBorder="1" applyAlignment="1" applyProtection="1">
      <alignment horizontal="left"/>
      <protection locked="0"/>
    </xf>
    <xf numFmtId="182" fontId="143" fillId="0" borderId="0" xfId="20" applyNumberFormat="1" applyFont="1" applyFill="1" applyBorder="1" applyAlignment="1" applyProtection="1">
      <alignment horizontal="right" vertical="center"/>
      <protection locked="0"/>
    </xf>
    <xf numFmtId="182" fontId="143" fillId="0" borderId="0" xfId="20" applyNumberFormat="1" applyFont="1" applyFill="1" applyBorder="1" applyAlignment="1" applyProtection="1">
      <alignment horizontal="center" vertical="center"/>
      <protection locked="0"/>
    </xf>
    <xf numFmtId="182" fontId="143" fillId="0" borderId="0" xfId="20" applyNumberFormat="1" applyFont="1" applyAlignment="1" applyProtection="1">
      <alignment horizontal="center" vertical="center"/>
    </xf>
    <xf numFmtId="37" fontId="143" fillId="0" borderId="0" xfId="19" applyFont="1" applyBorder="1" applyAlignment="1" applyProtection="1">
      <alignment horizontal="right"/>
      <protection locked="0"/>
    </xf>
    <xf numFmtId="182" fontId="143" fillId="21" borderId="0" xfId="20" applyNumberFormat="1" applyFont="1" applyFill="1" applyBorder="1" applyAlignment="1" applyProtection="1">
      <alignment horizontal="right"/>
      <protection locked="0"/>
    </xf>
    <xf numFmtId="37" fontId="143" fillId="0" borderId="0" xfId="19" quotePrefix="1" applyFont="1" applyBorder="1" applyAlignment="1" applyProtection="1">
      <alignment horizontal="right"/>
      <protection locked="0"/>
    </xf>
    <xf numFmtId="182" fontId="143" fillId="0" borderId="0" xfId="20" applyNumberFormat="1" applyFont="1" applyFill="1" applyBorder="1" applyAlignment="1" applyProtection="1">
      <alignment horizontal="center"/>
      <protection locked="0"/>
    </xf>
    <xf numFmtId="182" fontId="143" fillId="0" borderId="0" xfId="20" quotePrefix="1" applyNumberFormat="1" applyFont="1"/>
    <xf numFmtId="37" fontId="143" fillId="0" borderId="0" xfId="19" applyFont="1" applyFill="1" applyBorder="1" applyAlignment="1" applyProtection="1">
      <alignment horizontal="right"/>
      <protection locked="0"/>
    </xf>
    <xf numFmtId="182" fontId="143" fillId="0" borderId="0" xfId="20" quotePrefix="1" applyNumberFormat="1" applyFont="1" applyFill="1"/>
    <xf numFmtId="182" fontId="143" fillId="0" borderId="0" xfId="20" applyNumberFormat="1" applyFont="1" applyFill="1" applyAlignment="1">
      <alignment horizontal="center"/>
    </xf>
    <xf numFmtId="3" fontId="143" fillId="0" borderId="0" xfId="19" quotePrefix="1" applyNumberFormat="1" applyFont="1" applyBorder="1" applyAlignment="1" applyProtection="1">
      <alignment horizontal="left"/>
      <protection locked="0"/>
    </xf>
    <xf numFmtId="37" fontId="143" fillId="0" borderId="0" xfId="19" quotePrefix="1" applyFont="1" applyFill="1" applyBorder="1" applyAlignment="1" applyProtection="1">
      <alignment horizontal="right" vertical="center"/>
      <protection locked="0"/>
    </xf>
    <xf numFmtId="37" fontId="143" fillId="0" borderId="0" xfId="19" applyFont="1" applyFill="1" applyBorder="1" applyAlignment="1" applyProtection="1">
      <alignment horizontal="left" vertical="center"/>
      <protection locked="0"/>
    </xf>
    <xf numFmtId="181" fontId="143" fillId="0" borderId="0" xfId="19" applyNumberFormat="1" applyFont="1" applyFill="1" applyBorder="1" applyAlignment="1" applyProtection="1">
      <alignment horizontal="left" vertical="center"/>
      <protection locked="0"/>
    </xf>
    <xf numFmtId="3" fontId="143" fillId="0" borderId="0" xfId="19" applyNumberFormat="1" applyFont="1" applyFill="1" applyBorder="1" applyAlignment="1" applyProtection="1">
      <alignment horizontal="right" vertical="center"/>
      <protection locked="0"/>
    </xf>
    <xf numFmtId="182" fontId="143" fillId="0" borderId="0" xfId="20" applyNumberFormat="1" applyFont="1" applyFill="1" applyAlignment="1">
      <alignment vertical="center"/>
    </xf>
    <xf numFmtId="37" fontId="143" fillId="0" borderId="0" xfId="20" applyNumberFormat="1" applyFont="1" applyFill="1" applyBorder="1" applyAlignment="1" applyProtection="1">
      <alignment horizontal="right" vertical="center"/>
      <protection locked="0"/>
    </xf>
    <xf numFmtId="10" fontId="143" fillId="0" borderId="0" xfId="20" applyNumberFormat="1" applyFont="1" applyFill="1" applyBorder="1" applyAlignment="1" applyProtection="1">
      <alignment horizontal="right"/>
      <protection locked="0"/>
    </xf>
    <xf numFmtId="37" fontId="141" fillId="0" borderId="0" xfId="19" applyFont="1" applyFill="1"/>
    <xf numFmtId="3" fontId="143" fillId="0" borderId="0" xfId="20" applyNumberFormat="1" applyFont="1" applyBorder="1" applyAlignment="1" applyProtection="1">
      <alignment horizontal="right"/>
      <protection locked="0"/>
    </xf>
    <xf numFmtId="3" fontId="143" fillId="0" borderId="0" xfId="19" quotePrefix="1" applyNumberFormat="1" applyFont="1" applyFill="1" applyBorder="1" applyAlignment="1" applyProtection="1">
      <alignment horizontal="left"/>
      <protection locked="0"/>
    </xf>
    <xf numFmtId="3" fontId="143" fillId="0" borderId="0" xfId="19" quotePrefix="1" applyNumberFormat="1" applyFont="1" applyFill="1" applyBorder="1" applyAlignment="1" applyProtection="1">
      <alignment horizontal="left" vertical="center"/>
      <protection locked="0"/>
    </xf>
    <xf numFmtId="182" fontId="143" fillId="0" borderId="0" xfId="20" applyNumberFormat="1" applyFont="1" applyFill="1" applyAlignment="1" applyProtection="1">
      <alignment horizontal="center" vertical="center"/>
    </xf>
    <xf numFmtId="182" fontId="143" fillId="0" borderId="0" xfId="20" applyNumberFormat="1" applyFont="1" applyFill="1" applyAlignment="1" applyProtection="1">
      <alignment vertical="center"/>
    </xf>
    <xf numFmtId="182" fontId="143" fillId="0" borderId="0" xfId="20" quotePrefix="1" applyNumberFormat="1" applyFont="1" applyFill="1" applyAlignment="1">
      <alignment vertical="center"/>
    </xf>
    <xf numFmtId="37" fontId="140" fillId="0" borderId="0" xfId="19" applyFont="1" applyAlignment="1"/>
    <xf numFmtId="37" fontId="143" fillId="0" borderId="0" xfId="19" applyFont="1" applyBorder="1" applyAlignment="1"/>
    <xf numFmtId="183" fontId="145" fillId="0" borderId="0" xfId="19" applyNumberFormat="1" applyFont="1" applyAlignment="1" applyProtection="1"/>
    <xf numFmtId="182" fontId="145" fillId="0" borderId="0" xfId="20" applyNumberFormat="1" applyFont="1" applyFill="1" applyBorder="1" applyAlignment="1" applyProtection="1">
      <alignment horizontal="right"/>
      <protection locked="0"/>
    </xf>
    <xf numFmtId="182" fontId="145" fillId="0" borderId="0" xfId="20" applyNumberFormat="1" applyFont="1" applyBorder="1" applyAlignment="1" applyProtection="1">
      <alignment horizontal="right"/>
      <protection locked="0"/>
    </xf>
    <xf numFmtId="183" fontId="145" fillId="0" borderId="0" xfId="19" applyNumberFormat="1" applyFont="1" applyFill="1" applyAlignment="1" applyProtection="1"/>
    <xf numFmtId="183" fontId="143" fillId="0" borderId="0" xfId="19" applyNumberFormat="1" applyFont="1" applyAlignment="1" applyProtection="1">
      <alignment horizontal="left"/>
    </xf>
    <xf numFmtId="183" fontId="143" fillId="0" borderId="0" xfId="19" applyNumberFormat="1" applyFont="1" applyAlignment="1"/>
    <xf numFmtId="183" fontId="145" fillId="0" borderId="0" xfId="19" applyNumberFormat="1" applyFont="1" applyAlignment="1" applyProtection="1">
      <alignment vertical="center"/>
    </xf>
    <xf numFmtId="183" fontId="145" fillId="0" borderId="0" xfId="19" applyNumberFormat="1" applyFont="1" applyFill="1" applyAlignment="1" applyProtection="1">
      <alignment vertical="center"/>
    </xf>
    <xf numFmtId="183" fontId="143" fillId="0" borderId="0" xfId="19" applyNumberFormat="1" applyFont="1" applyAlignment="1" applyProtection="1">
      <alignment horizontal="left" vertical="center"/>
    </xf>
    <xf numFmtId="183" fontId="143" fillId="0" borderId="0" xfId="19" applyNumberFormat="1" applyFont="1" applyAlignment="1">
      <alignment vertical="center"/>
    </xf>
    <xf numFmtId="183" fontId="145" fillId="0" borderId="0" xfId="19" applyNumberFormat="1" applyFont="1" applyProtection="1"/>
    <xf numFmtId="183" fontId="145" fillId="0" borderId="0" xfId="19" applyNumberFormat="1" applyFont="1" applyFill="1" applyProtection="1"/>
    <xf numFmtId="183" fontId="143" fillId="0" borderId="0" xfId="19" applyNumberFormat="1" applyFont="1"/>
    <xf numFmtId="183" fontId="143" fillId="0" borderId="0" xfId="19" applyNumberFormat="1" applyFont="1" applyFill="1" applyAlignment="1">
      <alignment vertical="center"/>
    </xf>
    <xf numFmtId="37" fontId="143" fillId="0" borderId="0" xfId="19" applyFont="1" applyBorder="1" applyAlignment="1" applyProtection="1">
      <alignment horizontal="left" vertical="top"/>
      <protection locked="0"/>
    </xf>
    <xf numFmtId="181" fontId="143" fillId="0" borderId="0" xfId="19" applyNumberFormat="1" applyFont="1" applyBorder="1" applyAlignment="1" applyProtection="1">
      <alignment horizontal="left" vertical="top"/>
      <protection locked="0"/>
    </xf>
    <xf numFmtId="3" fontId="143" fillId="0" borderId="0" xfId="19" applyNumberFormat="1" applyFont="1" applyBorder="1" applyAlignment="1" applyProtection="1">
      <alignment horizontal="right" vertical="top"/>
      <protection locked="0"/>
    </xf>
    <xf numFmtId="37" fontId="143" fillId="0" borderId="0" xfId="19" applyFont="1" applyFill="1" applyBorder="1" applyAlignment="1" applyProtection="1">
      <alignment horizontal="left" vertical="top"/>
      <protection locked="0"/>
    </xf>
    <xf numFmtId="37" fontId="143" fillId="0" borderId="0" xfId="19" applyFont="1" applyBorder="1" applyAlignment="1">
      <alignment horizontal="center" vertical="top"/>
    </xf>
    <xf numFmtId="182" fontId="145" fillId="0" borderId="0" xfId="20" applyNumberFormat="1" applyFont="1" applyFill="1" applyBorder="1" applyAlignment="1" applyProtection="1">
      <alignment horizontal="right" vertical="top"/>
      <protection locked="0"/>
    </xf>
    <xf numFmtId="183" fontId="145" fillId="0" borderId="0" xfId="19" applyNumberFormat="1" applyFont="1" applyFill="1" applyAlignment="1" applyProtection="1">
      <alignment vertical="top"/>
    </xf>
    <xf numFmtId="183" fontId="145" fillId="0" borderId="0" xfId="19" applyNumberFormat="1" applyFont="1" applyAlignment="1" applyProtection="1">
      <alignment vertical="top"/>
    </xf>
    <xf numFmtId="183" fontId="143" fillId="0" borderId="0" xfId="19" applyNumberFormat="1" applyFont="1" applyAlignment="1" applyProtection="1">
      <alignment horizontal="left" vertical="top"/>
    </xf>
    <xf numFmtId="183" fontId="143" fillId="0" borderId="0" xfId="19" applyNumberFormat="1" applyFont="1" applyAlignment="1">
      <alignment vertical="top"/>
    </xf>
    <xf numFmtId="37" fontId="140" fillId="0" borderId="0" xfId="19" applyFont="1" applyAlignment="1">
      <alignment vertical="top"/>
    </xf>
    <xf numFmtId="37" fontId="143" fillId="21" borderId="0" xfId="19" applyFont="1" applyFill="1" applyBorder="1" applyAlignment="1" applyProtection="1">
      <alignment horizontal="left" vertical="center"/>
      <protection locked="0"/>
    </xf>
    <xf numFmtId="182" fontId="143" fillId="21" borderId="0" xfId="20" applyNumberFormat="1" applyFont="1" applyFill="1" applyBorder="1" applyAlignment="1" applyProtection="1">
      <alignment horizontal="right" vertical="center"/>
      <protection locked="0"/>
    </xf>
    <xf numFmtId="37" fontId="143" fillId="0" borderId="0" xfId="19" quotePrefix="1" applyFont="1" applyBorder="1" applyAlignment="1" applyProtection="1">
      <alignment horizontal="right" vertical="center"/>
      <protection locked="0"/>
    </xf>
    <xf numFmtId="37" fontId="141" fillId="0" borderId="0" xfId="19" applyFont="1" applyAlignment="1">
      <alignment horizontal="left" vertical="center"/>
    </xf>
    <xf numFmtId="183" fontId="143" fillId="0" borderId="0" xfId="19" applyNumberFormat="1" applyFont="1" applyAlignment="1">
      <alignment horizontal="center" vertical="center"/>
    </xf>
    <xf numFmtId="37" fontId="143" fillId="0" borderId="0" xfId="19" applyFont="1" applyFill="1" applyAlignment="1">
      <alignment vertical="center"/>
    </xf>
    <xf numFmtId="183" fontId="143" fillId="0" borderId="0" xfId="19" applyNumberFormat="1" applyFont="1" applyFill="1" applyBorder="1" applyAlignment="1" applyProtection="1">
      <alignment vertical="center"/>
    </xf>
    <xf numFmtId="183" fontId="143" fillId="0" borderId="0" xfId="19" applyNumberFormat="1" applyFont="1" applyFill="1" applyAlignment="1">
      <alignment horizontal="center" vertical="center"/>
    </xf>
    <xf numFmtId="184" fontId="143" fillId="0" borderId="0" xfId="20" applyNumberFormat="1" applyFont="1" applyFill="1" applyBorder="1" applyAlignment="1" applyProtection="1">
      <alignment horizontal="right"/>
      <protection locked="0"/>
    </xf>
    <xf numFmtId="185" fontId="143" fillId="0" borderId="0" xfId="20" applyNumberFormat="1" applyFont="1" applyFill="1" applyBorder="1" applyAlignment="1" applyProtection="1">
      <alignment horizontal="right" vertical="center"/>
      <protection locked="0"/>
    </xf>
    <xf numFmtId="37" fontId="143" fillId="0" borderId="0" xfId="19" applyFont="1" applyFill="1" applyAlignment="1">
      <alignment horizontal="center" vertical="center"/>
    </xf>
    <xf numFmtId="183" fontId="143" fillId="0" borderId="0" xfId="19" applyNumberFormat="1" applyFont="1" applyAlignment="1">
      <alignment horizontal="right" vertical="center"/>
    </xf>
    <xf numFmtId="182" fontId="144" fillId="21" borderId="0" xfId="20" applyNumberFormat="1" applyFont="1" applyFill="1" applyBorder="1" applyAlignment="1" applyProtection="1">
      <alignment horizontal="right"/>
      <protection locked="0"/>
    </xf>
    <xf numFmtId="182" fontId="143" fillId="0" borderId="0" xfId="20" applyNumberFormat="1" applyFont="1" applyAlignment="1">
      <alignment vertical="center"/>
    </xf>
    <xf numFmtId="182" fontId="145" fillId="0" borderId="0" xfId="20" applyNumberFormat="1" applyFont="1" applyAlignment="1" applyProtection="1">
      <alignment horizontal="center" vertical="center"/>
    </xf>
    <xf numFmtId="183" fontId="145" fillId="0" borderId="0" xfId="20" applyNumberFormat="1" applyFont="1" applyBorder="1" applyAlignment="1" applyProtection="1">
      <alignment horizontal="right" vertical="center"/>
      <protection locked="0"/>
    </xf>
    <xf numFmtId="184" fontId="145" fillId="0" borderId="0" xfId="20" applyNumberFormat="1" applyFont="1" applyBorder="1" applyAlignment="1" applyProtection="1">
      <alignment horizontal="right" vertical="center"/>
      <protection locked="0"/>
    </xf>
    <xf numFmtId="37" fontId="141" fillId="0" borderId="0" xfId="19" applyFont="1" applyBorder="1" applyAlignment="1">
      <alignment horizontal="left" vertical="center"/>
    </xf>
    <xf numFmtId="183" fontId="145" fillId="0" borderId="0" xfId="19" applyNumberFormat="1" applyFont="1" applyAlignment="1">
      <alignment vertical="center"/>
    </xf>
    <xf numFmtId="183" fontId="143" fillId="0" borderId="0" xfId="19" applyNumberFormat="1" applyFont="1" applyBorder="1" applyAlignment="1" applyProtection="1">
      <alignment vertical="center"/>
    </xf>
    <xf numFmtId="183" fontId="143" fillId="21" borderId="0" xfId="19" applyNumberFormat="1" applyFont="1" applyFill="1" applyAlignment="1">
      <alignment vertical="center"/>
    </xf>
    <xf numFmtId="37" fontId="143" fillId="0" borderId="0" xfId="19" applyFont="1" applyFill="1" applyBorder="1" applyAlignment="1">
      <alignment vertical="center"/>
    </xf>
    <xf numFmtId="183" fontId="143" fillId="0" borderId="0" xfId="19" applyNumberFormat="1" applyFont="1" applyFill="1" applyBorder="1" applyAlignment="1">
      <alignment vertical="center"/>
    </xf>
    <xf numFmtId="183" fontId="143" fillId="0" borderId="0" xfId="19" applyNumberFormat="1" applyFont="1" applyBorder="1" applyAlignment="1">
      <alignment vertical="center"/>
    </xf>
    <xf numFmtId="183" fontId="145" fillId="0" borderId="0" xfId="19" applyNumberFormat="1" applyFont="1" applyFill="1" applyBorder="1" applyAlignment="1" applyProtection="1">
      <alignment vertical="center"/>
    </xf>
    <xf numFmtId="183" fontId="145" fillId="0" borderId="0" xfId="19" applyNumberFormat="1" applyFont="1" applyBorder="1" applyAlignment="1" applyProtection="1">
      <alignment vertical="center"/>
    </xf>
    <xf numFmtId="185" fontId="145" fillId="0" borderId="0" xfId="20" applyNumberFormat="1" applyFont="1" applyBorder="1" applyAlignment="1" applyProtection="1">
      <alignment horizontal="right" vertical="center"/>
      <protection locked="0"/>
    </xf>
    <xf numFmtId="37" fontId="141" fillId="0" borderId="0" xfId="19" quotePrefix="1" applyFont="1" applyAlignment="1">
      <alignment horizontal="left" vertical="center"/>
    </xf>
    <xf numFmtId="181" fontId="143" fillId="0" borderId="0" xfId="19" applyNumberFormat="1" applyFont="1" applyAlignment="1" applyProtection="1">
      <alignment vertical="center"/>
    </xf>
    <xf numFmtId="37" fontId="141" fillId="0" borderId="0" xfId="19" applyFont="1" applyAlignment="1">
      <alignment vertical="center"/>
    </xf>
    <xf numFmtId="182" fontId="146" fillId="0" borderId="0" xfId="20" applyNumberFormat="1" applyFont="1" applyBorder="1" applyAlignment="1" applyProtection="1">
      <alignment horizontal="right" vertical="center"/>
      <protection locked="0"/>
    </xf>
    <xf numFmtId="183" fontId="143" fillId="0" borderId="0" xfId="19" applyNumberFormat="1" applyFont="1" applyAlignment="1">
      <alignment horizontal="center"/>
    </xf>
    <xf numFmtId="37" fontId="143" fillId="0" borderId="0" xfId="19" quotePrefix="1" applyFont="1" applyBorder="1" applyAlignment="1" applyProtection="1">
      <alignment horizontal="left" vertical="center"/>
      <protection locked="0"/>
    </xf>
    <xf numFmtId="37" fontId="143" fillId="0" borderId="0" xfId="19" applyFont="1" applyAlignment="1">
      <alignment horizontal="left"/>
    </xf>
    <xf numFmtId="183" fontId="143" fillId="0" borderId="0" xfId="19" applyNumberFormat="1" applyFont="1" applyFill="1"/>
    <xf numFmtId="37" fontId="140" fillId="0" borderId="0" xfId="19" applyFont="1" applyAlignment="1">
      <alignment horizontal="center" vertical="center"/>
    </xf>
    <xf numFmtId="183" fontId="143" fillId="0" borderId="0" xfId="19" applyNumberFormat="1" applyFont="1" applyAlignment="1">
      <alignment horizontal="left"/>
    </xf>
    <xf numFmtId="43" fontId="145" fillId="0" borderId="0" xfId="19" applyNumberFormat="1" applyFont="1" applyFill="1" applyBorder="1" applyProtection="1"/>
    <xf numFmtId="186" fontId="140" fillId="0" borderId="0" xfId="19" applyNumberFormat="1" applyFont="1" applyAlignment="1" applyProtection="1">
      <alignment vertical="center"/>
    </xf>
    <xf numFmtId="183" fontId="140" fillId="0" borderId="0" xfId="19" applyNumberFormat="1" applyFont="1" applyAlignment="1">
      <alignment vertical="center"/>
    </xf>
    <xf numFmtId="183" fontId="140" fillId="0" borderId="0" xfId="19" applyNumberFormat="1" applyFont="1" applyAlignment="1">
      <alignment horizontal="center" vertical="center"/>
    </xf>
    <xf numFmtId="183" fontId="140" fillId="0" borderId="0" xfId="19" applyNumberFormat="1" applyFont="1" applyFill="1" applyAlignment="1">
      <alignment vertical="center"/>
    </xf>
    <xf numFmtId="37" fontId="43" fillId="0" borderId="0" xfId="19" quotePrefix="1" applyFont="1" applyAlignment="1">
      <alignment horizontal="left" vertical="center"/>
    </xf>
    <xf numFmtId="183" fontId="43" fillId="0" borderId="0" xfId="19" applyNumberFormat="1" applyFont="1" applyAlignment="1">
      <alignment vertical="center"/>
    </xf>
    <xf numFmtId="37" fontId="43" fillId="0" borderId="78" xfId="19" applyFont="1" applyBorder="1" applyAlignment="1">
      <alignment horizontal="center" vertical="center"/>
    </xf>
    <xf numFmtId="37" fontId="140" fillId="0" borderId="78" xfId="19" applyFont="1" applyBorder="1" applyAlignment="1">
      <alignment vertical="center"/>
    </xf>
    <xf numFmtId="186" fontId="140" fillId="0" borderId="78" xfId="19" applyNumberFormat="1" applyFont="1" applyBorder="1" applyAlignment="1" applyProtection="1">
      <alignment vertical="center"/>
    </xf>
    <xf numFmtId="37" fontId="140" fillId="0" borderId="78" xfId="19" applyFont="1" applyBorder="1" applyAlignment="1">
      <alignment horizontal="center" vertical="center"/>
    </xf>
    <xf numFmtId="183" fontId="140" fillId="0" borderId="78" xfId="19" applyNumberFormat="1" applyFont="1" applyBorder="1" applyAlignment="1">
      <alignment vertical="center"/>
    </xf>
    <xf numFmtId="183" fontId="140" fillId="0" borderId="78" xfId="19" applyNumberFormat="1" applyFont="1" applyBorder="1" applyAlignment="1">
      <alignment horizontal="center" vertical="center"/>
    </xf>
    <xf numFmtId="37" fontId="25" fillId="0" borderId="0" xfId="19" applyFont="1" applyAlignment="1" applyProtection="1">
      <alignment horizontal="left" wrapText="1"/>
    </xf>
    <xf numFmtId="37" fontId="140" fillId="0" borderId="0" xfId="19" applyFont="1" applyAlignment="1" applyProtection="1">
      <alignment horizontal="left"/>
    </xf>
    <xf numFmtId="37" fontId="8" fillId="0" borderId="0" xfId="19" applyFont="1" applyAlignment="1" applyProtection="1">
      <alignment horizontal="left" wrapText="1"/>
    </xf>
    <xf numFmtId="37" fontId="8" fillId="0" borderId="0" xfId="19" applyFont="1" applyAlignment="1" applyProtection="1"/>
    <xf numFmtId="37" fontId="25" fillId="0" borderId="0" xfId="19" applyFont="1" applyAlignment="1" applyProtection="1">
      <alignment horizontal="left"/>
    </xf>
    <xf numFmtId="169" fontId="8" fillId="0" borderId="0" xfId="19" applyNumberFormat="1" applyFont="1" applyAlignment="1" applyProtection="1">
      <alignment horizontal="left"/>
    </xf>
    <xf numFmtId="1" fontId="8" fillId="0" borderId="0" xfId="19" applyNumberFormat="1" applyFont="1" applyAlignment="1" applyProtection="1">
      <alignment horizontal="left"/>
    </xf>
    <xf numFmtId="37" fontId="8" fillId="0" borderId="0" xfId="19" applyFont="1" applyAlignment="1" applyProtection="1">
      <alignment horizontal="left"/>
    </xf>
    <xf numFmtId="169" fontId="140" fillId="0" borderId="0" xfId="19" applyNumberFormat="1" applyFont="1" applyAlignment="1" applyProtection="1">
      <alignment horizontal="left"/>
    </xf>
    <xf numFmtId="1" fontId="140" fillId="0" borderId="0" xfId="19" applyNumberFormat="1" applyFont="1" applyAlignment="1" applyProtection="1">
      <alignment horizontal="left"/>
    </xf>
    <xf numFmtId="37" fontId="140" fillId="0" borderId="0" xfId="19" applyFont="1" applyProtection="1">
      <protection locked="0"/>
    </xf>
    <xf numFmtId="169" fontId="140" fillId="0" borderId="0" xfId="19" applyNumberFormat="1" applyFont="1" applyProtection="1">
      <protection locked="0"/>
    </xf>
    <xf numFmtId="1" fontId="140" fillId="0" borderId="0" xfId="19" applyNumberFormat="1" applyFont="1" applyProtection="1">
      <protection locked="0"/>
    </xf>
    <xf numFmtId="37" fontId="140" fillId="0" borderId="0" xfId="19" applyFont="1" applyAlignment="1" applyProtection="1">
      <alignment horizontal="center"/>
      <protection locked="0"/>
    </xf>
    <xf numFmtId="37" fontId="11" fillId="0" borderId="0" xfId="19" applyFont="1" applyAlignment="1">
      <alignment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52" fillId="0" borderId="50" xfId="3" applyNumberFormat="1" applyFont="1" applyBorder="1" applyAlignment="1" applyProtection="1">
      <alignment horizontal="left" indent="1"/>
    </xf>
    <xf numFmtId="0" fontId="52" fillId="0" borderId="9" xfId="3" applyFont="1" applyBorder="1" applyAlignment="1" applyProtection="1">
      <alignment horizontal="left" indent="1"/>
    </xf>
    <xf numFmtId="0" fontId="52"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37" fontId="25" fillId="0" borderId="0" xfId="19" applyFont="1" applyAlignment="1" applyProtection="1">
      <alignment horizontal="left" wrapText="1"/>
    </xf>
    <xf numFmtId="37" fontId="8" fillId="0" borderId="0" xfId="19" applyFont="1" applyAlignment="1" applyProtection="1">
      <alignment horizontal="left" wrapText="1"/>
    </xf>
    <xf numFmtId="37" fontId="141" fillId="0" borderId="0" xfId="19" applyFont="1" applyAlignment="1">
      <alignment horizontal="center"/>
    </xf>
    <xf numFmtId="37" fontId="142" fillId="0" borderId="0" xfId="19" applyFont="1" applyBorder="1" applyAlignment="1">
      <alignment horizontal="center"/>
    </xf>
    <xf numFmtId="37" fontId="143" fillId="0" borderId="78" xfId="19" applyFont="1" applyBorder="1" applyAlignment="1">
      <alignment horizontal="center" vertical="center"/>
    </xf>
    <xf numFmtId="37" fontId="144" fillId="0" borderId="0" xfId="19" applyFont="1" applyBorder="1" applyAlignment="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6" fontId="55" fillId="0" borderId="0" xfId="3" applyNumberFormat="1" applyFont="1" applyAlignment="1" applyProtection="1">
      <alignment horizontal="left" vertical="top" wrapText="1"/>
      <protection locked="0"/>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0" fillId="0" borderId="0" xfId="3" quotePrefix="1" applyNumberFormat="1" applyFont="1" applyAlignment="1" applyProtection="1">
      <alignment horizontal="center" vertical="center" wrapText="1"/>
    </xf>
    <xf numFmtId="171" fontId="10"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xfId="19"/>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BE998FE8-A820-469A-96CD-BAD97A5CE535}"/>
            </a:ext>
          </a:extLst>
        </xdr:cNvPr>
        <xdr:cNvSpPr txBox="1">
          <a:spLocks noChangeArrowheads="1"/>
        </xdr:cNvSpPr>
      </xdr:nvSpPr>
      <xdr:spPr bwMode="auto">
        <a:xfrm>
          <a:off x="1773141" y="8364772"/>
          <a:ext cx="85725" cy="195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C0B6DF45-7702-4FF3-859E-5C1412AE9FC1}"/>
            </a:ext>
          </a:extLst>
        </xdr:cNvPr>
        <xdr:cNvSpPr>
          <a:spLocks noChangeArrowheads="1"/>
        </xdr:cNvSpPr>
      </xdr:nvSpPr>
      <xdr:spPr bwMode="auto">
        <a:xfrm>
          <a:off x="1383527" y="8364772"/>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8ED339ED-2512-4F93-A88A-DF9DB87D99DC}"/>
            </a:ext>
          </a:extLst>
        </xdr:cNvPr>
        <xdr:cNvSpPr txBox="1">
          <a:spLocks noChangeArrowheads="1"/>
        </xdr:cNvSpPr>
      </xdr:nvSpPr>
      <xdr:spPr bwMode="auto">
        <a:xfrm>
          <a:off x="1773141" y="8364772"/>
          <a:ext cx="85725" cy="195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28114757-AF9C-4016-BF43-5B8F64F5B52D}"/>
            </a:ext>
          </a:extLst>
        </xdr:cNvPr>
        <xdr:cNvSpPr>
          <a:spLocks noChangeArrowheads="1"/>
        </xdr:cNvSpPr>
      </xdr:nvSpPr>
      <xdr:spPr bwMode="auto">
        <a:xfrm>
          <a:off x="1383527" y="8364772"/>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9939" name="Object 3" hidden="1">
              <a:extLst>
                <a:ext uri="{63B3BB69-23CF-44E3-9099-C40C66FF867C}">
                  <a14:compatExt spid="_x0000_s39939"/>
                </a:ext>
                <a:ext uri="{FF2B5EF4-FFF2-40B4-BE49-F238E27FC236}">
                  <a16:creationId xmlns:a16="http://schemas.microsoft.com/office/drawing/2014/main" id="{00000000-0008-0000-1400-000003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AE44D1CF-C4C5-444D-80A3-CEF5B4BDE49B}"/>
            </a:ext>
          </a:extLst>
        </xdr:cNvPr>
        <xdr:cNvSpPr txBox="1">
          <a:spLocks noChangeArrowheads="1"/>
        </xdr:cNvSpPr>
      </xdr:nvSpPr>
      <xdr:spPr bwMode="auto">
        <a:xfrm>
          <a:off x="2446020" y="2541270"/>
          <a:ext cx="76200" cy="203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9808321B-5DCB-4AD7-BDD5-0CD5E453048D}"/>
            </a:ext>
          </a:extLst>
        </xdr:cNvPr>
        <xdr:cNvSpPr>
          <a:spLocks noChangeArrowheads="1"/>
        </xdr:cNvSpPr>
      </xdr:nvSpPr>
      <xdr:spPr bwMode="auto">
        <a:xfrm>
          <a:off x="3958590" y="155067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3D28F270-5BC3-4BEF-B979-1C0E747A3E5E}"/>
            </a:ext>
          </a:extLst>
        </xdr:cNvPr>
        <xdr:cNvSpPr txBox="1">
          <a:spLocks noChangeArrowheads="1"/>
        </xdr:cNvSpPr>
      </xdr:nvSpPr>
      <xdr:spPr bwMode="auto">
        <a:xfrm>
          <a:off x="1773141" y="8364772"/>
          <a:ext cx="85725" cy="195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E66AC33C-276C-43CE-A685-622FA4A17D9F}"/>
            </a:ext>
          </a:extLst>
        </xdr:cNvPr>
        <xdr:cNvSpPr>
          <a:spLocks noChangeArrowheads="1"/>
        </xdr:cNvSpPr>
      </xdr:nvSpPr>
      <xdr:spPr bwMode="auto">
        <a:xfrm>
          <a:off x="1383527" y="8364772"/>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1686</v>
      </c>
      <c r="B1" s="45"/>
      <c r="C1" s="45"/>
      <c r="D1" s="46"/>
      <c r="I1" s="2212" t="s">
        <v>425</v>
      </c>
      <c r="J1" s="2213"/>
      <c r="K1" s="2213"/>
      <c r="L1" s="2213"/>
      <c r="M1" s="2213"/>
      <c r="N1" s="2213"/>
      <c r="O1" s="2213"/>
      <c r="P1" s="2213"/>
      <c r="Q1" s="2213"/>
      <c r="R1" s="2213"/>
      <c r="S1" s="2213"/>
    </row>
    <row r="2" spans="1:28" ht="12" customHeight="1" x14ac:dyDescent="0.2">
      <c r="A2" s="47" t="s">
        <v>1684</v>
      </c>
      <c r="D2" s="48"/>
      <c r="I2" s="2214" t="s">
        <v>1036</v>
      </c>
      <c r="J2" s="2213"/>
      <c r="K2" s="2213"/>
      <c r="L2" s="2213"/>
      <c r="M2" s="2213"/>
      <c r="N2" s="2213"/>
      <c r="O2" s="2213"/>
      <c r="P2" s="2213"/>
      <c r="Q2" s="2213"/>
      <c r="R2" s="2213"/>
      <c r="S2" s="2213"/>
    </row>
    <row r="3" spans="1:28" ht="12" customHeight="1" x14ac:dyDescent="0.2">
      <c r="A3" s="155" t="s">
        <v>1685</v>
      </c>
      <c r="B3" s="156"/>
      <c r="C3" s="156"/>
      <c r="D3" s="157"/>
      <c r="I3" s="2214" t="s">
        <v>54</v>
      </c>
      <c r="J3" s="2213"/>
      <c r="K3" s="2213"/>
      <c r="L3" s="2213"/>
      <c r="M3" s="2213"/>
      <c r="N3" s="2213"/>
      <c r="O3" s="2213"/>
      <c r="P3" s="2213"/>
      <c r="Q3" s="2213"/>
      <c r="R3" s="2213"/>
      <c r="S3" s="2213"/>
    </row>
    <row r="4" spans="1:28" ht="12" customHeight="1" x14ac:dyDescent="0.2">
      <c r="A4" s="37"/>
      <c r="I4" s="2214" t="s">
        <v>545</v>
      </c>
      <c r="J4" s="2213"/>
      <c r="K4" s="2213"/>
      <c r="L4" s="2213"/>
      <c r="M4" s="2213"/>
      <c r="N4" s="2213"/>
      <c r="O4" s="2213"/>
      <c r="P4" s="2213"/>
      <c r="Q4" s="2213"/>
      <c r="R4" s="2213"/>
      <c r="S4" s="2213"/>
    </row>
    <row r="5" spans="1:28" ht="14.1" customHeight="1" x14ac:dyDescent="0.2">
      <c r="B5" s="104"/>
      <c r="C5" s="26" t="s">
        <v>966</v>
      </c>
      <c r="D5" s="84"/>
      <c r="E5" s="84"/>
      <c r="H5" s="38"/>
      <c r="I5" s="2222" t="s">
        <v>701</v>
      </c>
      <c r="J5" s="2221"/>
      <c r="K5" s="2221"/>
      <c r="L5" s="2221"/>
      <c r="M5" s="2221"/>
      <c r="N5" s="2221"/>
      <c r="O5" s="2221"/>
      <c r="P5" s="2221"/>
      <c r="Q5" s="2221"/>
      <c r="R5" s="2221"/>
      <c r="S5" s="2221"/>
    </row>
    <row r="6" spans="1:28" ht="14.1" customHeight="1" x14ac:dyDescent="0.2">
      <c r="B6" s="104" t="s">
        <v>2074</v>
      </c>
      <c r="C6" s="26" t="s">
        <v>967</v>
      </c>
      <c r="D6" s="84"/>
      <c r="E6" s="84"/>
      <c r="I6" s="2220" t="s">
        <v>938</v>
      </c>
      <c r="J6" s="2221"/>
      <c r="K6" s="2221"/>
      <c r="L6" s="2221"/>
      <c r="M6" s="2221"/>
      <c r="N6" s="2221"/>
      <c r="O6" s="2221"/>
      <c r="P6" s="2221"/>
      <c r="Q6" s="2221"/>
      <c r="R6" s="2221"/>
      <c r="S6" s="2221"/>
    </row>
    <row r="7" spans="1:28" ht="12.2" customHeight="1" x14ac:dyDescent="0.2">
      <c r="I7" s="2215">
        <v>43281</v>
      </c>
      <c r="J7" s="2216"/>
      <c r="K7" s="2216"/>
      <c r="L7" s="2216"/>
      <c r="M7" s="2216"/>
      <c r="N7" s="2216"/>
      <c r="O7" s="2216"/>
      <c r="P7" s="2216"/>
      <c r="Q7" s="2216"/>
      <c r="R7" s="2216"/>
      <c r="S7" s="22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217" t="s">
        <v>695</v>
      </c>
      <c r="J9" s="2218"/>
      <c r="K9" s="2218"/>
      <c r="L9" s="2218"/>
      <c r="M9" s="2218"/>
      <c r="N9" s="2218"/>
      <c r="O9" s="2218"/>
      <c r="P9" s="2218"/>
      <c r="Q9" s="2218"/>
      <c r="R9" s="2218"/>
      <c r="S9" s="2219"/>
      <c r="T9" s="2233" t="s">
        <v>554</v>
      </c>
      <c r="U9" s="2234"/>
      <c r="V9" s="2234"/>
      <c r="W9" s="2234"/>
      <c r="X9" s="2234"/>
      <c r="Y9" s="2234"/>
      <c r="Z9" s="2234"/>
      <c r="AA9" s="2235"/>
    </row>
    <row r="10" spans="1:28" ht="13.5" customHeight="1" x14ac:dyDescent="0.2">
      <c r="A10" s="2240" t="s">
        <v>696</v>
      </c>
      <c r="B10" s="2241"/>
      <c r="C10" s="2241"/>
      <c r="D10" s="2241"/>
      <c r="E10" s="2241"/>
      <c r="F10" s="2241"/>
      <c r="G10" s="2241"/>
      <c r="H10" s="2242"/>
      <c r="I10" s="29"/>
      <c r="J10" s="30"/>
      <c r="K10" s="28"/>
      <c r="R10" s="30"/>
      <c r="S10" s="30"/>
      <c r="T10" s="2236"/>
      <c r="U10" s="2221"/>
      <c r="V10" s="2221"/>
      <c r="W10" s="2221"/>
      <c r="X10" s="2221"/>
      <c r="Y10" s="2221"/>
      <c r="Z10" s="2221"/>
      <c r="AA10" s="2227"/>
    </row>
    <row r="11" spans="1:28" ht="14.25" customHeight="1" x14ac:dyDescent="0.2">
      <c r="A11" s="2243" t="s">
        <v>1012</v>
      </c>
      <c r="B11" s="2244"/>
      <c r="C11" s="2244"/>
      <c r="D11" s="2244"/>
      <c r="E11" s="2244"/>
      <c r="F11" s="2244"/>
      <c r="G11" s="2244"/>
      <c r="H11" s="2245"/>
      <c r="I11" s="27"/>
      <c r="J11" s="74"/>
      <c r="K11" s="27"/>
      <c r="O11" s="148" t="s">
        <v>2074</v>
      </c>
      <c r="P11" s="100" t="s">
        <v>210</v>
      </c>
      <c r="Q11" s="30"/>
      <c r="R11" s="28"/>
      <c r="S11" s="27"/>
      <c r="T11" s="2237"/>
      <c r="U11" s="2238"/>
      <c r="V11" s="2238"/>
      <c r="W11" s="2238"/>
      <c r="X11" s="2238"/>
      <c r="Y11" s="2238"/>
      <c r="Z11" s="2238"/>
      <c r="AA11" s="223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247">
        <v>26062000061</v>
      </c>
      <c r="B13" s="2248"/>
      <c r="C13" s="2248"/>
      <c r="D13" s="2248"/>
      <c r="E13" s="2248"/>
      <c r="F13" s="2248"/>
      <c r="G13" s="2248"/>
      <c r="H13" s="2249"/>
      <c r="I13" s="31"/>
      <c r="J13" s="30"/>
      <c r="K13" s="28"/>
      <c r="L13" s="30"/>
      <c r="M13" s="30"/>
      <c r="N13" s="30"/>
      <c r="O13" s="30"/>
      <c r="P13" s="30"/>
      <c r="Q13" s="30"/>
      <c r="R13" s="30"/>
      <c r="S13" s="30"/>
      <c r="T13" s="2252" t="s">
        <v>2075</v>
      </c>
      <c r="U13" s="2253"/>
      <c r="V13" s="2253"/>
      <c r="W13" s="2253"/>
      <c r="X13" s="2253"/>
      <c r="Y13" s="2254"/>
      <c r="Z13" s="2254"/>
      <c r="AA13" s="225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246" t="s">
        <v>2084</v>
      </c>
      <c r="B15" s="2250"/>
      <c r="C15" s="2250"/>
      <c r="D15" s="2250"/>
      <c r="E15" s="2250"/>
      <c r="F15" s="2250"/>
      <c r="G15" s="2250"/>
      <c r="H15" s="2251"/>
      <c r="T15" s="2256" t="s">
        <v>2087</v>
      </c>
      <c r="U15" s="2200"/>
      <c r="V15" s="2200"/>
      <c r="W15" s="2200"/>
      <c r="X15" s="2200"/>
      <c r="Y15" s="2257"/>
      <c r="Z15" s="2257"/>
      <c r="AA15" s="22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206" t="s">
        <v>2250</v>
      </c>
      <c r="B17" s="2207"/>
      <c r="C17" s="2207"/>
      <c r="D17" s="2207"/>
      <c r="E17" s="2207"/>
      <c r="F17" s="2207"/>
      <c r="G17" s="2207"/>
      <c r="H17" s="2232"/>
      <c r="T17" s="2263" t="s">
        <v>2076</v>
      </c>
      <c r="U17" s="2264"/>
      <c r="V17" s="2264"/>
      <c r="W17" s="2264"/>
      <c r="X17" s="2264"/>
      <c r="Y17" s="2264"/>
      <c r="Z17" s="2264"/>
      <c r="AA17" s="2265"/>
    </row>
    <row r="18" spans="1:27" ht="13.5" customHeight="1" x14ac:dyDescent="0.2">
      <c r="A18" s="85" t="s">
        <v>551</v>
      </c>
      <c r="B18" s="76"/>
      <c r="C18" s="72"/>
      <c r="D18" s="76"/>
      <c r="E18" s="76"/>
      <c r="F18" s="76"/>
      <c r="G18" s="76"/>
      <c r="H18" s="56"/>
      <c r="I18" s="2231" t="s">
        <v>697</v>
      </c>
      <c r="J18" s="2182"/>
      <c r="K18" s="2182"/>
      <c r="L18" s="2182"/>
      <c r="M18" s="2182"/>
      <c r="N18" s="2182"/>
      <c r="O18" s="2182"/>
      <c r="P18" s="2182"/>
      <c r="Q18" s="2182"/>
      <c r="R18" s="2182"/>
      <c r="S18" s="2183"/>
      <c r="T18" s="85" t="s">
        <v>735</v>
      </c>
      <c r="U18" s="51"/>
      <c r="V18" s="72"/>
      <c r="W18" s="50"/>
      <c r="X18" s="85" t="s">
        <v>284</v>
      </c>
      <c r="Y18" s="81"/>
      <c r="Z18" s="159" t="s">
        <v>698</v>
      </c>
      <c r="AA18" s="46"/>
    </row>
    <row r="19" spans="1:27" ht="13.5" customHeight="1" x14ac:dyDescent="0.2">
      <c r="A19" s="2246" t="s">
        <v>2085</v>
      </c>
      <c r="B19" s="2192"/>
      <c r="C19" s="2192"/>
      <c r="D19" s="2192"/>
      <c r="E19" s="2192"/>
      <c r="F19" s="2192"/>
      <c r="G19" s="2192"/>
      <c r="H19" s="2172"/>
      <c r="I19" s="30"/>
      <c r="J19" s="99"/>
      <c r="K19" s="40"/>
      <c r="L19" s="38"/>
      <c r="M19" s="112" t="s">
        <v>333</v>
      </c>
      <c r="P19" s="27"/>
      <c r="Q19" s="27"/>
      <c r="R19" s="27"/>
      <c r="S19" s="31"/>
      <c r="T19" s="2246" t="s">
        <v>2077</v>
      </c>
      <c r="U19" s="2171"/>
      <c r="V19" s="2171"/>
      <c r="W19" s="2172"/>
      <c r="X19" s="2261" t="s">
        <v>2078</v>
      </c>
      <c r="Y19" s="2262"/>
      <c r="Z19" s="2259">
        <v>61614</v>
      </c>
      <c r="AA19" s="226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70" t="s">
        <v>2086</v>
      </c>
      <c r="B21" s="2171"/>
      <c r="C21" s="2171"/>
      <c r="D21" s="2171"/>
      <c r="E21" s="2171"/>
      <c r="F21" s="2171"/>
      <c r="G21" s="2171"/>
      <c r="H21" s="2172"/>
      <c r="I21" s="2226" t="s">
        <v>699</v>
      </c>
      <c r="J21" s="2221"/>
      <c r="K21" s="2221"/>
      <c r="L21" s="2221"/>
      <c r="M21" s="2221"/>
      <c r="N21" s="2221"/>
      <c r="O21" s="2221"/>
      <c r="P21" s="2221"/>
      <c r="Q21" s="2221"/>
      <c r="R21" s="2221"/>
      <c r="S21" s="2227"/>
      <c r="T21" s="2270" t="s">
        <v>2079</v>
      </c>
      <c r="U21" s="2271"/>
      <c r="V21" s="2271"/>
      <c r="W21" s="2271"/>
      <c r="X21" s="2276" t="s">
        <v>2080</v>
      </c>
      <c r="Y21" s="2277"/>
      <c r="Z21" s="2277"/>
      <c r="AA21" s="2278"/>
    </row>
    <row r="22" spans="1:27" ht="13.5" customHeight="1" x14ac:dyDescent="0.2">
      <c r="A22" s="87" t="s">
        <v>552</v>
      </c>
      <c r="B22" s="59"/>
      <c r="C22" s="59"/>
      <c r="D22" s="59"/>
      <c r="E22" s="59"/>
      <c r="F22" s="59"/>
      <c r="G22" s="59"/>
      <c r="H22" s="60"/>
      <c r="I22" s="2228" t="s">
        <v>1504</v>
      </c>
      <c r="J22" s="2229"/>
      <c r="K22" s="2229"/>
      <c r="L22" s="2229"/>
      <c r="M22" s="2229"/>
      <c r="N22" s="2229"/>
      <c r="O22" s="2229"/>
      <c r="P22" s="2229"/>
      <c r="Q22" s="2229"/>
      <c r="R22" s="2229"/>
      <c r="S22" s="2230"/>
      <c r="T22" s="85" t="s">
        <v>1596</v>
      </c>
      <c r="U22" s="51"/>
      <c r="V22" s="72"/>
      <c r="W22" s="51"/>
      <c r="X22" s="160" t="s">
        <v>1385</v>
      </c>
      <c r="Z22" s="45"/>
      <c r="AA22" s="46"/>
    </row>
    <row r="23" spans="1:27" ht="13.5" customHeight="1" x14ac:dyDescent="0.2">
      <c r="A23" s="2223" t="s">
        <v>2089</v>
      </c>
      <c r="B23" s="2224"/>
      <c r="C23" s="2224"/>
      <c r="D23" s="2224"/>
      <c r="E23" s="2224"/>
      <c r="F23" s="2224"/>
      <c r="G23" s="2224"/>
      <c r="H23" s="2225"/>
      <c r="T23" s="2206" t="s">
        <v>2119</v>
      </c>
      <c r="U23" s="2269"/>
      <c r="V23" s="2269"/>
      <c r="W23" s="2269"/>
      <c r="X23" s="2273">
        <v>44530</v>
      </c>
      <c r="Y23" s="2274"/>
      <c r="Z23" s="2274"/>
      <c r="AA23" s="2275"/>
    </row>
    <row r="24" spans="1:27" ht="14.1" customHeight="1" x14ac:dyDescent="0.2">
      <c r="A24" s="88" t="s">
        <v>698</v>
      </c>
      <c r="B24" s="49"/>
      <c r="C24" s="49"/>
      <c r="D24" s="49"/>
      <c r="E24" s="49"/>
      <c r="F24" s="49"/>
      <c r="G24" s="49"/>
      <c r="H24" s="61"/>
      <c r="J24" s="2193" t="str">
        <f>IF(B5="x",IF(AUDITCHECK!D29="AFR form Incomplete.","",IF(AUDITCHECK!D29="Deficit reduction plan is required.","School District must complete a deficit reduction plan in the 2018-2019 Budget",)),"")</f>
        <v/>
      </c>
      <c r="K24" s="2193"/>
      <c r="L24" s="2193"/>
      <c r="M24" s="2193"/>
      <c r="N24" s="2193"/>
      <c r="O24" s="2193"/>
      <c r="P24" s="2193"/>
      <c r="Q24" s="2193"/>
      <c r="R24" s="2193"/>
      <c r="S24" s="2194"/>
      <c r="T24" s="105" t="s">
        <v>552</v>
      </c>
      <c r="U24" s="106"/>
      <c r="V24" s="106"/>
      <c r="W24" s="106"/>
      <c r="X24" s="107"/>
      <c r="Y24" s="107"/>
      <c r="Z24" s="107"/>
      <c r="AA24" s="108"/>
    </row>
    <row r="25" spans="1:27" ht="14.1" customHeight="1" x14ac:dyDescent="0.2">
      <c r="A25" s="2170">
        <v>61455</v>
      </c>
      <c r="B25" s="2171"/>
      <c r="C25" s="2171"/>
      <c r="D25" s="2171"/>
      <c r="E25" s="2171"/>
      <c r="F25" s="2171"/>
      <c r="G25" s="2171"/>
      <c r="H25" s="2172"/>
      <c r="I25" s="113"/>
      <c r="J25" s="2195"/>
      <c r="K25" s="2195"/>
      <c r="L25" s="2195"/>
      <c r="M25" s="2195"/>
      <c r="N25" s="2195"/>
      <c r="O25" s="2195"/>
      <c r="P25" s="2195"/>
      <c r="Q25" s="2195"/>
      <c r="R25" s="2195"/>
      <c r="S25" s="2196"/>
      <c r="T25" s="2266" t="s">
        <v>2088</v>
      </c>
      <c r="U25" s="2267"/>
      <c r="V25" s="2267"/>
      <c r="W25" s="2267"/>
      <c r="X25" s="2267"/>
      <c r="Y25" s="2267"/>
      <c r="Z25" s="2267"/>
      <c r="AA25" s="22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81" t="s">
        <v>1591</v>
      </c>
      <c r="J27" s="2182"/>
      <c r="K27" s="2182"/>
      <c r="L27" s="2182"/>
      <c r="M27" s="2182"/>
      <c r="N27" s="2182"/>
      <c r="O27" s="2182"/>
      <c r="P27" s="2182"/>
      <c r="Q27" s="2182"/>
      <c r="R27" s="2182"/>
      <c r="S27" s="218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92"/>
      <c r="Q35" s="2171"/>
      <c r="R35" s="21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206" t="s">
        <v>2090</v>
      </c>
      <c r="B38" s="2207"/>
      <c r="C38" s="2207"/>
      <c r="D38" s="2207"/>
      <c r="E38" s="2207"/>
      <c r="F38" s="2171"/>
      <c r="G38" s="2171"/>
      <c r="H38" s="2172"/>
      <c r="I38" s="2199"/>
      <c r="J38" s="2200"/>
      <c r="K38" s="2200"/>
      <c r="L38" s="2200"/>
      <c r="M38" s="2200"/>
      <c r="N38" s="2200"/>
      <c r="O38" s="2200"/>
      <c r="P38" s="2201"/>
      <c r="Q38" s="2201"/>
      <c r="R38" s="2201"/>
      <c r="S38" s="2202"/>
      <c r="T38" s="2256"/>
      <c r="U38" s="2200"/>
      <c r="V38" s="2200"/>
      <c r="W38" s="2200"/>
      <c r="X38" s="2201"/>
      <c r="Y38" s="2201"/>
      <c r="Z38" s="2201"/>
      <c r="AA38" s="2202"/>
    </row>
    <row r="39" spans="1:27" ht="12" customHeight="1" x14ac:dyDescent="0.2">
      <c r="A39" s="2176" t="s">
        <v>552</v>
      </c>
      <c r="B39" s="2177"/>
      <c r="C39" s="72"/>
      <c r="D39" s="69"/>
      <c r="E39" s="69"/>
      <c r="F39" s="79"/>
      <c r="G39" s="69"/>
      <c r="H39" s="56"/>
      <c r="I39" s="2176" t="s">
        <v>552</v>
      </c>
      <c r="J39" s="2177"/>
      <c r="K39" s="2177"/>
      <c r="L39" s="2177"/>
      <c r="M39" s="2177"/>
      <c r="N39" s="67"/>
      <c r="O39" s="72"/>
      <c r="P39" s="72"/>
      <c r="Q39" s="78"/>
      <c r="R39" s="72"/>
      <c r="S39" s="56"/>
      <c r="T39" s="72" t="s">
        <v>552</v>
      </c>
      <c r="U39" s="51"/>
      <c r="V39" s="72"/>
      <c r="W39" s="50"/>
      <c r="X39" s="78"/>
      <c r="Y39" s="45"/>
      <c r="Z39" s="45"/>
      <c r="AA39" s="46"/>
    </row>
    <row r="40" spans="1:27" ht="13.5" customHeight="1" x14ac:dyDescent="0.2">
      <c r="A40" s="2184" t="s">
        <v>2089</v>
      </c>
      <c r="B40" s="2185"/>
      <c r="C40" s="2186"/>
      <c r="D40" s="2186"/>
      <c r="E40" s="2186"/>
      <c r="F40" s="2187"/>
      <c r="G40" s="2187"/>
      <c r="H40" s="2188"/>
      <c r="I40" s="2209"/>
      <c r="J40" s="2210"/>
      <c r="K40" s="2210"/>
      <c r="L40" s="2210"/>
      <c r="M40" s="2210"/>
      <c r="N40" s="2210"/>
      <c r="O40" s="2210"/>
      <c r="P40" s="2210"/>
      <c r="Q40" s="2210"/>
      <c r="R40" s="2210"/>
      <c r="S40" s="2211"/>
      <c r="T40" s="2209"/>
      <c r="U40" s="2272"/>
      <c r="V40" s="2210"/>
      <c r="W40" s="2210"/>
      <c r="X40" s="2210"/>
      <c r="Y40" s="2210"/>
      <c r="Z40" s="2210"/>
      <c r="AA40" s="221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98">
        <v>3098373911</v>
      </c>
      <c r="B42" s="2190"/>
      <c r="C42" s="2191"/>
      <c r="D42" s="2189">
        <v>3098332367</v>
      </c>
      <c r="E42" s="2190"/>
      <c r="F42" s="2190"/>
      <c r="G42" s="2190"/>
      <c r="H42" s="2191"/>
      <c r="I42" s="2173"/>
      <c r="J42" s="2174"/>
      <c r="K42" s="2174"/>
      <c r="L42" s="2174"/>
      <c r="M42" s="2174"/>
      <c r="N42" s="2174"/>
      <c r="O42" s="2175"/>
      <c r="P42" s="2208"/>
      <c r="Q42" s="2174"/>
      <c r="R42" s="2174"/>
      <c r="S42" s="2175"/>
      <c r="T42" s="2173"/>
      <c r="U42" s="2174"/>
      <c r="V42" s="2174"/>
      <c r="W42" s="2175"/>
      <c r="X42" s="2208"/>
      <c r="Y42" s="2174"/>
      <c r="Z42" s="2174"/>
      <c r="AA42" s="21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203"/>
      <c r="B44" s="2204"/>
      <c r="C44" s="2204"/>
      <c r="D44" s="2204"/>
      <c r="E44" s="2204"/>
      <c r="F44" s="2204"/>
      <c r="G44" s="2204"/>
      <c r="H44" s="2205"/>
      <c r="I44" s="2178"/>
      <c r="J44" s="2179"/>
      <c r="K44" s="2179"/>
      <c r="L44" s="2179"/>
      <c r="M44" s="2179"/>
      <c r="N44" s="2179"/>
      <c r="O44" s="2179"/>
      <c r="P44" s="2179"/>
      <c r="Q44" s="2179"/>
      <c r="R44" s="2179"/>
      <c r="S44" s="2180"/>
      <c r="T44" s="2178"/>
      <c r="U44" s="2197"/>
      <c r="V44" s="2197"/>
      <c r="W44" s="2197"/>
      <c r="X44" s="2197"/>
      <c r="Y44" s="2197"/>
      <c r="Z44" s="2179"/>
      <c r="AA44" s="218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5" t="s">
        <v>106</v>
      </c>
    </row>
    <row r="2" spans="1:6" ht="39.75" customHeight="1" x14ac:dyDescent="0.2">
      <c r="A2" s="2412" t="s">
        <v>1902</v>
      </c>
      <c r="B2" s="1547" t="s">
        <v>2034</v>
      </c>
      <c r="C2" s="713" t="s">
        <v>1907</v>
      </c>
      <c r="D2" s="713" t="s">
        <v>1908</v>
      </c>
      <c r="E2" s="713" t="s">
        <v>1909</v>
      </c>
      <c r="F2" s="713" t="s">
        <v>1910</v>
      </c>
    </row>
    <row r="3" spans="1:6" ht="12" customHeight="1" x14ac:dyDescent="0.2">
      <c r="A3" s="2413"/>
      <c r="B3" s="1544"/>
      <c r="C3" s="1545"/>
      <c r="D3" s="1546" t="s">
        <v>274</v>
      </c>
      <c r="E3" s="1545"/>
      <c r="F3" s="1546" t="s">
        <v>275</v>
      </c>
    </row>
    <row r="4" spans="1:6" ht="13.9" customHeight="1" x14ac:dyDescent="0.2">
      <c r="A4" s="714" t="s">
        <v>1217</v>
      </c>
      <c r="B4" s="1768">
        <f>'Revenues 9-14'!C5</f>
        <v>0</v>
      </c>
      <c r="C4" s="1543"/>
      <c r="D4" s="1771">
        <f>B4-C4</f>
        <v>0</v>
      </c>
      <c r="E4" s="1543"/>
      <c r="F4" s="1771">
        <f>E4-C4</f>
        <v>0</v>
      </c>
    </row>
    <row r="5" spans="1:6" ht="13.9" customHeight="1" x14ac:dyDescent="0.2">
      <c r="A5" s="714" t="s">
        <v>925</v>
      </c>
      <c r="B5" s="1769">
        <f>'Revenues 9-14'!D5</f>
        <v>0</v>
      </c>
      <c r="C5" s="583"/>
      <c r="D5" s="1772">
        <f t="shared" ref="D5:D18" si="0">B5-C5</f>
        <v>0</v>
      </c>
      <c r="E5" s="583"/>
      <c r="F5" s="1772">
        <f>E5-C5</f>
        <v>0</v>
      </c>
    </row>
    <row r="6" spans="1:6" ht="13.9" customHeight="1" x14ac:dyDescent="0.2">
      <c r="A6" s="714" t="s">
        <v>431</v>
      </c>
      <c r="B6" s="1769">
        <f>'Revenues 9-14'!E5</f>
        <v>0</v>
      </c>
      <c r="C6" s="583"/>
      <c r="D6" s="1772">
        <f t="shared" si="0"/>
        <v>0</v>
      </c>
      <c r="E6" s="583"/>
      <c r="F6" s="1772">
        <f t="shared" ref="F6:F18" si="1">E6-C6</f>
        <v>0</v>
      </c>
    </row>
    <row r="7" spans="1:6" ht="13.9" customHeight="1" x14ac:dyDescent="0.2">
      <c r="A7" s="714" t="s">
        <v>157</v>
      </c>
      <c r="B7" s="1769">
        <f>'Revenues 9-14'!F5</f>
        <v>0</v>
      </c>
      <c r="C7" s="583"/>
      <c r="D7" s="1772">
        <f t="shared" si="0"/>
        <v>0</v>
      </c>
      <c r="E7" s="583"/>
      <c r="F7" s="1772">
        <f t="shared" si="1"/>
        <v>0</v>
      </c>
    </row>
    <row r="8" spans="1:6" ht="13.9" customHeight="1" x14ac:dyDescent="0.2">
      <c r="A8" s="714" t="s">
        <v>1241</v>
      </c>
      <c r="B8" s="1769">
        <f>'Revenues 9-14'!G5</f>
        <v>0</v>
      </c>
      <c r="C8" s="583"/>
      <c r="D8" s="1772">
        <f t="shared" si="0"/>
        <v>0</v>
      </c>
      <c r="E8" s="583"/>
      <c r="F8" s="1772">
        <f t="shared" si="1"/>
        <v>0</v>
      </c>
    </row>
    <row r="9" spans="1:6" ht="13.9" customHeight="1" x14ac:dyDescent="0.2">
      <c r="A9" s="714" t="s">
        <v>428</v>
      </c>
      <c r="B9" s="1769">
        <f>'Revenues 9-14'!H5</f>
        <v>0</v>
      </c>
      <c r="C9" s="583"/>
      <c r="D9" s="1772">
        <f t="shared" si="0"/>
        <v>0</v>
      </c>
      <c r="E9" s="583"/>
      <c r="F9" s="1772">
        <f t="shared" si="1"/>
        <v>0</v>
      </c>
    </row>
    <row r="10" spans="1:6" ht="13.9" customHeight="1" x14ac:dyDescent="0.2">
      <c r="A10" s="714" t="s">
        <v>427</v>
      </c>
      <c r="B10" s="1769">
        <f>'Revenues 9-14'!I5</f>
        <v>0</v>
      </c>
      <c r="C10" s="583"/>
      <c r="D10" s="1772">
        <f t="shared" si="0"/>
        <v>0</v>
      </c>
      <c r="E10" s="583"/>
      <c r="F10" s="1772">
        <f t="shared" si="1"/>
        <v>0</v>
      </c>
    </row>
    <row r="11" spans="1:6" x14ac:dyDescent="0.2">
      <c r="A11" s="714" t="s">
        <v>429</v>
      </c>
      <c r="B11" s="1769">
        <f>'Revenues 9-14'!J5</f>
        <v>0</v>
      </c>
      <c r="C11" s="583"/>
      <c r="D11" s="1772">
        <f t="shared" si="0"/>
        <v>0</v>
      </c>
      <c r="E11" s="583"/>
      <c r="F11" s="1772">
        <f t="shared" si="1"/>
        <v>0</v>
      </c>
    </row>
    <row r="12" spans="1:6" ht="13.9" customHeight="1" x14ac:dyDescent="0.2">
      <c r="A12" s="714" t="s">
        <v>159</v>
      </c>
      <c r="B12" s="1769">
        <f>'Revenues 9-14'!K5</f>
        <v>0</v>
      </c>
      <c r="C12" s="583"/>
      <c r="D12" s="1772">
        <f t="shared" si="0"/>
        <v>0</v>
      </c>
      <c r="E12" s="583"/>
      <c r="F12" s="1772">
        <f t="shared" si="1"/>
        <v>0</v>
      </c>
    </row>
    <row r="13" spans="1:6" ht="13.9" customHeight="1" x14ac:dyDescent="0.2">
      <c r="A13" s="714" t="s">
        <v>993</v>
      </c>
      <c r="B13" s="1769">
        <f>SUM('Revenues 9-14'!C6:D6)</f>
        <v>0</v>
      </c>
      <c r="C13" s="583"/>
      <c r="D13" s="1772">
        <f t="shared" si="0"/>
        <v>0</v>
      </c>
      <c r="E13" s="583"/>
      <c r="F13" s="1772">
        <f t="shared" si="1"/>
        <v>0</v>
      </c>
    </row>
    <row r="14" spans="1:6" ht="13.9" customHeight="1" x14ac:dyDescent="0.2">
      <c r="A14" s="714" t="s">
        <v>430</v>
      </c>
      <c r="B14" s="1769">
        <f>SUM('Revenues 9-14'!C7:D7,'Revenues 9-14'!F7:H7)</f>
        <v>0</v>
      </c>
      <c r="C14" s="583"/>
      <c r="D14" s="1772">
        <f t="shared" si="0"/>
        <v>0</v>
      </c>
      <c r="E14" s="583"/>
      <c r="F14" s="1772">
        <f t="shared" si="1"/>
        <v>0</v>
      </c>
    </row>
    <row r="15" spans="1:6" ht="13.9" customHeight="1" x14ac:dyDescent="0.2">
      <c r="A15" s="714" t="s">
        <v>1220</v>
      </c>
      <c r="B15" s="1769">
        <f>'Revenues 9-14'!E9</f>
        <v>0</v>
      </c>
      <c r="C15" s="583"/>
      <c r="D15" s="1772">
        <f t="shared" si="0"/>
        <v>0</v>
      </c>
      <c r="E15" s="583"/>
      <c r="F15" s="1772">
        <f t="shared" si="1"/>
        <v>0</v>
      </c>
    </row>
    <row r="16" spans="1:6" ht="13.9" customHeight="1" x14ac:dyDescent="0.2">
      <c r="A16" s="714" t="s">
        <v>1221</v>
      </c>
      <c r="B16" s="1769">
        <f>'Revenues 9-14'!G8</f>
        <v>0</v>
      </c>
      <c r="C16" s="583"/>
      <c r="D16" s="1772">
        <f t="shared" si="0"/>
        <v>0</v>
      </c>
      <c r="E16" s="583"/>
      <c r="F16" s="1772">
        <f t="shared" si="1"/>
        <v>0</v>
      </c>
    </row>
    <row r="17" spans="1:6" ht="13.9" customHeight="1" x14ac:dyDescent="0.2">
      <c r="A17" s="714" t="s">
        <v>1222</v>
      </c>
      <c r="B17" s="1769">
        <f>'Revenues 9-14'!C10</f>
        <v>0</v>
      </c>
      <c r="C17" s="583"/>
      <c r="D17" s="1772">
        <f t="shared" si="0"/>
        <v>0</v>
      </c>
      <c r="E17" s="583"/>
      <c r="F17" s="1772">
        <f t="shared" si="1"/>
        <v>0</v>
      </c>
    </row>
    <row r="18" spans="1:6" ht="13.9" customHeight="1" x14ac:dyDescent="0.2">
      <c r="A18" s="714" t="s">
        <v>786</v>
      </c>
      <c r="B18" s="1769">
        <f>SUM('Revenues 9-14'!C11:K11)</f>
        <v>0</v>
      </c>
      <c r="C18" s="583"/>
      <c r="D18" s="1772">
        <f t="shared" si="0"/>
        <v>0</v>
      </c>
      <c r="E18" s="583"/>
      <c r="F18" s="1772">
        <f t="shared" si="1"/>
        <v>0</v>
      </c>
    </row>
    <row r="19" spans="1:6" ht="13.9" customHeight="1" thickBot="1" x14ac:dyDescent="0.25">
      <c r="A19" s="1773" t="s">
        <v>1223</v>
      </c>
      <c r="B19" s="1770">
        <f>SUM(B4:B18)</f>
        <v>0</v>
      </c>
      <c r="C19" s="1770">
        <f>SUM(C4:C18)</f>
        <v>0</v>
      </c>
      <c r="D19" s="1770">
        <f>SUM(D4:D18)</f>
        <v>0</v>
      </c>
      <c r="E19" s="1770">
        <f>SUM(E4:E18)</f>
        <v>0</v>
      </c>
      <c r="F19" s="1770">
        <f>SUM(F4:F18)</f>
        <v>0</v>
      </c>
    </row>
    <row r="20" spans="1:6" ht="13.5" thickTop="1" x14ac:dyDescent="0.2">
      <c r="B20" s="712"/>
      <c r="F20" s="715"/>
    </row>
    <row r="21" spans="1:6" x14ac:dyDescent="0.2">
      <c r="A21" s="716" t="s">
        <v>1912</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434" t="s">
        <v>650</v>
      </c>
      <c r="B1" s="2432"/>
      <c r="C1" s="720"/>
    </row>
    <row r="2" spans="1:7" ht="33.75" x14ac:dyDescent="0.2">
      <c r="A2" s="2439" t="s">
        <v>1902</v>
      </c>
      <c r="B2" s="2440"/>
      <c r="C2" s="1906" t="s">
        <v>2035</v>
      </c>
      <c r="D2" s="722" t="s">
        <v>2042</v>
      </c>
      <c r="E2" s="722" t="s">
        <v>2043</v>
      </c>
      <c r="F2" s="1906" t="s">
        <v>2036</v>
      </c>
    </row>
    <row r="3" spans="1:7" ht="15.95" customHeight="1" x14ac:dyDescent="0.2">
      <c r="A3" s="2441" t="s">
        <v>1176</v>
      </c>
      <c r="B3" s="2442"/>
      <c r="C3" s="2435"/>
      <c r="D3" s="2436"/>
      <c r="E3" s="2436"/>
      <c r="F3" s="2437"/>
    </row>
    <row r="4" spans="1:7" ht="12.75" customHeight="1" thickBot="1" x14ac:dyDescent="0.25">
      <c r="A4" s="2429" t="s">
        <v>651</v>
      </c>
      <c r="B4" s="2430"/>
      <c r="C4" s="579"/>
      <c r="D4" s="579"/>
      <c r="E4" s="579"/>
      <c r="F4" s="1774">
        <f>SUM(C4+D4)-E4</f>
        <v>0</v>
      </c>
    </row>
    <row r="5" spans="1:7" ht="15.95" customHeight="1" thickTop="1" x14ac:dyDescent="0.2">
      <c r="A5" s="2433" t="s">
        <v>1172</v>
      </c>
      <c r="B5" s="2428"/>
      <c r="C5" s="2422"/>
      <c r="D5" s="2423"/>
      <c r="E5" s="2423"/>
      <c r="F5" s="2424"/>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425" t="s">
        <v>652</v>
      </c>
      <c r="B15" s="2426"/>
      <c r="C15" s="1774">
        <f>SUM(C6:C14)</f>
        <v>0</v>
      </c>
      <c r="D15" s="1774">
        <f>SUM(D6:D14)</f>
        <v>0</v>
      </c>
      <c r="E15" s="1774">
        <f>SUM(E6:E14)</f>
        <v>0</v>
      </c>
      <c r="F15" s="1774">
        <f>SUM(F6:F14)</f>
        <v>0</v>
      </c>
      <c r="G15" s="550"/>
    </row>
    <row r="16" spans="1:7" s="202" customFormat="1" ht="15.95" customHeight="1" thickTop="1" x14ac:dyDescent="0.2">
      <c r="A16" s="2438" t="s">
        <v>1173</v>
      </c>
      <c r="B16" s="2428"/>
      <c r="C16" s="2422"/>
      <c r="D16" s="2423"/>
      <c r="E16" s="2423"/>
      <c r="F16" s="2424"/>
    </row>
    <row r="17" spans="1:11" ht="12.75" customHeight="1" thickBot="1" x14ac:dyDescent="0.25">
      <c r="A17" s="2420" t="s">
        <v>66</v>
      </c>
      <c r="B17" s="2421"/>
      <c r="C17" s="725"/>
      <c r="D17" s="583"/>
      <c r="E17" s="725"/>
      <c r="F17" s="1774">
        <f>SUM(C17+D17)-E17</f>
        <v>0</v>
      </c>
    </row>
    <row r="18" spans="1:11" ht="12.75" customHeight="1" thickTop="1" thickBot="1" x14ac:dyDescent="0.25">
      <c r="A18" s="2420" t="s">
        <v>6</v>
      </c>
      <c r="B18" s="2421"/>
      <c r="C18" s="725"/>
      <c r="D18" s="583"/>
      <c r="E18" s="725"/>
      <c r="F18" s="1774">
        <f>SUM(C18+D18)-E18</f>
        <v>0</v>
      </c>
    </row>
    <row r="19" spans="1:11" ht="12.75" customHeight="1" thickTop="1" thickBot="1" x14ac:dyDescent="0.25">
      <c r="A19" s="2420" t="s">
        <v>406</v>
      </c>
      <c r="B19" s="2421"/>
      <c r="C19" s="725"/>
      <c r="D19" s="583"/>
      <c r="E19" s="725"/>
      <c r="F19" s="1774">
        <f>SUM(C19+D19)-E19</f>
        <v>0</v>
      </c>
    </row>
    <row r="20" spans="1:11" ht="12.75" customHeight="1" thickTop="1" thickBot="1" x14ac:dyDescent="0.25">
      <c r="A20" s="2420" t="s">
        <v>468</v>
      </c>
      <c r="B20" s="2421"/>
      <c r="C20" s="725"/>
      <c r="D20" s="583"/>
      <c r="E20" s="725"/>
      <c r="F20" s="1774">
        <f>SUM(C20+D20)-E20</f>
        <v>0</v>
      </c>
    </row>
    <row r="21" spans="1:11" ht="14.25" thickTop="1" thickBot="1" x14ac:dyDescent="0.25">
      <c r="A21" s="2425" t="s">
        <v>653</v>
      </c>
      <c r="B21" s="2426"/>
      <c r="C21" s="1774">
        <f>SUM(C17:C20)</f>
        <v>0</v>
      </c>
      <c r="D21" s="1774">
        <f>SUM(D17:D20)</f>
        <v>0</v>
      </c>
      <c r="E21" s="1774">
        <f>SUM(E17:E20)</f>
        <v>0</v>
      </c>
      <c r="F21" s="1774">
        <f>SUM(F17:F20)</f>
        <v>0</v>
      </c>
      <c r="G21" s="550"/>
    </row>
    <row r="22" spans="1:11" ht="15.95" customHeight="1" thickTop="1" x14ac:dyDescent="0.2">
      <c r="A22" s="2427" t="s">
        <v>1174</v>
      </c>
      <c r="B22" s="2428"/>
      <c r="C22" s="2422"/>
      <c r="D22" s="2423"/>
      <c r="E22" s="2423"/>
      <c r="F22" s="2424"/>
    </row>
    <row r="23" spans="1:11" ht="13.5" thickBot="1" x14ac:dyDescent="0.25">
      <c r="A23" s="2429" t="s">
        <v>654</v>
      </c>
      <c r="B23" s="2430"/>
      <c r="C23" s="579"/>
      <c r="D23" s="579"/>
      <c r="E23" s="579"/>
      <c r="F23" s="1774">
        <f>SUM(C23+D23)-E23</f>
        <v>0</v>
      </c>
      <c r="G23" s="550"/>
    </row>
    <row r="24" spans="1:11" ht="15.95" customHeight="1" thickTop="1" x14ac:dyDescent="0.2">
      <c r="A24" s="2427" t="s">
        <v>1175</v>
      </c>
      <c r="B24" s="2428"/>
      <c r="C24" s="2422"/>
      <c r="D24" s="2423"/>
      <c r="E24" s="2423"/>
      <c r="F24" s="2424"/>
    </row>
    <row r="25" spans="1:11" ht="13.5" thickBot="1" x14ac:dyDescent="0.25">
      <c r="A25" s="2429" t="s">
        <v>655</v>
      </c>
      <c r="B25" s="2430"/>
      <c r="C25" s="579"/>
      <c r="D25" s="579"/>
      <c r="E25" s="579"/>
      <c r="F25" s="1774">
        <f>SUM(C25+D25)-E25</f>
        <v>0</v>
      </c>
      <c r="G25" s="550"/>
    </row>
    <row r="26" spans="1:11" ht="15.95" customHeight="1" thickTop="1" x14ac:dyDescent="0.2">
      <c r="A26" s="2433" t="s">
        <v>678</v>
      </c>
      <c r="B26" s="2428"/>
      <c r="C26" s="726"/>
      <c r="D26" s="726"/>
      <c r="E26" s="726"/>
      <c r="F26" s="727"/>
    </row>
    <row r="27" spans="1:11" ht="13.5" thickBot="1" x14ac:dyDescent="0.25">
      <c r="A27" s="2425" t="s">
        <v>1130</v>
      </c>
      <c r="B27" s="2426"/>
      <c r="C27" s="583"/>
      <c r="D27" s="583"/>
      <c r="E27" s="583"/>
      <c r="F27" s="1774">
        <f>SUM(C27+D27)-E27</f>
        <v>0</v>
      </c>
      <c r="G27" s="550"/>
    </row>
    <row r="28" spans="1:11" ht="7.5" customHeight="1" thickTop="1" x14ac:dyDescent="0.2">
      <c r="A28" s="592"/>
    </row>
    <row r="29" spans="1:11" ht="23.45" customHeight="1" x14ac:dyDescent="0.2">
      <c r="A29" s="2431" t="s">
        <v>603</v>
      </c>
      <c r="B29" s="2432"/>
      <c r="C29" s="728"/>
      <c r="D29" s="728"/>
      <c r="E29" s="728"/>
      <c r="F29" s="728"/>
      <c r="G29" s="728"/>
      <c r="H29" s="728"/>
      <c r="I29" s="728"/>
      <c r="J29" s="728"/>
    </row>
    <row r="30" spans="1:11" ht="33.75" x14ac:dyDescent="0.2">
      <c r="A30" s="1548" t="s">
        <v>1131</v>
      </c>
      <c r="B30" s="729" t="s">
        <v>1186</v>
      </c>
      <c r="C30" s="1907" t="s">
        <v>604</v>
      </c>
      <c r="D30" s="1907" t="s">
        <v>1772</v>
      </c>
      <c r="E30" s="1907" t="s">
        <v>2037</v>
      </c>
      <c r="F30" s="1907" t="s">
        <v>2038</v>
      </c>
      <c r="G30" s="1907" t="s">
        <v>2041</v>
      </c>
      <c r="H30" s="1907" t="s">
        <v>2039</v>
      </c>
      <c r="I30" s="1907" t="s">
        <v>2040</v>
      </c>
      <c r="J30" s="1908" t="s">
        <v>2</v>
      </c>
      <c r="K30" s="730"/>
    </row>
    <row r="31" spans="1:11" ht="12" customHeight="1" x14ac:dyDescent="0.2">
      <c r="A31" s="731"/>
      <c r="B31" s="732"/>
      <c r="C31" s="733"/>
      <c r="D31" s="734"/>
      <c r="E31" s="733"/>
      <c r="F31" s="733"/>
      <c r="G31" s="733"/>
      <c r="H31" s="733"/>
      <c r="I31" s="1775">
        <f>((E31+F31)-H31)+G31</f>
        <v>0</v>
      </c>
      <c r="J31" s="733"/>
      <c r="K31" s="735"/>
    </row>
    <row r="32" spans="1:11" ht="12" customHeight="1" x14ac:dyDescent="0.2">
      <c r="A32" s="731"/>
      <c r="B32" s="732"/>
      <c r="C32" s="733"/>
      <c r="D32" s="734"/>
      <c r="E32" s="733"/>
      <c r="F32" s="733"/>
      <c r="G32" s="733"/>
      <c r="H32" s="733"/>
      <c r="I32" s="1775">
        <f>((E32+F32)-H32)+G32</f>
        <v>0</v>
      </c>
      <c r="J32" s="733"/>
      <c r="K32" s="735"/>
    </row>
    <row r="33" spans="1:11" ht="12" customHeight="1" x14ac:dyDescent="0.2">
      <c r="A33" s="731"/>
      <c r="B33" s="732"/>
      <c r="C33" s="733"/>
      <c r="D33" s="734"/>
      <c r="E33" s="733"/>
      <c r="F33" s="733"/>
      <c r="G33" s="733"/>
      <c r="H33" s="733"/>
      <c r="I33" s="1775">
        <f t="shared" ref="I33:I48" si="1">((E33+F33)-H33)+G33</f>
        <v>0</v>
      </c>
      <c r="J33" s="733"/>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0</v>
      </c>
      <c r="D49" s="744"/>
      <c r="E49" s="1775">
        <f t="shared" ref="E49:J49" si="2">SUM(E31:E48)</f>
        <v>0</v>
      </c>
      <c r="F49" s="1775">
        <f t="shared" si="2"/>
        <v>0</v>
      </c>
      <c r="G49" s="1775">
        <f t="shared" si="2"/>
        <v>0</v>
      </c>
      <c r="H49" s="1775">
        <f t="shared" si="2"/>
        <v>0</v>
      </c>
      <c r="I49" s="1775">
        <f t="shared" si="2"/>
        <v>0</v>
      </c>
      <c r="J49" s="1775">
        <f t="shared" si="2"/>
        <v>0</v>
      </c>
      <c r="K49" s="736"/>
    </row>
    <row r="50" spans="1:11" ht="6" customHeight="1" x14ac:dyDescent="0.2">
      <c r="A50" s="745"/>
      <c r="B50" s="735"/>
      <c r="C50" s="735"/>
      <c r="D50" s="735"/>
      <c r="E50" s="735"/>
      <c r="F50" s="735"/>
      <c r="G50" s="735"/>
      <c r="H50" s="735"/>
      <c r="I50" s="735"/>
      <c r="J50" s="745"/>
    </row>
    <row r="51" spans="1:11" x14ac:dyDescent="0.2">
      <c r="A51" s="746" t="s">
        <v>1911</v>
      </c>
      <c r="B51" s="745"/>
      <c r="C51" s="736"/>
      <c r="D51" s="736"/>
      <c r="E51" s="736"/>
      <c r="F51" s="736"/>
      <c r="G51" s="736"/>
      <c r="H51" s="735"/>
      <c r="I51" s="735"/>
      <c r="J51" s="745"/>
    </row>
    <row r="52" spans="1:11" ht="11.25" customHeight="1" x14ac:dyDescent="0.2">
      <c r="A52" s="747" t="s">
        <v>968</v>
      </c>
      <c r="B52" s="2414" t="s">
        <v>605</v>
      </c>
      <c r="C52" s="2415"/>
      <c r="D52" s="2415"/>
      <c r="E52" s="748" t="s">
        <v>900</v>
      </c>
      <c r="F52" s="2416"/>
      <c r="G52" s="2417"/>
      <c r="H52" s="735"/>
      <c r="I52" s="735"/>
      <c r="J52" s="745"/>
    </row>
    <row r="53" spans="1:11" ht="11.25" customHeight="1" x14ac:dyDescent="0.2">
      <c r="A53" s="749" t="s">
        <v>969</v>
      </c>
      <c r="B53" s="750" t="s">
        <v>1008</v>
      </c>
      <c r="C53" s="745"/>
      <c r="D53" s="736"/>
      <c r="E53" s="748" t="s">
        <v>518</v>
      </c>
      <c r="F53" s="2418"/>
      <c r="G53" s="2419"/>
      <c r="H53" s="735"/>
      <c r="I53" s="735"/>
      <c r="J53" s="745"/>
    </row>
    <row r="54" spans="1:11" ht="11.25" customHeight="1" x14ac:dyDescent="0.2">
      <c r="A54" s="751" t="s">
        <v>970</v>
      </c>
      <c r="B54" s="746" t="s">
        <v>1009</v>
      </c>
      <c r="C54" s="745"/>
      <c r="D54" s="736"/>
      <c r="E54" s="748" t="s">
        <v>519</v>
      </c>
      <c r="F54" s="2418"/>
      <c r="G54" s="2419"/>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43" t="s">
        <v>911</v>
      </c>
      <c r="B1" s="2444"/>
      <c r="C1" s="2444"/>
      <c r="D1" s="2444"/>
      <c r="E1" s="2444"/>
      <c r="F1" s="2444"/>
      <c r="G1" s="2445"/>
      <c r="H1" s="1549"/>
      <c r="I1" s="759"/>
      <c r="J1" s="433"/>
    </row>
    <row r="2" spans="1:11" ht="26.25" x14ac:dyDescent="0.2">
      <c r="A2" s="2462" t="s">
        <v>1776</v>
      </c>
      <c r="B2" s="2463"/>
      <c r="C2" s="2463"/>
      <c r="D2" s="2463"/>
      <c r="E2" s="2464"/>
      <c r="F2" s="760" t="s">
        <v>960</v>
      </c>
      <c r="G2" s="761" t="s">
        <v>1773</v>
      </c>
      <c r="H2" s="761" t="s">
        <v>430</v>
      </c>
      <c r="I2" s="761" t="s">
        <v>1220</v>
      </c>
      <c r="J2" s="761" t="s">
        <v>1916</v>
      </c>
      <c r="K2" s="761" t="s">
        <v>140</v>
      </c>
    </row>
    <row r="3" spans="1:11" x14ac:dyDescent="0.2">
      <c r="A3" s="2465" t="s">
        <v>1698</v>
      </c>
      <c r="B3" s="2466"/>
      <c r="C3" s="2466"/>
      <c r="D3" s="2466"/>
      <c r="E3" s="2467"/>
      <c r="F3" s="762"/>
      <c r="G3" s="763"/>
      <c r="H3" s="763"/>
      <c r="I3" s="763"/>
      <c r="J3" s="764"/>
      <c r="K3" s="764"/>
    </row>
    <row r="4" spans="1:11" x14ac:dyDescent="0.2">
      <c r="A4" s="2468" t="s">
        <v>387</v>
      </c>
      <c r="B4" s="2469"/>
      <c r="C4" s="2469"/>
      <c r="D4" s="2469"/>
      <c r="E4" s="2415"/>
      <c r="F4" s="765"/>
      <c r="G4" s="766"/>
      <c r="H4" s="767"/>
      <c r="I4" s="766"/>
      <c r="J4" s="768"/>
      <c r="K4" s="768"/>
    </row>
    <row r="5" spans="1:11" x14ac:dyDescent="0.2">
      <c r="A5" s="2446" t="s">
        <v>1129</v>
      </c>
      <c r="B5" s="2447"/>
      <c r="C5" s="2447"/>
      <c r="D5" s="2447"/>
      <c r="E5" s="2448"/>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446" t="s">
        <v>1917</v>
      </c>
      <c r="B10" s="2447"/>
      <c r="C10" s="2447"/>
      <c r="D10" s="2447"/>
      <c r="E10" s="2449"/>
      <c r="F10" s="782" t="s">
        <v>917</v>
      </c>
      <c r="G10" s="781"/>
      <c r="H10" s="783"/>
      <c r="I10" s="763"/>
      <c r="J10" s="764"/>
      <c r="K10" s="764"/>
    </row>
    <row r="11" spans="1:11" x14ac:dyDescent="0.2">
      <c r="A11" s="2446" t="s">
        <v>162</v>
      </c>
      <c r="B11" s="2447"/>
      <c r="C11" s="2447"/>
      <c r="D11" s="2447"/>
      <c r="E11" s="2448"/>
      <c r="F11" s="769" t="s">
        <v>907</v>
      </c>
      <c r="G11" s="770"/>
      <c r="H11" s="763"/>
      <c r="I11" s="763"/>
      <c r="J11" s="764"/>
      <c r="K11" s="772"/>
    </row>
    <row r="12" spans="1:11" ht="13.5" thickBot="1" x14ac:dyDescent="0.25">
      <c r="A12" s="2473" t="s">
        <v>961</v>
      </c>
      <c r="B12" s="2474"/>
      <c r="C12" s="2474"/>
      <c r="D12" s="2474"/>
      <c r="E12" s="2475"/>
      <c r="F12" s="1776"/>
      <c r="G12" s="1777">
        <f>SUM(G5:G11)</f>
        <v>0</v>
      </c>
      <c r="H12" s="1777">
        <f>SUM(H5:H11)</f>
        <v>0</v>
      </c>
      <c r="I12" s="1777">
        <f>SUM(I5:I11)</f>
        <v>0</v>
      </c>
      <c r="J12" s="1777">
        <f>SUM(J5:J11)</f>
        <v>0</v>
      </c>
      <c r="K12" s="1777">
        <f>SUM(K5:K11)</f>
        <v>0</v>
      </c>
    </row>
    <row r="13" spans="1:11" ht="13.5" thickTop="1" x14ac:dyDescent="0.2">
      <c r="A13" s="2470" t="s">
        <v>388</v>
      </c>
      <c r="B13" s="2471"/>
      <c r="C13" s="2471"/>
      <c r="D13" s="2471"/>
      <c r="E13" s="2472"/>
      <c r="F13" s="784"/>
      <c r="G13" s="785"/>
      <c r="H13" s="786"/>
      <c r="I13" s="787"/>
      <c r="J13" s="787"/>
      <c r="K13" s="787"/>
    </row>
    <row r="14" spans="1:11" x14ac:dyDescent="0.2">
      <c r="A14" s="2453" t="s">
        <v>476</v>
      </c>
      <c r="B14" s="2453"/>
      <c r="C14" s="2453"/>
      <c r="D14" s="2453"/>
      <c r="E14" s="2454"/>
      <c r="F14" s="788" t="s">
        <v>909</v>
      </c>
      <c r="G14" s="781"/>
      <c r="H14" s="763"/>
      <c r="I14" s="770"/>
      <c r="J14" s="772"/>
      <c r="K14" s="764"/>
    </row>
    <row r="15" spans="1:11" x14ac:dyDescent="0.2">
      <c r="A15" s="2447" t="s">
        <v>4</v>
      </c>
      <c r="B15" s="2447"/>
      <c r="C15" s="2447"/>
      <c r="D15" s="2447"/>
      <c r="E15" s="2448"/>
      <c r="F15" s="788" t="s">
        <v>910</v>
      </c>
      <c r="G15" s="770"/>
      <c r="H15" s="763"/>
      <c r="I15" s="763"/>
      <c r="J15" s="764"/>
      <c r="K15" s="764"/>
    </row>
    <row r="16" spans="1:11" x14ac:dyDescent="0.2">
      <c r="A16" s="2447" t="s">
        <v>316</v>
      </c>
      <c r="B16" s="2447"/>
      <c r="C16" s="2447"/>
      <c r="D16" s="2447"/>
      <c r="E16" s="2448"/>
      <c r="F16" s="788" t="s">
        <v>980</v>
      </c>
      <c r="G16" s="771"/>
      <c r="H16" s="766"/>
      <c r="I16" s="766"/>
      <c r="J16" s="768"/>
      <c r="K16" s="768"/>
    </row>
    <row r="17" spans="1:11" x14ac:dyDescent="0.2">
      <c r="A17" s="2478" t="s">
        <v>992</v>
      </c>
      <c r="B17" s="2478"/>
      <c r="C17" s="2478"/>
      <c r="D17" s="2478"/>
      <c r="E17" s="2479"/>
      <c r="F17" s="789"/>
      <c r="G17" s="790"/>
      <c r="H17" s="791"/>
      <c r="I17" s="791"/>
      <c r="J17" s="792"/>
      <c r="K17" s="793"/>
    </row>
    <row r="18" spans="1:11" x14ac:dyDescent="0.2">
      <c r="A18" s="2457" t="s">
        <v>386</v>
      </c>
      <c r="B18" s="2458"/>
      <c r="C18" s="2458"/>
      <c r="D18" s="2458"/>
      <c r="E18" s="2459"/>
      <c r="F18" s="788" t="s">
        <v>989</v>
      </c>
      <c r="G18" s="781"/>
      <c r="H18" s="781"/>
      <c r="I18" s="781"/>
      <c r="J18" s="764"/>
      <c r="K18" s="794"/>
    </row>
    <row r="19" spans="1:11" ht="21.75" customHeight="1" x14ac:dyDescent="0.2">
      <c r="A19" s="2455" t="s">
        <v>1913</v>
      </c>
      <c r="B19" s="2455"/>
      <c r="C19" s="2455"/>
      <c r="D19" s="2455"/>
      <c r="E19" s="2456"/>
      <c r="F19" s="788" t="s">
        <v>990</v>
      </c>
      <c r="G19" s="781"/>
      <c r="H19" s="781"/>
      <c r="I19" s="781"/>
      <c r="J19" s="764"/>
      <c r="K19" s="794"/>
    </row>
    <row r="20" spans="1:11" x14ac:dyDescent="0.2">
      <c r="A20" s="2457" t="s">
        <v>1918</v>
      </c>
      <c r="B20" s="2458"/>
      <c r="C20" s="2458"/>
      <c r="D20" s="2458"/>
      <c r="E20" s="2459"/>
      <c r="F20" s="788" t="s">
        <v>991</v>
      </c>
      <c r="G20" s="781"/>
      <c r="H20" s="781"/>
      <c r="I20" s="781"/>
      <c r="J20" s="764"/>
      <c r="K20" s="794"/>
    </row>
    <row r="21" spans="1:11" ht="13.5" thickBot="1" x14ac:dyDescent="0.25">
      <c r="A21" s="2476" t="s">
        <v>659</v>
      </c>
      <c r="B21" s="2476"/>
      <c r="C21" s="2476"/>
      <c r="D21" s="2476"/>
      <c r="E21" s="2476"/>
      <c r="F21" s="1778"/>
      <c r="G21" s="791"/>
      <c r="H21" s="795"/>
      <c r="I21" s="795"/>
      <c r="J21" s="1779">
        <f>SUM(J18:J20)</f>
        <v>0</v>
      </c>
      <c r="K21" s="792"/>
    </row>
    <row r="22" spans="1:11" ht="13.5" thickTop="1" x14ac:dyDescent="0.2">
      <c r="A22" s="2447" t="s">
        <v>1919</v>
      </c>
      <c r="B22" s="2447"/>
      <c r="C22" s="2447"/>
      <c r="D22" s="2447"/>
      <c r="E22" s="2448"/>
      <c r="F22" s="788" t="s">
        <v>917</v>
      </c>
      <c r="G22" s="781"/>
      <c r="H22" s="763"/>
      <c r="I22" s="763"/>
      <c r="J22" s="796"/>
      <c r="K22" s="764"/>
    </row>
    <row r="23" spans="1:11" ht="13.5" thickBot="1" x14ac:dyDescent="0.25">
      <c r="A23" s="2477" t="s">
        <v>962</v>
      </c>
      <c r="B23" s="2476"/>
      <c r="C23" s="2476"/>
      <c r="D23" s="2476"/>
      <c r="E23" s="2476"/>
      <c r="F23" s="1780"/>
      <c r="G23" s="1777">
        <f>SUM(G14:G16,G21,G22)</f>
        <v>0</v>
      </c>
      <c r="H23" s="1777">
        <f>SUM(H14:H16,H21,H22)</f>
        <v>0</v>
      </c>
      <c r="I23" s="1777">
        <f>SUM(I14:I16,I21,I22)</f>
        <v>0</v>
      </c>
      <c r="J23" s="1777">
        <f>SUM(J14:J16,J21,J22)</f>
        <v>0</v>
      </c>
      <c r="K23" s="1777">
        <f>SUM(K14:K16,K21,K22)</f>
        <v>0</v>
      </c>
    </row>
    <row r="24" spans="1:11" ht="14.25" thickTop="1" thickBot="1" x14ac:dyDescent="0.25">
      <c r="A24" s="2477" t="s">
        <v>2023</v>
      </c>
      <c r="B24" s="2476"/>
      <c r="C24" s="2476"/>
      <c r="D24" s="2476"/>
      <c r="E24" s="2476"/>
      <c r="F24" s="1781"/>
      <c r="G24" s="1782">
        <f>SUM(G3,G12)-G23</f>
        <v>0</v>
      </c>
      <c r="H24" s="1782">
        <f>SUM(H3,H12)-H23</f>
        <v>0</v>
      </c>
      <c r="I24" s="1782">
        <f>SUM(I3,I12)-I23</f>
        <v>0</v>
      </c>
      <c r="J24" s="1782">
        <f>SUM(J3,J12)-J23</f>
        <v>0</v>
      </c>
      <c r="K24" s="1782">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45" customHeight="1" thickTop="1" x14ac:dyDescent="0.2">
      <c r="I27" s="202"/>
      <c r="J27" s="202"/>
    </row>
    <row r="28" spans="1:11" ht="29.25" customHeight="1" x14ac:dyDescent="0.2">
      <c r="A28" s="1902" t="s">
        <v>2033</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450"/>
      <c r="I31" s="2451"/>
      <c r="J31" s="2451"/>
      <c r="K31" s="2451"/>
    </row>
    <row r="32" spans="1:11" x14ac:dyDescent="0.2">
      <c r="A32" s="808"/>
      <c r="B32" s="237"/>
      <c r="C32" s="237"/>
      <c r="D32" s="237"/>
      <c r="E32" s="804"/>
      <c r="F32" s="810" t="s">
        <v>561</v>
      </c>
      <c r="G32" s="763"/>
      <c r="H32" s="2452"/>
      <c r="I32" s="2451"/>
      <c r="J32" s="2451"/>
      <c r="K32" s="2451"/>
    </row>
    <row r="33" spans="1:11" ht="1.7" customHeight="1" x14ac:dyDescent="0.2">
      <c r="A33" s="811" t="s">
        <v>1231</v>
      </c>
      <c r="B33" s="364"/>
      <c r="C33" s="364"/>
      <c r="D33" s="364"/>
      <c r="E33" s="364"/>
      <c r="F33" s="364"/>
      <c r="G33" s="812"/>
      <c r="H33" s="2452"/>
      <c r="I33" s="2451"/>
      <c r="J33" s="2451"/>
      <c r="K33" s="2451"/>
    </row>
    <row r="34" spans="1:11" x14ac:dyDescent="0.2">
      <c r="A34" s="813" t="s">
        <v>1920</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447" t="s">
        <v>562</v>
      </c>
      <c r="B41" s="2460"/>
      <c r="C41" s="2460"/>
      <c r="D41" s="2460"/>
      <c r="E41" s="2460"/>
      <c r="F41" s="2461"/>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1914</v>
      </c>
      <c r="B46" s="408" t="s">
        <v>1774</v>
      </c>
    </row>
    <row r="47" spans="1:11" s="822" customFormat="1" ht="12.75" customHeight="1" x14ac:dyDescent="0.2">
      <c r="A47" s="820"/>
      <c r="B47" s="821" t="s">
        <v>1775</v>
      </c>
      <c r="E47" s="821"/>
      <c r="K47" s="823"/>
    </row>
    <row r="48" spans="1:11" ht="12.75" customHeight="1" x14ac:dyDescent="0.2">
      <c r="A48" s="1551"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7109375" style="807" customWidth="1"/>
    <col min="2" max="2" width="5.7109375" style="457" customWidth="1"/>
    <col min="3" max="6" width="12.7109375" style="457" customWidth="1"/>
    <col min="7" max="7" width="6.42578125" style="457" customWidth="1"/>
    <col min="8" max="8" width="14.140625" style="457" customWidth="1"/>
    <col min="9" max="9" width="12.7109375" style="457" customWidth="1"/>
    <col min="10" max="10" width="16.7109375" style="457" customWidth="1"/>
    <col min="11" max="11" width="15.5703125" style="457" customWidth="1"/>
    <col min="12" max="12" width="13.7109375" style="457" customWidth="1"/>
    <col min="13" max="16384" width="9.140625" style="457"/>
  </cols>
  <sheetData>
    <row r="1" spans="1:14" ht="33" customHeight="1" x14ac:dyDescent="0.2">
      <c r="A1" s="2482" t="s">
        <v>2032</v>
      </c>
      <c r="B1" s="2483"/>
      <c r="C1" s="2484"/>
      <c r="D1" s="825"/>
      <c r="E1" s="826"/>
      <c r="F1" s="826"/>
      <c r="G1" s="827"/>
      <c r="H1" s="828"/>
      <c r="I1" s="829"/>
      <c r="J1" s="2480"/>
      <c r="K1" s="2481"/>
      <c r="L1" s="2481"/>
    </row>
    <row r="2" spans="1:14" ht="69.95" customHeight="1" x14ac:dyDescent="0.2">
      <c r="A2" s="830" t="s">
        <v>1777</v>
      </c>
      <c r="B2" s="831" t="s">
        <v>396</v>
      </c>
      <c r="C2" s="832" t="s">
        <v>2027</v>
      </c>
      <c r="D2" s="832" t="s">
        <v>2024</v>
      </c>
      <c r="E2" s="832" t="s">
        <v>2025</v>
      </c>
      <c r="F2" s="832" t="s">
        <v>2026</v>
      </c>
      <c r="G2" s="832" t="s">
        <v>626</v>
      </c>
      <c r="H2" s="832" t="s">
        <v>2028</v>
      </c>
      <c r="I2" s="832" t="s">
        <v>2029</v>
      </c>
      <c r="J2" s="832" t="s">
        <v>2044</v>
      </c>
      <c r="K2" s="832" t="s">
        <v>2030</v>
      </c>
      <c r="L2" s="832" t="s">
        <v>2031</v>
      </c>
      <c r="M2" s="833"/>
      <c r="N2" s="833"/>
    </row>
    <row r="3" spans="1:14" ht="13.5" thickBot="1" x14ac:dyDescent="0.25">
      <c r="A3" s="1648" t="s">
        <v>948</v>
      </c>
      <c r="B3" s="1649">
        <v>210</v>
      </c>
      <c r="C3" s="834">
        <v>0</v>
      </c>
      <c r="D3" s="834"/>
      <c r="E3" s="834"/>
      <c r="F3" s="1779">
        <f>(C3+D3)-E3</f>
        <v>0</v>
      </c>
      <c r="G3" s="835"/>
      <c r="H3" s="834">
        <v>0</v>
      </c>
      <c r="I3" s="834"/>
      <c r="J3" s="834"/>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0</v>
      </c>
      <c r="D5" s="840"/>
      <c r="E5" s="840"/>
      <c r="F5" s="1779">
        <f>(C5+D5)-E5</f>
        <v>0</v>
      </c>
      <c r="G5" s="836"/>
      <c r="H5" s="841"/>
      <c r="I5" s="841"/>
      <c r="J5" s="841"/>
      <c r="K5" s="792"/>
      <c r="L5" s="1788">
        <f>F5-K5</f>
        <v>0</v>
      </c>
    </row>
    <row r="6" spans="1:14" ht="14.25" thickTop="1" thickBot="1" x14ac:dyDescent="0.25">
      <c r="A6" s="777" t="s">
        <v>1179</v>
      </c>
      <c r="B6" s="839">
        <v>222</v>
      </c>
      <c r="C6" s="764">
        <v>0</v>
      </c>
      <c r="D6" s="764"/>
      <c r="E6" s="764"/>
      <c r="F6" s="1779">
        <f>(C6+D6)-E6</f>
        <v>0</v>
      </c>
      <c r="G6" s="836">
        <v>50</v>
      </c>
      <c r="H6" s="764">
        <v>0</v>
      </c>
      <c r="I6" s="764"/>
      <c r="J6" s="764"/>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0</v>
      </c>
      <c r="D8" s="843"/>
      <c r="E8" s="843"/>
      <c r="F8" s="1779">
        <f>(C8+D8)-E8</f>
        <v>0</v>
      </c>
      <c r="G8" s="842">
        <v>50</v>
      </c>
      <c r="H8" s="764">
        <v>0</v>
      </c>
      <c r="I8" s="764"/>
      <c r="J8" s="764"/>
      <c r="K8" s="1788">
        <f>(H8+I8)-J8</f>
        <v>0</v>
      </c>
      <c r="L8" s="1788">
        <f>F8-K8</f>
        <v>0</v>
      </c>
    </row>
    <row r="9" spans="1:14" ht="14.25" thickTop="1" thickBot="1" x14ac:dyDescent="0.25">
      <c r="A9" s="777" t="s">
        <v>1181</v>
      </c>
      <c r="B9" s="839">
        <v>232</v>
      </c>
      <c r="C9" s="764">
        <v>0</v>
      </c>
      <c r="D9" s="764"/>
      <c r="E9" s="764"/>
      <c r="F9" s="1779">
        <f>(C9+D9)-E9</f>
        <v>0</v>
      </c>
      <c r="G9" s="842">
        <v>20</v>
      </c>
      <c r="H9" s="764">
        <v>0</v>
      </c>
      <c r="I9" s="764"/>
      <c r="J9" s="764"/>
      <c r="K9" s="1788">
        <f>(H9+I9)-J9</f>
        <v>0</v>
      </c>
      <c r="L9" s="1788">
        <f>F9-K9</f>
        <v>0</v>
      </c>
    </row>
    <row r="10" spans="1:14" ht="24" thickTop="1" thickBot="1" x14ac:dyDescent="0.25">
      <c r="A10" s="844" t="s">
        <v>1182</v>
      </c>
      <c r="B10" s="839">
        <v>240</v>
      </c>
      <c r="C10" s="845">
        <v>0</v>
      </c>
      <c r="D10" s="845"/>
      <c r="E10" s="845"/>
      <c r="F10" s="1783">
        <f>(C10+D10)-E10</f>
        <v>0</v>
      </c>
      <c r="G10" s="842">
        <v>20</v>
      </c>
      <c r="H10" s="846">
        <v>0</v>
      </c>
      <c r="I10" s="846"/>
      <c r="J10" s="846"/>
      <c r="K10" s="1788">
        <f>(H10+I10)-J10</f>
        <v>0</v>
      </c>
      <c r="L10" s="1788">
        <f>F10-K10</f>
        <v>0</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266249</v>
      </c>
      <c r="D12" s="843">
        <v>33531</v>
      </c>
      <c r="E12" s="843">
        <v>72151</v>
      </c>
      <c r="F12" s="1779">
        <f>(C12+D12)-E12</f>
        <v>227629</v>
      </c>
      <c r="G12" s="842">
        <v>10</v>
      </c>
      <c r="H12" s="764">
        <v>0</v>
      </c>
      <c r="I12" s="764"/>
      <c r="J12" s="764"/>
      <c r="K12" s="1788">
        <f>(H12+I12)-J12</f>
        <v>0</v>
      </c>
      <c r="L12" s="1788">
        <f>F12-K12</f>
        <v>227629</v>
      </c>
    </row>
    <row r="13" spans="1:14" ht="14.25" thickTop="1" thickBot="1" x14ac:dyDescent="0.25">
      <c r="A13" s="847" t="s">
        <v>1184</v>
      </c>
      <c r="B13" s="839">
        <v>252</v>
      </c>
      <c r="C13" s="843">
        <v>0</v>
      </c>
      <c r="D13" s="843"/>
      <c r="E13" s="843"/>
      <c r="F13" s="1779">
        <f>(C13+D13)-E13</f>
        <v>0</v>
      </c>
      <c r="G13" s="842">
        <v>5</v>
      </c>
      <c r="H13" s="764">
        <v>0</v>
      </c>
      <c r="I13" s="764"/>
      <c r="J13" s="764"/>
      <c r="K13" s="1788">
        <f>(H13+I13)-J13</f>
        <v>0</v>
      </c>
      <c r="L13" s="1788">
        <f>F13-K13</f>
        <v>0</v>
      </c>
    </row>
    <row r="14" spans="1:14" ht="14.25" thickTop="1" thickBot="1" x14ac:dyDescent="0.25">
      <c r="A14" s="847" t="s">
        <v>1185</v>
      </c>
      <c r="B14" s="839">
        <v>253</v>
      </c>
      <c r="C14" s="764">
        <v>0</v>
      </c>
      <c r="D14" s="764"/>
      <c r="E14" s="764"/>
      <c r="F14" s="1779">
        <f>(C14+D14)-E14</f>
        <v>0</v>
      </c>
      <c r="G14" s="842">
        <v>3</v>
      </c>
      <c r="H14" s="764">
        <v>0</v>
      </c>
      <c r="I14" s="764"/>
      <c r="J14" s="764"/>
      <c r="K14" s="1788">
        <f>(H14+I14)-J14</f>
        <v>0</v>
      </c>
      <c r="L14" s="1788">
        <f>F14-K14</f>
        <v>0</v>
      </c>
    </row>
    <row r="15" spans="1:14" ht="15" customHeight="1" thickTop="1" thickBot="1" x14ac:dyDescent="0.25">
      <c r="A15" s="1650" t="s">
        <v>549</v>
      </c>
      <c r="B15" s="1649">
        <v>260</v>
      </c>
      <c r="C15" s="843">
        <v>0</v>
      </c>
      <c r="D15" s="843"/>
      <c r="E15" s="843"/>
      <c r="F15" s="1779">
        <f>(C15+D15)-E15</f>
        <v>0</v>
      </c>
      <c r="G15" s="848" t="s">
        <v>917</v>
      </c>
      <c r="H15" s="780"/>
      <c r="I15" s="780"/>
      <c r="J15" s="780"/>
      <c r="K15" s="780"/>
      <c r="L15" s="1788">
        <f>F15-K15</f>
        <v>0</v>
      </c>
    </row>
    <row r="16" spans="1:14" ht="15" customHeight="1" thickTop="1" thickBot="1" x14ac:dyDescent="0.25">
      <c r="A16" s="1784" t="s">
        <v>664</v>
      </c>
      <c r="B16" s="1785">
        <v>200</v>
      </c>
      <c r="C16" s="1779">
        <f>SUM(C3,C5:C6,C8:C10,C12:C15)</f>
        <v>266249</v>
      </c>
      <c r="D16" s="1779">
        <f>SUM(D3,D5:D6,D8:D10,D12:D15)</f>
        <v>33531</v>
      </c>
      <c r="E16" s="1779">
        <f>SUM(E3,E5:E6,E8:E10,E12:E15)</f>
        <v>72151</v>
      </c>
      <c r="F16" s="1779">
        <f>SUM(F3,F5:F6,F8:F10,F12:F15)</f>
        <v>227629</v>
      </c>
      <c r="G16" s="842"/>
      <c r="H16" s="1779">
        <f>SUM(H3,H6,H8:H10,H12:H14,)</f>
        <v>0</v>
      </c>
      <c r="I16" s="1779">
        <f>SUM(I3,I6,I8:I10,I12:I14,)</f>
        <v>0</v>
      </c>
      <c r="J16" s="1779">
        <f>SUM(J3,J6,J8:J10,J12:J14,)</f>
        <v>0</v>
      </c>
      <c r="K16" s="1779">
        <f>(H16+I16)-J16</f>
        <v>0</v>
      </c>
      <c r="L16" s="1779">
        <f>F16-K16</f>
        <v>227629</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0</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3" sqref="A23:H23"/>
      <selection pane="bottomLeft" activeCell="A6" sqref="A6:F6"/>
    </sheetView>
  </sheetViews>
  <sheetFormatPr defaultColWidth="8.7109375" defaultRowHeight="11.25" x14ac:dyDescent="0.2"/>
  <cols>
    <col min="1" max="1" width="22.140625" style="855" customWidth="1"/>
    <col min="2" max="2" width="31.7109375" style="855" customWidth="1"/>
    <col min="3" max="3" width="6.7109375" style="862" customWidth="1"/>
    <col min="4" max="4" width="55.7109375" style="855" customWidth="1"/>
    <col min="5" max="5" width="3.140625" style="862" customWidth="1"/>
    <col min="6" max="6" width="17.42578125" style="855" customWidth="1"/>
    <col min="7" max="7" width="0.7109375" style="855" customWidth="1"/>
    <col min="8" max="8" width="2.28515625" style="855" customWidth="1"/>
    <col min="9" max="16384" width="8.7109375" style="855"/>
  </cols>
  <sheetData>
    <row r="1" spans="1:7" ht="19.7" customHeight="1" thickTop="1" x14ac:dyDescent="0.2">
      <c r="A1" s="2488" t="s">
        <v>1699</v>
      </c>
      <c r="B1" s="2489"/>
      <c r="C1" s="2489"/>
      <c r="D1" s="2489"/>
      <c r="E1" s="2489"/>
      <c r="F1" s="2490"/>
      <c r="G1" s="854"/>
    </row>
    <row r="2" spans="1:7" ht="15" customHeight="1" thickBot="1" x14ac:dyDescent="0.25">
      <c r="A2" s="2491" t="s">
        <v>498</v>
      </c>
      <c r="B2" s="2492"/>
      <c r="C2" s="2492"/>
      <c r="D2" s="2492"/>
      <c r="E2" s="2492"/>
      <c r="F2" s="2493"/>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494"/>
      <c r="B5" s="2495"/>
      <c r="C5" s="2495"/>
      <c r="D5" s="2495"/>
      <c r="E5" s="2495"/>
      <c r="F5" s="2495"/>
    </row>
    <row r="6" spans="1:7" ht="13.5" customHeight="1" thickBot="1" x14ac:dyDescent="0.25">
      <c r="A6" s="2485" t="s">
        <v>1166</v>
      </c>
      <c r="B6" s="2486"/>
      <c r="C6" s="2486"/>
      <c r="D6" s="2486"/>
      <c r="E6" s="2486"/>
      <c r="F6" s="2487"/>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9774300</v>
      </c>
      <c r="G8" s="864"/>
    </row>
    <row r="9" spans="1:7" x14ac:dyDescent="0.2">
      <c r="A9" s="868" t="s">
        <v>480</v>
      </c>
      <c r="B9" s="869" t="s">
        <v>1986</v>
      </c>
      <c r="C9" s="870"/>
      <c r="D9" s="868" t="s">
        <v>522</v>
      </c>
      <c r="E9" s="867"/>
      <c r="F9" s="1932">
        <f>'Expenditures 15-22'!K151</f>
        <v>0</v>
      </c>
      <c r="G9" s="871"/>
    </row>
    <row r="10" spans="1:7" x14ac:dyDescent="0.2">
      <c r="A10" s="868" t="s">
        <v>520</v>
      </c>
      <c r="B10" s="869" t="s">
        <v>1987</v>
      </c>
      <c r="C10" s="870"/>
      <c r="D10" s="868" t="s">
        <v>522</v>
      </c>
      <c r="E10" s="867"/>
      <c r="F10" s="1932">
        <f>'Expenditures 15-22'!K174</f>
        <v>0</v>
      </c>
      <c r="G10" s="871"/>
    </row>
    <row r="11" spans="1:7" x14ac:dyDescent="0.2">
      <c r="A11" s="868" t="s">
        <v>481</v>
      </c>
      <c r="B11" s="869" t="s">
        <v>1988</v>
      </c>
      <c r="C11" s="870"/>
      <c r="D11" s="868" t="s">
        <v>522</v>
      </c>
      <c r="E11" s="867"/>
      <c r="F11" s="1932">
        <f>'Expenditures 15-22'!K210</f>
        <v>0</v>
      </c>
      <c r="G11" s="871"/>
    </row>
    <row r="12" spans="1:7" x14ac:dyDescent="0.2">
      <c r="A12" s="868" t="s">
        <v>482</v>
      </c>
      <c r="B12" s="869" t="s">
        <v>1989</v>
      </c>
      <c r="C12" s="870"/>
      <c r="D12" s="868" t="s">
        <v>522</v>
      </c>
      <c r="E12" s="867"/>
      <c r="F12" s="1932">
        <f>'Expenditures 15-22'!K295</f>
        <v>0</v>
      </c>
      <c r="G12" s="871"/>
    </row>
    <row r="13" spans="1:7" x14ac:dyDescent="0.2">
      <c r="A13" s="868" t="s">
        <v>108</v>
      </c>
      <c r="B13" s="869" t="s">
        <v>1990</v>
      </c>
      <c r="C13" s="870"/>
      <c r="D13" s="868" t="s">
        <v>522</v>
      </c>
      <c r="E13" s="867"/>
      <c r="F13" s="1932">
        <f>'Expenditures 15-22'!K342</f>
        <v>0</v>
      </c>
      <c r="G13" s="872"/>
    </row>
    <row r="14" spans="1:7" ht="12" customHeight="1" thickBot="1" x14ac:dyDescent="0.25">
      <c r="A14" s="1789"/>
      <c r="B14" s="1790"/>
      <c r="C14" s="1791"/>
      <c r="D14" s="1792" t="s">
        <v>522</v>
      </c>
      <c r="E14" s="1793" t="s">
        <v>1015</v>
      </c>
      <c r="F14" s="1794">
        <f>SUM(F8:F13)</f>
        <v>9774300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6">
        <f>'Expenditures 15-22'!K102</f>
        <v>198994</v>
      </c>
      <c r="G53" s="864"/>
    </row>
    <row r="54" spans="1:7" x14ac:dyDescent="0.2">
      <c r="A54" s="868" t="s">
        <v>479</v>
      </c>
      <c r="B54" s="868" t="s">
        <v>1552</v>
      </c>
      <c r="C54" s="888" t="s">
        <v>1039</v>
      </c>
      <c r="D54" s="884" t="s">
        <v>1157</v>
      </c>
      <c r="E54" s="867"/>
      <c r="F54" s="1936">
        <f>'Expenditures 15-22'!G114</f>
        <v>33531</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1991</v>
      </c>
      <c r="C57" s="888">
        <f>'Expenditures 15-22'!B139</f>
        <v>4000</v>
      </c>
      <c r="D57" s="886" t="str">
        <f>'Expenditures 15-22'!A139</f>
        <v>Total Payments to Other Govt Units</v>
      </c>
      <c r="E57" s="867"/>
      <c r="F57" s="1936">
        <f>'Expenditures 15-22'!K139</f>
        <v>0</v>
      </c>
      <c r="G57" s="864"/>
    </row>
    <row r="58" spans="1:7" x14ac:dyDescent="0.2">
      <c r="A58" s="868" t="s">
        <v>480</v>
      </c>
      <c r="B58" s="868" t="s">
        <v>1992</v>
      </c>
      <c r="C58" s="885" t="s">
        <v>1039</v>
      </c>
      <c r="D58" s="884" t="s">
        <v>1157</v>
      </c>
      <c r="E58" s="867"/>
      <c r="F58" s="1938">
        <f>'Expenditures 15-22'!G151</f>
        <v>0</v>
      </c>
      <c r="G58" s="864"/>
    </row>
    <row r="59" spans="1:7" x14ac:dyDescent="0.2">
      <c r="A59" s="892" t="s">
        <v>480</v>
      </c>
      <c r="B59" s="855" t="s">
        <v>1993</v>
      </c>
      <c r="C59" s="893" t="s">
        <v>1039</v>
      </c>
      <c r="D59" s="855" t="s">
        <v>309</v>
      </c>
      <c r="F59" s="1939">
        <f>'Expenditures 15-22'!I151</f>
        <v>0</v>
      </c>
      <c r="G59" s="864"/>
    </row>
    <row r="60" spans="1:7" x14ac:dyDescent="0.2">
      <c r="A60" s="892" t="s">
        <v>520</v>
      </c>
      <c r="B60" s="855" t="s">
        <v>1994</v>
      </c>
      <c r="C60" s="893">
        <v>4000</v>
      </c>
      <c r="D60" s="855" t="s">
        <v>330</v>
      </c>
      <c r="F60" s="1937">
        <f>'Expenditures 15-22'!K160</f>
        <v>0</v>
      </c>
      <c r="G60" s="864"/>
    </row>
    <row r="61" spans="1:7" x14ac:dyDescent="0.2">
      <c r="A61" s="894" t="s">
        <v>520</v>
      </c>
      <c r="B61" s="894" t="s">
        <v>1995</v>
      </c>
      <c r="C61" s="895" t="str">
        <f>'Expenditures 15-22'!B170</f>
        <v>5300</v>
      </c>
      <c r="D61" s="896" t="s">
        <v>329</v>
      </c>
      <c r="E61" s="878"/>
      <c r="F61" s="1936">
        <f>'Expenditures 15-22'!K170</f>
        <v>0</v>
      </c>
      <c r="G61" s="864"/>
    </row>
    <row r="62" spans="1:7" x14ac:dyDescent="0.2">
      <c r="A62" s="868" t="s">
        <v>481</v>
      </c>
      <c r="B62" s="868" t="s">
        <v>1996</v>
      </c>
      <c r="C62" s="885">
        <f>'Expenditures 15-22'!B185</f>
        <v>3000</v>
      </c>
      <c r="D62" s="875" t="s">
        <v>469</v>
      </c>
      <c r="E62" s="867"/>
      <c r="F62" s="1936">
        <f>'Expenditures 15-22'!K185-SUM('Expenditures 15-22'!G185,'Expenditures 15-22'!I185)</f>
        <v>0</v>
      </c>
      <c r="G62" s="864"/>
    </row>
    <row r="63" spans="1:7" x14ac:dyDescent="0.2">
      <c r="A63" s="868" t="s">
        <v>481</v>
      </c>
      <c r="B63" s="868" t="s">
        <v>1997</v>
      </c>
      <c r="C63" s="885" t="str">
        <f>'Expenditures 15-22'!B196</f>
        <v>4000</v>
      </c>
      <c r="D63" s="886" t="str">
        <f>'Expenditures 15-22'!A196</f>
        <v>Total Payments to Other Govt Units</v>
      </c>
      <c r="E63" s="867"/>
      <c r="F63" s="1936">
        <f>'Expenditures 15-22'!K196</f>
        <v>0</v>
      </c>
      <c r="G63" s="864"/>
    </row>
    <row r="64" spans="1:7" x14ac:dyDescent="0.2">
      <c r="A64" s="894" t="s">
        <v>481</v>
      </c>
      <c r="B64" s="894" t="s">
        <v>1998</v>
      </c>
      <c r="C64" s="895" t="str">
        <f>'Expenditures 15-22'!B206</f>
        <v>5300</v>
      </c>
      <c r="D64" s="891" t="s">
        <v>329</v>
      </c>
      <c r="E64" s="867"/>
      <c r="F64" s="1936">
        <f>'Expenditures 15-22'!K206</f>
        <v>0</v>
      </c>
      <c r="G64" s="864"/>
    </row>
    <row r="65" spans="1:8" x14ac:dyDescent="0.2">
      <c r="A65" s="868" t="s">
        <v>481</v>
      </c>
      <c r="B65" s="868" t="s">
        <v>1999</v>
      </c>
      <c r="C65" s="885" t="s">
        <v>1039</v>
      </c>
      <c r="D65" s="884" t="s">
        <v>1157</v>
      </c>
      <c r="E65" s="867"/>
      <c r="F65" s="1936">
        <f>'Expenditures 15-22'!G210</f>
        <v>0</v>
      </c>
      <c r="G65" s="864"/>
    </row>
    <row r="66" spans="1:8" x14ac:dyDescent="0.2">
      <c r="A66" s="868" t="s">
        <v>481</v>
      </c>
      <c r="B66" s="868" t="s">
        <v>2000</v>
      </c>
      <c r="C66" s="885" t="s">
        <v>1039</v>
      </c>
      <c r="D66" s="884" t="s">
        <v>309</v>
      </c>
      <c r="E66" s="867"/>
      <c r="F66" s="1936">
        <f>'Expenditures 15-22'!I210</f>
        <v>0</v>
      </c>
      <c r="G66" s="864"/>
    </row>
    <row r="67" spans="1:8" x14ac:dyDescent="0.2">
      <c r="A67" s="868" t="s">
        <v>482</v>
      </c>
      <c r="B67" s="868" t="s">
        <v>2001</v>
      </c>
      <c r="C67" s="885" t="str">
        <f>'Expenditures 15-22'!B216</f>
        <v>1125</v>
      </c>
      <c r="D67" s="891" t="str">
        <f>'Expenditures 15-22'!A216</f>
        <v>Pre-K Programs</v>
      </c>
      <c r="E67" s="867"/>
      <c r="F67" s="1936">
        <f>'Expenditures 15-22'!K216</f>
        <v>0</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2002</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2003</v>
      </c>
      <c r="C70" s="885">
        <f>'Expenditures 15-22'!B221</f>
        <v>1300</v>
      </c>
      <c r="D70" s="886" t="str">
        <f>'Expenditures 15-22'!A221</f>
        <v>Adult/Continuing Education Programs</v>
      </c>
      <c r="E70" s="867"/>
      <c r="F70" s="1936">
        <f>'Expenditures 15-22'!K221</f>
        <v>0</v>
      </c>
      <c r="G70" s="864"/>
    </row>
    <row r="71" spans="1:8" x14ac:dyDescent="0.2">
      <c r="A71" s="868" t="s">
        <v>482</v>
      </c>
      <c r="B71" s="868" t="s">
        <v>2004</v>
      </c>
      <c r="C71" s="885">
        <f>'Expenditures 15-22'!B224</f>
        <v>1600</v>
      </c>
      <c r="D71" s="886" t="str">
        <f>'Expenditures 15-22'!A224</f>
        <v>Summer School Programs</v>
      </c>
      <c r="E71" s="867"/>
      <c r="F71" s="1936">
        <f>'Expenditures 15-22'!K224</f>
        <v>0</v>
      </c>
      <c r="G71" s="864"/>
    </row>
    <row r="72" spans="1:8" x14ac:dyDescent="0.2">
      <c r="A72" s="868" t="s">
        <v>482</v>
      </c>
      <c r="B72" s="868" t="s">
        <v>2005</v>
      </c>
      <c r="C72" s="885">
        <f>'Expenditures 15-22'!B280</f>
        <v>3000</v>
      </c>
      <c r="D72" s="875" t="s">
        <v>469</v>
      </c>
      <c r="E72" s="867"/>
      <c r="F72" s="1936">
        <f>'Expenditures 15-22'!K280</f>
        <v>0</v>
      </c>
      <c r="G72" s="864"/>
    </row>
    <row r="73" spans="1:8" x14ac:dyDescent="0.2">
      <c r="A73" s="868" t="s">
        <v>482</v>
      </c>
      <c r="B73" s="868" t="s">
        <v>2006</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2007</v>
      </c>
      <c r="C74" s="885" t="s">
        <v>915</v>
      </c>
      <c r="D74" s="886" t="s">
        <v>1567</v>
      </c>
      <c r="E74" s="867"/>
      <c r="F74" s="1940">
        <f>'Expenditures 15-22'!K334</f>
        <v>0</v>
      </c>
      <c r="G74" s="864"/>
    </row>
    <row r="75" spans="1:8" ht="5.45" customHeight="1" x14ac:dyDescent="0.2">
      <c r="A75" s="864"/>
      <c r="B75" s="874"/>
      <c r="C75" s="874"/>
      <c r="D75" s="864"/>
      <c r="E75" s="867"/>
      <c r="F75" s="881"/>
      <c r="G75" s="866"/>
    </row>
    <row r="76" spans="1:8" ht="12" thickBot="1" x14ac:dyDescent="0.25">
      <c r="A76" s="1789"/>
      <c r="B76" s="1795"/>
      <c r="C76" s="1791"/>
      <c r="D76" s="1796" t="s">
        <v>2008</v>
      </c>
      <c r="E76" s="1793" t="s">
        <v>1015</v>
      </c>
      <c r="F76" s="1797">
        <f>SUM(F18:F74)</f>
        <v>232525</v>
      </c>
      <c r="G76" s="864"/>
    </row>
    <row r="77" spans="1:8" s="892" customFormat="1" ht="12" customHeight="1" thickTop="1" thickBot="1" x14ac:dyDescent="0.25">
      <c r="A77" s="1798"/>
      <c r="B77" s="1795"/>
      <c r="C77" s="1791"/>
      <c r="D77" s="1796" t="s">
        <v>2009</v>
      </c>
      <c r="E77" s="1793"/>
      <c r="F77" s="1799">
        <f>(F14-F76)</f>
        <v>9541775</v>
      </c>
      <c r="G77" s="868"/>
    </row>
    <row r="78" spans="1:8" s="892" customFormat="1" ht="12" customHeight="1" thickTop="1" x14ac:dyDescent="0.2">
      <c r="A78" s="1800"/>
      <c r="B78" s="1795"/>
      <c r="C78" s="1791"/>
      <c r="D78" s="1796" t="s">
        <v>2056</v>
      </c>
      <c r="E78" s="1793"/>
      <c r="F78" s="897">
        <v>0</v>
      </c>
      <c r="G78" s="898"/>
      <c r="H78" s="868"/>
    </row>
    <row r="79" spans="1:8" s="892" customFormat="1" ht="12" customHeight="1" thickBot="1" x14ac:dyDescent="0.25">
      <c r="A79" s="1801"/>
      <c r="B79" s="1795"/>
      <c r="C79" s="1791"/>
      <c r="D79" s="1796" t="s">
        <v>2010</v>
      </c>
      <c r="E79" s="1793" t="s">
        <v>1015</v>
      </c>
      <c r="F79" s="1802"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485" t="s">
        <v>1167</v>
      </c>
      <c r="B81" s="2486"/>
      <c r="C81" s="2486"/>
      <c r="D81" s="2486"/>
      <c r="E81" s="2486"/>
      <c r="F81" s="2487"/>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2666</v>
      </c>
      <c r="G94" s="911"/>
    </row>
    <row r="95" spans="1:7" x14ac:dyDescent="0.2">
      <c r="A95" s="907" t="s">
        <v>142</v>
      </c>
      <c r="B95" s="907" t="s">
        <v>177</v>
      </c>
      <c r="C95" s="909">
        <v>1700</v>
      </c>
      <c r="D95" s="917" t="str">
        <f>'Revenues 9-14'!A82</f>
        <v>Total District/School Activity Income</v>
      </c>
      <c r="E95" s="905"/>
      <c r="F95" s="1808">
        <f>SUM('Revenues 9-14'!C82,'Revenues 9-14'!D82)</f>
        <v>0</v>
      </c>
      <c r="G95" s="911"/>
    </row>
    <row r="96" spans="1:7" x14ac:dyDescent="0.2">
      <c r="A96" s="907" t="s">
        <v>479</v>
      </c>
      <c r="B96" s="907" t="s">
        <v>178</v>
      </c>
      <c r="C96" s="909">
        <f>'Revenues 9-14'!B84</f>
        <v>1811</v>
      </c>
      <c r="D96" s="910" t="str">
        <f>'Revenues 9-14'!A84</f>
        <v>Rentals - Regular Textbooks</v>
      </c>
      <c r="E96" s="905"/>
      <c r="F96" s="1808">
        <f>'Revenues 9-14'!C84</f>
        <v>0</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351</v>
      </c>
      <c r="G100" s="911"/>
    </row>
    <row r="101" spans="1:7" x14ac:dyDescent="0.2">
      <c r="A101" s="907" t="s">
        <v>142</v>
      </c>
      <c r="B101" s="907" t="s">
        <v>183</v>
      </c>
      <c r="C101" s="909">
        <f>'Revenues 9-14'!B95</f>
        <v>1910</v>
      </c>
      <c r="D101" s="910" t="str">
        <f>'Revenues 9-14'!A95</f>
        <v>Rentals</v>
      </c>
      <c r="E101" s="905"/>
      <c r="F101" s="1808">
        <f>SUM('Revenues 9-14'!C95:D95)</f>
        <v>0</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194033</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493556</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0</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563</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0</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0</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29837</v>
      </c>
      <c r="G129" s="929"/>
    </row>
    <row r="130" spans="1:7" x14ac:dyDescent="0.2">
      <c r="A130" s="926" t="s">
        <v>689</v>
      </c>
      <c r="B130" s="926" t="s">
        <v>804</v>
      </c>
      <c r="C130" s="931">
        <v>4300</v>
      </c>
      <c r="D130" s="932" t="str">
        <f>'Revenues 9-14'!A211</f>
        <v>Total Title I</v>
      </c>
      <c r="E130" s="905"/>
      <c r="F130" s="1808">
        <f>SUM('Revenues 9-14'!C211,'Revenues 9-14'!D211,'Revenues 9-14'!F211,'Revenues 9-14'!G211)</f>
        <v>0</v>
      </c>
      <c r="G130" s="929"/>
    </row>
    <row r="131" spans="1:7" x14ac:dyDescent="0.2">
      <c r="A131" s="926" t="s">
        <v>689</v>
      </c>
      <c r="B131" s="926" t="s">
        <v>805</v>
      </c>
      <c r="C131" s="931">
        <v>4400</v>
      </c>
      <c r="D131" s="932" t="str">
        <f>'Revenues 9-14'!A216</f>
        <v>Total Title IV</v>
      </c>
      <c r="E131" s="905"/>
      <c r="F131" s="1808">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2644498</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45452</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333879</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31013</v>
      </c>
      <c r="G174" s="926"/>
    </row>
    <row r="175" spans="1:7" x14ac:dyDescent="0.2">
      <c r="A175" s="1941" t="s">
        <v>5</v>
      </c>
      <c r="B175" s="1942" t="s">
        <v>2055</v>
      </c>
      <c r="C175" s="1943">
        <v>3100</v>
      </c>
      <c r="D175" s="1944" t="s">
        <v>2058</v>
      </c>
      <c r="E175" s="905"/>
      <c r="F175" s="1928"/>
      <c r="G175" s="926"/>
    </row>
    <row r="176" spans="1:7" x14ac:dyDescent="0.2">
      <c r="A176" s="1941" t="s">
        <v>685</v>
      </c>
      <c r="B176" s="1942" t="s">
        <v>2055</v>
      </c>
      <c r="C176" s="1943">
        <v>3300</v>
      </c>
      <c r="D176" s="1944" t="s">
        <v>2059</v>
      </c>
      <c r="E176" s="905"/>
      <c r="F176" s="1928"/>
      <c r="G176" s="926"/>
    </row>
    <row r="177" spans="1:7" ht="6" customHeight="1" x14ac:dyDescent="0.2">
      <c r="A177" s="926"/>
      <c r="B177" s="926"/>
      <c r="C177" s="948"/>
      <c r="D177" s="926"/>
      <c r="E177" s="905"/>
      <c r="F177" s="949"/>
      <c r="G177" s="946"/>
    </row>
    <row r="178" spans="1:7" x14ac:dyDescent="0.2">
      <c r="A178" s="1789"/>
      <c r="B178" s="1803"/>
      <c r="C178" s="1804"/>
      <c r="D178" s="1805" t="s">
        <v>2011</v>
      </c>
      <c r="E178" s="1806" t="s">
        <v>1015</v>
      </c>
      <c r="F178" s="1807">
        <f>SUM(F84:F136,F161:F176)</f>
        <v>3775848</v>
      </c>
    </row>
    <row r="179" spans="1:7" ht="12" customHeight="1" x14ac:dyDescent="0.2">
      <c r="A179" s="1789"/>
      <c r="B179" s="1803"/>
      <c r="C179" s="1804"/>
      <c r="D179" s="1805" t="s">
        <v>2012</v>
      </c>
      <c r="E179" s="1806"/>
      <c r="F179" s="1808">
        <f>'PCTC-OEPP 27-28'!F77-F178</f>
        <v>5765927</v>
      </c>
    </row>
    <row r="180" spans="1:7" ht="12" customHeight="1" x14ac:dyDescent="0.2">
      <c r="A180" s="1789"/>
      <c r="B180" s="1803"/>
      <c r="C180" s="1804"/>
      <c r="D180" s="1805" t="s">
        <v>1921</v>
      </c>
      <c r="E180" s="1806"/>
      <c r="F180" s="1808">
        <f>'Cap Outlay Deprec 26'!I18</f>
        <v>0</v>
      </c>
    </row>
    <row r="181" spans="1:7" ht="12" customHeight="1" x14ac:dyDescent="0.2">
      <c r="A181" s="1789"/>
      <c r="B181" s="1803"/>
      <c r="C181" s="1804"/>
      <c r="D181" s="1805" t="s">
        <v>2013</v>
      </c>
      <c r="E181" s="1806"/>
      <c r="F181" s="1808">
        <f>F179+F180</f>
        <v>5765927</v>
      </c>
    </row>
    <row r="182" spans="1:7" ht="12" customHeight="1" x14ac:dyDescent="0.2">
      <c r="A182" s="1789"/>
      <c r="B182" s="1809"/>
      <c r="C182" s="1804"/>
      <c r="D182" s="1805" t="str">
        <f>D78</f>
        <v>9 Month ADA from District Average Daily Attendance/Prior General State Aid Inquiry 2017-2018</v>
      </c>
      <c r="E182" s="1806"/>
      <c r="F182" s="1810">
        <f>'PCTC-OEPP 27-28'!F78</f>
        <v>0</v>
      </c>
      <c r="G182" s="929"/>
    </row>
    <row r="183" spans="1:7" ht="12" customHeight="1" thickBot="1" x14ac:dyDescent="0.25">
      <c r="A183" s="1789"/>
      <c r="B183" s="1809"/>
      <c r="C183" s="1804"/>
      <c r="D183" s="1805" t="s">
        <v>2014</v>
      </c>
      <c r="E183" s="1806" t="s">
        <v>1626</v>
      </c>
      <c r="F183" s="1811" t="e">
        <f>F181/F182</f>
        <v>#DIV/0!</v>
      </c>
      <c r="G183" s="855">
        <v>6323</v>
      </c>
    </row>
    <row r="184" spans="1:7" ht="12" thickTop="1" x14ac:dyDescent="0.2">
      <c r="B184" s="929"/>
      <c r="C184" s="948"/>
      <c r="D184" s="929"/>
      <c r="E184" s="948"/>
      <c r="F184" s="929"/>
      <c r="G184" s="950">
        <v>6326</v>
      </c>
    </row>
    <row r="185" spans="1:7" ht="12.2" customHeight="1" x14ac:dyDescent="0.2">
      <c r="A185" s="929" t="s">
        <v>2057</v>
      </c>
      <c r="B185" s="929"/>
      <c r="C185" s="948"/>
      <c r="D185" s="929"/>
      <c r="E185" s="948"/>
      <c r="F185" s="929"/>
      <c r="G185" s="929"/>
    </row>
    <row r="186" spans="1:7" s="1945" customFormat="1" ht="12.2" customHeight="1" x14ac:dyDescent="0.2">
      <c r="A186" s="1945" t="s">
        <v>2062</v>
      </c>
      <c r="B186" s="1946"/>
      <c r="C186" s="1947"/>
      <c r="D186" s="1946"/>
      <c r="E186" s="1947"/>
      <c r="F186" s="1946"/>
      <c r="G186" s="1946"/>
    </row>
    <row r="187" spans="1:7" s="1945" customFormat="1" ht="12.2" customHeight="1" x14ac:dyDescent="0.2">
      <c r="A187" s="1948" t="s">
        <v>2063</v>
      </c>
      <c r="C187" s="1947"/>
      <c r="D187" s="1946"/>
      <c r="E187" s="1947"/>
      <c r="F187" s="1946"/>
      <c r="G187" s="1946"/>
    </row>
    <row r="188" spans="1:7" ht="12" customHeight="1" x14ac:dyDescent="0.2">
      <c r="C188" s="948"/>
      <c r="D188" s="929"/>
      <c r="E188" s="948"/>
      <c r="F188" s="929"/>
      <c r="G188" s="929"/>
    </row>
    <row r="189" spans="1:7" x14ac:dyDescent="0.2">
      <c r="A189" s="1949" t="s">
        <v>2061</v>
      </c>
      <c r="B189" s="1950" t="s">
        <v>2060</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1937</v>
      </c>
      <c r="B1" s="1679"/>
      <c r="C1" s="1679"/>
      <c r="D1" s="1679"/>
      <c r="E1" s="1679"/>
      <c r="F1" s="1679"/>
      <c r="G1" s="1679"/>
    </row>
    <row r="2" spans="1:7" x14ac:dyDescent="0.25">
      <c r="A2" s="1676"/>
      <c r="B2" s="1676"/>
      <c r="C2" s="1677" t="s">
        <v>1036</v>
      </c>
      <c r="D2" s="1676"/>
      <c r="E2" s="1676"/>
      <c r="F2" s="1676"/>
      <c r="G2" s="1676"/>
    </row>
    <row r="3" spans="1:7" ht="5.45" customHeight="1" x14ac:dyDescent="0.25">
      <c r="A3" s="1564"/>
      <c r="B3" s="1564"/>
      <c r="C3" s="1564"/>
      <c r="D3" s="1564"/>
      <c r="E3" s="1564"/>
      <c r="F3" s="1564"/>
      <c r="G3" s="1564"/>
    </row>
    <row r="4" spans="1:7" ht="18.75" customHeight="1" x14ac:dyDescent="0.25">
      <c r="A4" s="2499" t="s">
        <v>1922</v>
      </c>
      <c r="B4" s="2500"/>
      <c r="C4" s="2500"/>
      <c r="D4" s="2500"/>
      <c r="E4" s="2500"/>
      <c r="F4" s="2500"/>
      <c r="G4" s="2501"/>
    </row>
    <row r="5" spans="1:7" x14ac:dyDescent="0.25">
      <c r="A5" s="2502"/>
      <c r="B5" s="2503"/>
      <c r="C5" s="2503"/>
      <c r="D5" s="2503"/>
      <c r="E5" s="2503"/>
      <c r="F5" s="2503"/>
      <c r="G5" s="2504"/>
    </row>
    <row r="6" spans="1:7" ht="18.75" x14ac:dyDescent="0.25">
      <c r="A6" s="1553" t="s">
        <v>1923</v>
      </c>
      <c r="B6" s="1554"/>
      <c r="C6" s="1554"/>
      <c r="D6" s="1554"/>
      <c r="E6" s="1554"/>
      <c r="F6" s="1554"/>
      <c r="G6" s="1555"/>
    </row>
    <row r="7" spans="1:7" ht="30.75" customHeight="1" x14ac:dyDescent="0.25">
      <c r="A7" s="2505" t="s">
        <v>2072</v>
      </c>
      <c r="B7" s="2506"/>
      <c r="C7" s="2506"/>
      <c r="D7" s="2506"/>
      <c r="E7" s="2506"/>
      <c r="F7" s="2506"/>
      <c r="G7" s="2507"/>
    </row>
    <row r="8" spans="1:7" ht="15.95" customHeight="1" x14ac:dyDescent="0.25">
      <c r="A8" s="2508" t="s">
        <v>2021</v>
      </c>
      <c r="B8" s="2509"/>
      <c r="C8" s="2509"/>
      <c r="D8" s="2509"/>
      <c r="E8" s="2509"/>
      <c r="F8" s="2509"/>
      <c r="G8" s="2510"/>
    </row>
    <row r="9" spans="1:7" ht="35.25" customHeight="1" x14ac:dyDescent="0.25">
      <c r="A9" s="2505" t="s">
        <v>2020</v>
      </c>
      <c r="B9" s="2506"/>
      <c r="C9" s="2506"/>
      <c r="D9" s="2506"/>
      <c r="E9" s="2506"/>
      <c r="F9" s="2506"/>
      <c r="G9" s="2507"/>
    </row>
    <row r="10" spans="1:7" ht="15" customHeight="1" x14ac:dyDescent="0.25">
      <c r="A10" s="1556" t="s">
        <v>1924</v>
      </c>
      <c r="B10" s="1557"/>
      <c r="C10" s="1557"/>
      <c r="D10" s="1557"/>
      <c r="E10" s="1557"/>
      <c r="F10" s="1557"/>
      <c r="G10" s="1558"/>
    </row>
    <row r="11" spans="1:7" ht="17.25" customHeight="1" x14ac:dyDescent="0.25">
      <c r="A11" s="2505" t="s">
        <v>1938</v>
      </c>
      <c r="B11" s="2506"/>
      <c r="C11" s="2506"/>
      <c r="D11" s="2506"/>
      <c r="E11" s="2506"/>
      <c r="F11" s="2506"/>
      <c r="G11" s="2507"/>
    </row>
    <row r="12" spans="1:7" ht="15" customHeight="1" x14ac:dyDescent="0.25">
      <c r="A12" s="1556" t="s">
        <v>1929</v>
      </c>
      <c r="B12" s="1557"/>
      <c r="C12" s="1557"/>
      <c r="D12" s="1557"/>
      <c r="E12" s="1557"/>
      <c r="F12" s="1557"/>
      <c r="G12" s="1558"/>
    </row>
    <row r="13" spans="1:7" ht="32.25" customHeight="1" x14ac:dyDescent="0.25">
      <c r="A13" s="2496" t="s">
        <v>1930</v>
      </c>
      <c r="B13" s="2497"/>
      <c r="C13" s="2497"/>
      <c r="D13" s="2497"/>
      <c r="E13" s="2497"/>
      <c r="F13" s="2497"/>
      <c r="G13" s="2498"/>
    </row>
    <row r="14" spans="1:7" x14ac:dyDescent="0.25">
      <c r="A14" s="1680" t="s">
        <v>1939</v>
      </c>
      <c r="B14" s="1681"/>
      <c r="C14" s="1681"/>
      <c r="D14" s="1681"/>
      <c r="E14" s="1681"/>
      <c r="F14" s="1681"/>
      <c r="G14" s="1682"/>
    </row>
    <row r="15" spans="1:7" ht="61.5" customHeight="1" x14ac:dyDescent="0.25">
      <c r="A15" s="1565" t="s">
        <v>1931</v>
      </c>
      <c r="B15" s="1565" t="s">
        <v>1932</v>
      </c>
      <c r="C15" s="1565" t="s">
        <v>1933</v>
      </c>
      <c r="D15" s="1566" t="s">
        <v>1934</v>
      </c>
      <c r="E15" s="1566" t="s">
        <v>1925</v>
      </c>
      <c r="F15" s="1566" t="s">
        <v>1935</v>
      </c>
      <c r="G15" s="1566" t="s">
        <v>1936</v>
      </c>
    </row>
    <row r="16" spans="1:7" x14ac:dyDescent="0.25">
      <c r="A16" s="1667" t="s">
        <v>1940</v>
      </c>
      <c r="B16" s="1668" t="s">
        <v>1928</v>
      </c>
      <c r="C16" s="1669" t="s">
        <v>1926</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83" t="s">
        <v>2164</v>
      </c>
      <c r="B17" s="1984">
        <v>0</v>
      </c>
      <c r="C17" s="1985">
        <v>0</v>
      </c>
      <c r="D17" s="1986">
        <v>0</v>
      </c>
      <c r="E17" s="1559">
        <f t="shared" ref="E17:E141" si="1">IF(D17&lt;=25000,D17,IF(D17&gt;25000,25000,0))</f>
        <v>0</v>
      </c>
      <c r="F17" s="1812">
        <f t="shared" si="0"/>
        <v>0</v>
      </c>
      <c r="G17" s="1813">
        <f>IF(F17=0,0,D17-F17)</f>
        <v>0</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hidden="1" x14ac:dyDescent="0.25">
      <c r="A29" s="1672"/>
      <c r="B29" s="1866"/>
      <c r="C29" s="1673"/>
      <c r="D29" s="1864"/>
      <c r="E29" s="1559">
        <f t="shared" si="2"/>
        <v>0</v>
      </c>
      <c r="F29" s="1812">
        <f t="shared" si="3"/>
        <v>0</v>
      </c>
      <c r="G29" s="1813">
        <f t="shared" si="4"/>
        <v>0</v>
      </c>
    </row>
    <row r="30" spans="1:8" hidden="1" x14ac:dyDescent="0.25">
      <c r="A30" s="1672"/>
      <c r="B30" s="1866"/>
      <c r="C30" s="1673"/>
      <c r="D30" s="1864"/>
      <c r="E30" s="1559">
        <f t="shared" si="2"/>
        <v>0</v>
      </c>
      <c r="F30" s="1812">
        <f t="shared" si="3"/>
        <v>0</v>
      </c>
      <c r="G30" s="1813">
        <f t="shared" si="4"/>
        <v>0</v>
      </c>
    </row>
    <row r="31" spans="1:8" hidden="1" x14ac:dyDescent="0.25">
      <c r="A31" s="1672"/>
      <c r="B31" s="1866"/>
      <c r="C31" s="1673"/>
      <c r="D31" s="1864"/>
      <c r="E31" s="1559">
        <f t="shared" si="2"/>
        <v>0</v>
      </c>
      <c r="F31" s="1812">
        <f t="shared" si="3"/>
        <v>0</v>
      </c>
      <c r="G31" s="1813">
        <f t="shared" si="4"/>
        <v>0</v>
      </c>
    </row>
    <row r="32" spans="1:8" hidden="1" x14ac:dyDescent="0.25">
      <c r="A32" s="1672"/>
      <c r="B32" s="1866"/>
      <c r="C32" s="1673"/>
      <c r="D32" s="1864"/>
      <c r="E32" s="1559">
        <f t="shared" si="2"/>
        <v>0</v>
      </c>
      <c r="F32" s="1812">
        <f t="shared" si="3"/>
        <v>0</v>
      </c>
      <c r="G32" s="1813">
        <f t="shared" si="4"/>
        <v>0</v>
      </c>
    </row>
    <row r="33" spans="1:7" hidden="1" x14ac:dyDescent="0.25">
      <c r="A33" s="1672"/>
      <c r="B33" s="1866"/>
      <c r="C33" s="1673"/>
      <c r="D33" s="1864"/>
      <c r="E33" s="1559">
        <f t="shared" si="2"/>
        <v>0</v>
      </c>
      <c r="F33" s="1812">
        <f t="shared" si="3"/>
        <v>0</v>
      </c>
      <c r="G33" s="1813">
        <f t="shared" si="4"/>
        <v>0</v>
      </c>
    </row>
    <row r="34" spans="1:7" hidden="1" x14ac:dyDescent="0.25">
      <c r="A34" s="1672"/>
      <c r="B34" s="1866"/>
      <c r="C34" s="1673"/>
      <c r="D34" s="1864"/>
      <c r="E34" s="1559">
        <f t="shared" si="2"/>
        <v>0</v>
      </c>
      <c r="F34" s="1812">
        <f t="shared" si="3"/>
        <v>0</v>
      </c>
      <c r="G34" s="1813">
        <f t="shared" si="4"/>
        <v>0</v>
      </c>
    </row>
    <row r="35" spans="1:7" hidden="1" x14ac:dyDescent="0.25">
      <c r="A35" s="1672"/>
      <c r="B35" s="1866"/>
      <c r="C35" s="1673"/>
      <c r="D35" s="1864"/>
      <c r="E35" s="1559">
        <f t="shared" si="2"/>
        <v>0</v>
      </c>
      <c r="F35" s="1812">
        <f t="shared" si="3"/>
        <v>0</v>
      </c>
      <c r="G35" s="1813">
        <f t="shared" si="4"/>
        <v>0</v>
      </c>
    </row>
    <row r="36" spans="1:7" hidden="1" x14ac:dyDescent="0.25">
      <c r="A36" s="1672"/>
      <c r="B36" s="1866"/>
      <c r="C36" s="1673"/>
      <c r="D36" s="1864"/>
      <c r="E36" s="1559">
        <f t="shared" si="2"/>
        <v>0</v>
      </c>
      <c r="F36" s="1812">
        <f t="shared" si="3"/>
        <v>0</v>
      </c>
      <c r="G36" s="1813">
        <f t="shared" si="4"/>
        <v>0</v>
      </c>
    </row>
    <row r="37" spans="1:7" hidden="1" x14ac:dyDescent="0.25">
      <c r="A37" s="1672"/>
      <c r="B37" s="1866"/>
      <c r="C37" s="1673"/>
      <c r="D37" s="1864"/>
      <c r="E37" s="1559">
        <f t="shared" si="2"/>
        <v>0</v>
      </c>
      <c r="F37" s="1812">
        <f t="shared" si="3"/>
        <v>0</v>
      </c>
      <c r="G37" s="1813">
        <f t="shared" si="4"/>
        <v>0</v>
      </c>
    </row>
    <row r="38" spans="1:7" hidden="1"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v>
      </c>
      <c r="E141" s="1560">
        <f t="shared" si="1"/>
        <v>0</v>
      </c>
      <c r="F141" s="1814">
        <f>SUM(F17:F140)</f>
        <v>0</v>
      </c>
      <c r="G141" s="181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71093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511" t="s">
        <v>1778</v>
      </c>
      <c r="B5" s="2512"/>
      <c r="C5" s="2512"/>
      <c r="D5" s="2512"/>
      <c r="E5" s="2512"/>
      <c r="F5" s="2512"/>
      <c r="G5" s="2513"/>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2073</v>
      </c>
      <c r="B10" s="970"/>
      <c r="C10" s="975"/>
      <c r="D10" s="971"/>
      <c r="E10" s="972"/>
      <c r="F10" s="973"/>
      <c r="G10" s="974"/>
      <c r="H10" s="162"/>
      <c r="I10" s="162"/>
    </row>
    <row r="11" spans="1:9" s="667" customFormat="1" ht="22.5" customHeight="1" x14ac:dyDescent="0.2">
      <c r="A11" s="2516" t="s">
        <v>1942</v>
      </c>
      <c r="B11" s="2517"/>
      <c r="C11" s="2517"/>
      <c r="D11" s="2518"/>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5206503</v>
      </c>
      <c r="F19" s="1819"/>
      <c r="G19" s="1821">
        <f>'Expenditures 15-22'!K33-SUM('Expenditures 15-22'!G33,'Expenditures 15-22'!I33)+'Expenditures 15-22'!D229</f>
        <v>5206503</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2465436</v>
      </c>
      <c r="F21" s="1822"/>
      <c r="G21" s="1825">
        <f>'Expenditures 15-22'!K42-SUM('Expenditures 15-22'!G42,'Expenditures 15-22'!I42)+'Expenditures 15-22'!K120-SUM('Expenditures 15-22'!G120,'Expenditures 15-22'!I120)+'Expenditures 15-22'!K180-SUM('Expenditures 15-22'!G180,'Expenditures 15-22'!I180)+'Expenditures 15-22'!D238</f>
        <v>2465436</v>
      </c>
      <c r="H21" s="986"/>
      <c r="I21" s="162"/>
    </row>
    <row r="22" spans="1:9" s="667" customFormat="1" ht="12" customHeight="1" x14ac:dyDescent="0.2">
      <c r="A22" s="993" t="s">
        <v>585</v>
      </c>
      <c r="B22" s="994"/>
      <c r="C22" s="992">
        <v>2200</v>
      </c>
      <c r="D22" s="1822"/>
      <c r="E22" s="1824">
        <f>'Expenditures 15-22'!K47-SUM('Expenditures 15-22'!G47,'Expenditures 15-22'!I47)+'Expenditures 15-22'!D243</f>
        <v>379744</v>
      </c>
      <c r="F22" s="1822"/>
      <c r="G22" s="1825">
        <f>'Expenditures 15-22'!K47-SUM('Expenditures 15-22'!G47,'Expenditures 15-22'!I47)+'Expenditures 15-22'!D243</f>
        <v>379744</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746884</v>
      </c>
      <c r="F23" s="1822"/>
      <c r="G23" s="1824">
        <f>'Expenditures 15-22'!K53-SUM('Expenditures 15-22'!G53,'Expenditures 15-22'!I53)+'Expenditures 15-22'!D257+'Expenditures 15-22'!K330-SUM('Expenditures 15-22'!G330,'Expenditures 15-22'!I330)</f>
        <v>746884</v>
      </c>
      <c r="H23" s="986"/>
      <c r="I23" s="162"/>
    </row>
    <row r="24" spans="1:9" s="667" customFormat="1" ht="12" customHeight="1" x14ac:dyDescent="0.2">
      <c r="A24" s="993" t="s">
        <v>587</v>
      </c>
      <c r="B24" s="994"/>
      <c r="C24" s="992">
        <v>2400</v>
      </c>
      <c r="D24" s="1822"/>
      <c r="E24" s="1824">
        <f>'Expenditures 15-22'!K57-SUM('Expenditures 15-22'!G57,'Expenditures 15-22'!I57)+'Expenditures 15-22'!D261</f>
        <v>0</v>
      </c>
      <c r="F24" s="1822"/>
      <c r="G24" s="1825">
        <f>'Expenditures 15-22'!K57-SUM('Expenditures 15-22'!G57,'Expenditures 15-22'!I57)+'Expenditures 15-22'!D261</f>
        <v>0</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13804</v>
      </c>
      <c r="E26" s="1824">
        <f>'Expenditures 15-22'!K122-SUM('Expenditures 15-22'!G122,'Expenditures 15-22'!I122)+E7</f>
        <v>0</v>
      </c>
      <c r="F26" s="1824">
        <f>'Expenditures 15-22'!K59-SUM('Expenditures 15-22'!G59,'Expenditures 15-22'!I59)+'Expenditures 15-22'!D263-E7</f>
        <v>13804</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168718</v>
      </c>
      <c r="E27" s="1824">
        <f>E8</f>
        <v>0</v>
      </c>
      <c r="F27" s="1824">
        <f>'Expenditures 15-22'!K60-SUM('Expenditures 15-22'!G60,'Expenditures 15-22'!I60)+'Expenditures 15-22'!D264-E8</f>
        <v>168718</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383696</v>
      </c>
      <c r="F28" s="1826">
        <f>'Expenditures 15-22'!K61-SUM('Expenditures 15-22'!G61,'Expenditures 15-22'!I61)+'Expenditures 15-22'!K124-SUM('Expenditures 15-22'!G124,'Expenditures 15-22'!I124)+'Expenditures 15-22'!D266-E9</f>
        <v>383696</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8623</v>
      </c>
      <c r="F29" s="1822"/>
      <c r="G29" s="1825">
        <f>'Expenditures 15-22'!K62-SUM('Expenditures 15-22'!G62,'Expenditures 15-22'!I62)+'Expenditures 15-22'!K125-SUM('Expenditures 15-22'!G125,'Expenditures 15-22'!I125)+'Expenditures 15-22'!K182-SUM('Expenditures 15-22'!G182,'Expenditures 15-22'!I182)+'Expenditures 15-22'!D267</f>
        <v>8623</v>
      </c>
      <c r="H29" s="984"/>
    </row>
    <row r="30" spans="1:9" ht="12" customHeight="1" x14ac:dyDescent="0.2">
      <c r="A30" s="993" t="s">
        <v>102</v>
      </c>
      <c r="B30" s="996"/>
      <c r="C30" s="992">
        <v>2560</v>
      </c>
      <c r="D30" s="1822"/>
      <c r="E30" s="1824">
        <f>'Expenditures 15-22'!K63-SUM('Expenditures 15-22'!G63,'Expenditures 15-22'!I63)+'Expenditures 15-22'!D268-E10</f>
        <v>29469</v>
      </c>
      <c r="F30" s="1822"/>
      <c r="G30" s="1824">
        <f>'Expenditures 15-22'!K63-SUM('Expenditures 15-22'!G63,'Expenditures 15-22'!I63)+'Expenditures 15-22'!D268-E10</f>
        <v>29469</v>
      </c>
    </row>
    <row r="31" spans="1:9" ht="12" customHeight="1" x14ac:dyDescent="0.2">
      <c r="A31" s="993" t="s">
        <v>103</v>
      </c>
      <c r="B31" s="996"/>
      <c r="C31" s="992">
        <v>2570</v>
      </c>
      <c r="D31" s="1824">
        <f>'Expenditures 15-22'!K64-SUM('Expenditures 15-22'!G64,'Expenditures 15-22'!I64)+'Expenditures 15-22'!D269-E12</f>
        <v>11863</v>
      </c>
      <c r="E31" s="1824">
        <f>E12</f>
        <v>0</v>
      </c>
      <c r="F31" s="1824">
        <f>'Expenditures 15-22'!K64-SUM('Expenditures 15-22'!G64,'Expenditures 15-22'!I64)+'Expenditures 15-22'!D269-E12</f>
        <v>11863</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83387</v>
      </c>
      <c r="F33" s="1822"/>
      <c r="G33" s="1824">
        <f>'Expenditures 15-22'!K67-SUM('Expenditures 15-22'!G67,'Expenditures 15-22'!I67)+'Expenditures 15-22'!D272</f>
        <v>83387</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466</v>
      </c>
      <c r="E36" s="1824">
        <f>E13</f>
        <v>0</v>
      </c>
      <c r="F36" s="1824">
        <f>'Expenditures 15-22'!K70-SUM('Expenditures 15-22'!G70,'Expenditures 15-22'!I70)+'Expenditures 15-22'!D275-E13</f>
        <v>466</v>
      </c>
      <c r="G36" s="1824">
        <f>E13</f>
        <v>0</v>
      </c>
    </row>
    <row r="37" spans="1:7" ht="12" customHeight="1" x14ac:dyDescent="0.2">
      <c r="A37" s="993" t="s">
        <v>424</v>
      </c>
      <c r="B37" s="996"/>
      <c r="C37" s="992">
        <v>2660</v>
      </c>
      <c r="D37" s="1824">
        <f>'Expenditures 15-22'!K71-SUM('Expenditures 15-22'!G71,'Expenditures 15-22'!I71)+'Expenditures 15-22'!D276-E14</f>
        <v>42556</v>
      </c>
      <c r="E37" s="1824">
        <f>E14</f>
        <v>0</v>
      </c>
      <c r="F37" s="1824">
        <f>'Expenditures 15-22'!K71-SUM('Expenditures 15-22'!G71,'Expenditures 15-22'!I71)+'Expenditures 15-22'!D276-E14</f>
        <v>42556</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626</v>
      </c>
      <c r="F38" s="1822"/>
      <c r="G38" s="1824">
        <f>'Expenditures 15-22'!K73-SUM('Expenditures 15-22'!G73,'Expenditures 15-22'!I73)+'Expenditures 15-22'!K128-SUM('Expenditures 15-22'!G128,'Expenditures 15-22'!I128)+'Expenditures 15-22'!K183-SUM('Expenditures 15-22'!G183,'Expenditures 15-22'!I183)+'Expenditures 15-22'!D278</f>
        <v>626</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1927</v>
      </c>
      <c r="B40" s="990"/>
      <c r="C40" s="992"/>
      <c r="D40" s="1822"/>
      <c r="E40" s="1826">
        <f>-'Contracts Paid in CY 29'!G141</f>
        <v>0</v>
      </c>
      <c r="F40" s="1822"/>
      <c r="G40" s="1826">
        <f>-'Contracts Paid in CY 29'!G141</f>
        <v>0</v>
      </c>
    </row>
    <row r="41" spans="1:7" ht="12" customHeight="1" x14ac:dyDescent="0.2">
      <c r="A41" s="997" t="s">
        <v>158</v>
      </c>
      <c r="B41" s="998"/>
      <c r="C41" s="999"/>
      <c r="D41" s="1826">
        <f>SUM(D19:D39)</f>
        <v>237407</v>
      </c>
      <c r="E41" s="1826">
        <f>SUM(E19:E40)</f>
        <v>9304368</v>
      </c>
      <c r="F41" s="1826">
        <f>SUM(F19:F39)</f>
        <v>621103</v>
      </c>
      <c r="G41" s="1826">
        <f>SUM(G19:G40)</f>
        <v>8920672</v>
      </c>
    </row>
    <row r="42" spans="1:7" x14ac:dyDescent="0.2">
      <c r="A42" s="986"/>
      <c r="B42" s="162"/>
      <c r="C42" s="1000"/>
      <c r="D42" s="2514" t="s">
        <v>543</v>
      </c>
      <c r="E42" s="2515"/>
      <c r="F42" s="1001" t="s">
        <v>544</v>
      </c>
      <c r="G42" s="1002"/>
    </row>
    <row r="43" spans="1:7" ht="12" customHeight="1" x14ac:dyDescent="0.2">
      <c r="A43" s="986"/>
      <c r="B43" s="162"/>
      <c r="C43" s="1000"/>
      <c r="D43" s="1827" t="s">
        <v>493</v>
      </c>
      <c r="E43" s="1828">
        <f>D41</f>
        <v>237407</v>
      </c>
      <c r="F43" s="1827" t="s">
        <v>495</v>
      </c>
      <c r="G43" s="1828">
        <f>F41</f>
        <v>621103</v>
      </c>
    </row>
    <row r="44" spans="1:7" ht="12" customHeight="1" x14ac:dyDescent="0.2">
      <c r="A44" s="986"/>
      <c r="B44" s="162"/>
      <c r="C44" s="1000"/>
      <c r="D44" s="1827" t="s">
        <v>494</v>
      </c>
      <c r="E44" s="1828">
        <f>E41</f>
        <v>9304368</v>
      </c>
      <c r="F44" s="1827" t="s">
        <v>494</v>
      </c>
      <c r="G44" s="1828">
        <f>G41</f>
        <v>8920672</v>
      </c>
    </row>
    <row r="45" spans="1:7" ht="12" customHeight="1" x14ac:dyDescent="0.2">
      <c r="A45" s="986"/>
      <c r="B45" s="162"/>
      <c r="C45" s="162"/>
      <c r="D45" s="1829" t="s">
        <v>1063</v>
      </c>
      <c r="E45" s="1830">
        <f>(E43/E44)</f>
        <v>2.5515650283823684E-2</v>
      </c>
      <c r="F45" s="1829" t="s">
        <v>1063</v>
      </c>
      <c r="G45" s="1830">
        <f>(G43/G44)</f>
        <v>6.9625135864203949E-2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23" sqref="A23:H23"/>
      <selection pane="bottomLeft" activeCell="A5" sqref="A5:F5"/>
    </sheetView>
  </sheetViews>
  <sheetFormatPr defaultColWidth="9.140625" defaultRowHeight="12.75" x14ac:dyDescent="0.2"/>
  <cols>
    <col min="1" max="1" width="54.5703125" style="1898" customWidth="1"/>
    <col min="2" max="2" width="4.140625" style="1898" customWidth="1"/>
    <col min="3" max="4" width="9.7109375" style="1869" customWidth="1"/>
    <col min="5" max="5" width="12.5703125" style="1899" customWidth="1"/>
    <col min="6" max="6" width="67.5703125" style="1869" customWidth="1"/>
    <col min="7" max="7" width="9.140625" style="1869" customWidth="1"/>
    <col min="8" max="8" width="5.7109375" style="1900" bestFit="1" customWidth="1"/>
    <col min="9" max="9" width="3.42578125" style="1900" bestFit="1" customWidth="1"/>
    <col min="10" max="10" width="2.28515625" style="1900" bestFit="1" customWidth="1"/>
    <col min="11" max="11" width="9" style="1900" customWidth="1"/>
    <col min="12" max="16384" width="9.140625" style="1869"/>
  </cols>
  <sheetData>
    <row r="1" spans="1:10" x14ac:dyDescent="0.2">
      <c r="A1" s="2533" t="s">
        <v>1446</v>
      </c>
      <c r="B1" s="2533"/>
      <c r="C1" s="2533"/>
      <c r="D1" s="2533"/>
      <c r="E1" s="2533"/>
      <c r="F1" s="2533"/>
    </row>
    <row r="2" spans="1:10" x14ac:dyDescent="0.2">
      <c r="A2" s="1909" t="s">
        <v>2045</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534" t="s">
        <v>1627</v>
      </c>
      <c r="B5" s="2535"/>
      <c r="C5" s="2536"/>
      <c r="D5" s="2536"/>
      <c r="E5" s="2536"/>
      <c r="F5" s="2536"/>
    </row>
    <row r="6" spans="1:10" ht="12" customHeight="1" x14ac:dyDescent="0.25">
      <c r="A6" s="1872"/>
      <c r="B6" s="1873"/>
      <c r="C6" s="2537" t="str">
        <f>COVER!A17</f>
        <v>West Central Illinois Special Education Coop</v>
      </c>
      <c r="D6" s="2537"/>
      <c r="E6" s="2537"/>
      <c r="F6" s="1874"/>
    </row>
    <row r="7" spans="1:10" ht="11.25" customHeight="1" thickBot="1" x14ac:dyDescent="0.3">
      <c r="A7" s="1872"/>
      <c r="B7" s="1873"/>
      <c r="C7" s="2538">
        <f>COVER!A13</f>
        <v>26062000061</v>
      </c>
      <c r="D7" s="2538"/>
      <c r="E7" s="2538"/>
      <c r="F7" s="1874"/>
    </row>
    <row r="8" spans="1:10" ht="25.5" customHeight="1" thickBot="1" x14ac:dyDescent="0.25">
      <c r="A8" s="1915" t="s">
        <v>2022</v>
      </c>
      <c r="B8" s="1875"/>
      <c r="C8" s="1911" t="s">
        <v>1780</v>
      </c>
      <c r="D8" s="1910" t="s">
        <v>1781</v>
      </c>
      <c r="E8" s="1912" t="s">
        <v>1447</v>
      </c>
      <c r="F8" s="1910" t="s">
        <v>1782</v>
      </c>
      <c r="H8" s="1876" t="b">
        <v>0</v>
      </c>
    </row>
    <row r="9" spans="1:10" ht="15.9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t="s">
        <v>2091</v>
      </c>
      <c r="D16" s="1887" t="s">
        <v>2091</v>
      </c>
      <c r="E16" s="1890"/>
      <c r="F16" s="1889" t="s">
        <v>2092</v>
      </c>
      <c r="H16" s="1900">
        <f t="shared" si="0"/>
        <v>5</v>
      </c>
      <c r="I16" s="1900">
        <f t="shared" si="1"/>
        <v>5</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2091</v>
      </c>
      <c r="D26" s="1887" t="s">
        <v>2091</v>
      </c>
      <c r="E26" s="1890"/>
      <c r="F26" s="1889" t="s">
        <v>2093</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t="s">
        <v>2091</v>
      </c>
      <c r="D30" s="1887" t="s">
        <v>2091</v>
      </c>
      <c r="E30" s="1890"/>
      <c r="F30" s="1889" t="s">
        <v>2094</v>
      </c>
      <c r="H30" s="1900">
        <f t="shared" si="0"/>
        <v>5</v>
      </c>
      <c r="I30" s="1900">
        <f t="shared" si="1"/>
        <v>5</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15</v>
      </c>
      <c r="I34" s="1900">
        <f>SUM(I11:I32)</f>
        <v>15</v>
      </c>
      <c r="J34" s="1900">
        <f>SUM(J11:J32)</f>
        <v>0</v>
      </c>
      <c r="K34" s="1900">
        <f>SUM(H34:J34)</f>
        <v>30</v>
      </c>
    </row>
    <row r="35" spans="1:11" ht="12" customHeight="1" x14ac:dyDescent="0.2">
      <c r="A35" s="1893" t="s">
        <v>1459</v>
      </c>
      <c r="B35" s="1894"/>
      <c r="C35" s="2539"/>
      <c r="D35" s="2539"/>
      <c r="E35" s="2539"/>
      <c r="F35" s="2540"/>
    </row>
    <row r="36" spans="1:11" ht="12" customHeight="1" x14ac:dyDescent="0.2">
      <c r="A36" s="2522"/>
      <c r="B36" s="2523"/>
      <c r="C36" s="2523"/>
      <c r="D36" s="2523"/>
      <c r="E36" s="2523"/>
      <c r="F36" s="2524"/>
    </row>
    <row r="37" spans="1:11" ht="12" customHeight="1" x14ac:dyDescent="0.2">
      <c r="A37" s="2522"/>
      <c r="B37" s="2523"/>
      <c r="C37" s="2523"/>
      <c r="D37" s="2523"/>
      <c r="E37" s="2523"/>
      <c r="F37" s="2524"/>
    </row>
    <row r="38" spans="1:11" ht="12" customHeight="1" x14ac:dyDescent="0.2">
      <c r="A38" s="2525"/>
      <c r="B38" s="2526"/>
      <c r="C38" s="2526"/>
      <c r="D38" s="2526"/>
      <c r="E38" s="2526"/>
      <c r="F38" s="2527"/>
    </row>
    <row r="39" spans="1:11" ht="4.5" hidden="1" customHeight="1" x14ac:dyDescent="0.2">
      <c r="A39" s="1895"/>
      <c r="B39" s="1895"/>
      <c r="C39" s="1895"/>
      <c r="D39" s="1895"/>
      <c r="E39" s="1895"/>
      <c r="F39" s="1895"/>
    </row>
    <row r="40" spans="1:11" s="1892" customFormat="1" ht="12" customHeight="1" x14ac:dyDescent="0.25">
      <c r="A40" s="1896" t="s">
        <v>1458</v>
      </c>
      <c r="B40" s="1897"/>
      <c r="C40" s="2528"/>
      <c r="D40" s="2528"/>
      <c r="E40" s="2528"/>
      <c r="F40" s="2529"/>
      <c r="H40" s="1901"/>
      <c r="I40" s="1901"/>
      <c r="J40" s="1901"/>
      <c r="K40" s="1901"/>
    </row>
    <row r="41" spans="1:11" s="1892" customFormat="1" ht="12" customHeight="1" x14ac:dyDescent="0.25">
      <c r="A41" s="2530" t="s">
        <v>2095</v>
      </c>
      <c r="B41" s="2531"/>
      <c r="C41" s="2531"/>
      <c r="D41" s="2531"/>
      <c r="E41" s="2531"/>
      <c r="F41" s="2532"/>
      <c r="H41" s="1901"/>
      <c r="I41" s="1901"/>
      <c r="J41" s="1901"/>
      <c r="K41" s="1901"/>
    </row>
    <row r="42" spans="1:11" s="1892" customFormat="1" ht="12" customHeight="1" x14ac:dyDescent="0.25">
      <c r="A42" s="2530" t="s">
        <v>2096</v>
      </c>
      <c r="B42" s="2531"/>
      <c r="C42" s="2531"/>
      <c r="D42" s="2531"/>
      <c r="E42" s="2531"/>
      <c r="F42" s="2532"/>
      <c r="H42" s="1901"/>
      <c r="I42" s="1901"/>
      <c r="J42" s="1901"/>
      <c r="K42" s="1901"/>
    </row>
    <row r="43" spans="1:11" s="1892" customFormat="1" ht="15" x14ac:dyDescent="0.25">
      <c r="A43" s="2519"/>
      <c r="B43" s="2520"/>
      <c r="C43" s="2520"/>
      <c r="D43" s="2520"/>
      <c r="E43" s="2520"/>
      <c r="F43" s="2521"/>
      <c r="H43" s="1901"/>
      <c r="I43" s="1901"/>
      <c r="J43" s="1901"/>
      <c r="K43" s="1901"/>
    </row>
    <row r="44" spans="1:11" s="1892" customFormat="1" ht="12" hidden="1" customHeight="1" x14ac:dyDescent="0.25">
      <c r="A44" s="2519"/>
      <c r="B44" s="2520"/>
      <c r="C44" s="2520"/>
      <c r="D44" s="2520"/>
      <c r="E44" s="2520"/>
      <c r="F44" s="2521"/>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9"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546" t="str">
        <f>COVER!A17</f>
        <v>West Central Illinois Special Education Coop</v>
      </c>
      <c r="J6" s="2547"/>
      <c r="Q6" s="1683"/>
    </row>
    <row r="7" spans="1:17" x14ac:dyDescent="0.2">
      <c r="A7" s="2548" t="s">
        <v>924</v>
      </c>
      <c r="B7" s="2549"/>
      <c r="C7" s="2549"/>
      <c r="D7" s="2549"/>
      <c r="E7" s="2550"/>
      <c r="F7" s="1016"/>
      <c r="G7" s="1008"/>
      <c r="H7" s="1015" t="s">
        <v>390</v>
      </c>
      <c r="I7" s="2551">
        <f>COVER!A13</f>
        <v>26062000061</v>
      </c>
      <c r="J7" s="2551"/>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552" t="s">
        <v>502</v>
      </c>
      <c r="B11" s="2553"/>
      <c r="C11" s="2554"/>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189123</v>
      </c>
      <c r="F12" s="1038"/>
      <c r="G12" s="1831">
        <f t="shared" ref="G12:G18" si="0">SUM(E12:F12)</f>
        <v>189123</v>
      </c>
      <c r="H12" s="1039"/>
      <c r="I12" s="1038"/>
      <c r="J12" s="1831">
        <f t="shared" ref="J12:J18" si="1">SUM(H12:I12)</f>
        <v>0</v>
      </c>
    </row>
    <row r="13" spans="1:17" ht="15" customHeight="1" x14ac:dyDescent="0.2">
      <c r="A13" s="1034">
        <v>2</v>
      </c>
      <c r="B13" s="1035" t="s">
        <v>44</v>
      </c>
      <c r="C13" s="1036"/>
      <c r="D13" s="1037">
        <v>2330</v>
      </c>
      <c r="E13" s="1831">
        <f>'Expenditures 15-22'!K51</f>
        <v>541161</v>
      </c>
      <c r="F13" s="1038"/>
      <c r="G13" s="1831">
        <f t="shared" si="0"/>
        <v>541161</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13804</v>
      </c>
      <c r="F15" s="1831">
        <f>'Expenditures 15-22'!K122</f>
        <v>0</v>
      </c>
      <c r="G15" s="1831">
        <f t="shared" si="0"/>
        <v>13804</v>
      </c>
      <c r="H15" s="1039"/>
      <c r="I15" s="1039"/>
      <c r="J15" s="1831">
        <f t="shared" si="1"/>
        <v>0</v>
      </c>
    </row>
    <row r="16" spans="1:17" ht="15" customHeight="1" x14ac:dyDescent="0.2">
      <c r="A16" s="1034">
        <v>5</v>
      </c>
      <c r="B16" s="1035" t="s">
        <v>103</v>
      </c>
      <c r="C16" s="1036"/>
      <c r="D16" s="1037">
        <v>2570</v>
      </c>
      <c r="E16" s="1831">
        <f>'Expenditures 15-22'!K64</f>
        <v>11863</v>
      </c>
      <c r="F16" s="1038"/>
      <c r="G16" s="1831">
        <f t="shared" si="0"/>
        <v>11863</v>
      </c>
      <c r="H16" s="1039"/>
      <c r="I16" s="1038"/>
      <c r="J16" s="1831">
        <f t="shared" si="1"/>
        <v>0</v>
      </c>
    </row>
    <row r="17" spans="1:10" ht="15" customHeight="1" x14ac:dyDescent="0.2">
      <c r="A17" s="1034">
        <v>6</v>
      </c>
      <c r="B17" s="1035" t="s">
        <v>1120</v>
      </c>
      <c r="C17" s="1036"/>
      <c r="D17" s="1037">
        <v>2610</v>
      </c>
      <c r="E17" s="1831">
        <f>'Expenditures 15-22'!K67</f>
        <v>86398</v>
      </c>
      <c r="F17" s="1038"/>
      <c r="G17" s="1831">
        <f t="shared" si="0"/>
        <v>86398</v>
      </c>
      <c r="H17" s="1039"/>
      <c r="I17" s="1038"/>
      <c r="J17" s="1831">
        <f t="shared" si="1"/>
        <v>0</v>
      </c>
    </row>
    <row r="18" spans="1:10" ht="22.5" customHeight="1" x14ac:dyDescent="0.2">
      <c r="A18" s="1041">
        <v>7</v>
      </c>
      <c r="B18" s="2555" t="s">
        <v>7</v>
      </c>
      <c r="C18" s="2556"/>
      <c r="D18" s="2557"/>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842349</v>
      </c>
      <c r="F19" s="1833">
        <f t="shared" si="2"/>
        <v>0</v>
      </c>
      <c r="G19" s="1833">
        <f t="shared" si="2"/>
        <v>842349</v>
      </c>
      <c r="H19" s="1833">
        <f t="shared" si="2"/>
        <v>0</v>
      </c>
      <c r="I19" s="1833">
        <f t="shared" si="2"/>
        <v>0</v>
      </c>
      <c r="J19" s="1833">
        <f t="shared" si="2"/>
        <v>0</v>
      </c>
    </row>
    <row r="20" spans="1:10" ht="13.5" thickTop="1" x14ac:dyDescent="0.2">
      <c r="A20" s="1034">
        <v>9</v>
      </c>
      <c r="B20" s="2558" t="s">
        <v>1703</v>
      </c>
      <c r="C20" s="2558"/>
      <c r="D20" s="2559"/>
      <c r="E20" s="1045"/>
      <c r="F20" s="1045"/>
      <c r="G20" s="1045"/>
      <c r="H20" s="1045"/>
      <c r="I20" s="1045"/>
      <c r="J20" s="1834" t="str">
        <f>IF(AND(G19&gt;0,J19&gt;0),(((J19-G19)/G19)),"Enter Budget Data")</f>
        <v>Enter Budget Data</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564"/>
      <c r="D26" s="2564"/>
      <c r="E26" s="1049"/>
      <c r="F26" s="2563"/>
      <c r="G26" s="2563"/>
    </row>
    <row r="27" spans="1:10" x14ac:dyDescent="0.2">
      <c r="B27" s="1046"/>
      <c r="C27" s="1050" t="s">
        <v>1093</v>
      </c>
      <c r="D27" s="1051"/>
      <c r="E27" s="1052"/>
      <c r="F27" s="2560" t="s">
        <v>1589</v>
      </c>
      <c r="G27" s="2560"/>
    </row>
    <row r="28" spans="1:10" ht="28.5" customHeight="1" x14ac:dyDescent="0.2">
      <c r="B28" s="1046"/>
      <c r="C28" s="2562"/>
      <c r="D28" s="2562"/>
      <c r="E28" s="1053"/>
      <c r="F28" s="2562"/>
      <c r="G28" s="2562"/>
    </row>
    <row r="29" spans="1:10" x14ac:dyDescent="0.2">
      <c r="B29" s="1046"/>
      <c r="C29" s="1054" t="s">
        <v>1642</v>
      </c>
      <c r="E29" s="1055"/>
      <c r="F29" s="2561" t="s">
        <v>1590</v>
      </c>
      <c r="G29" s="2561"/>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c r="C33" s="2543" t="s">
        <v>134</v>
      </c>
      <c r="D33" s="2544"/>
      <c r="E33" s="2544"/>
      <c r="F33" s="2544"/>
      <c r="G33" s="2544"/>
      <c r="H33" s="2544"/>
      <c r="I33" s="2544"/>
    </row>
    <row r="34" spans="1:10" ht="10.35" customHeight="1" x14ac:dyDescent="0.2">
      <c r="C34" s="2544"/>
      <c r="D34" s="2544"/>
      <c r="E34" s="2544"/>
      <c r="F34" s="2544"/>
      <c r="G34" s="2544"/>
      <c r="H34" s="2544"/>
      <c r="I34" s="2544"/>
    </row>
    <row r="35" spans="1:10" ht="7.5" customHeight="1" x14ac:dyDescent="0.2">
      <c r="C35" s="1061"/>
    </row>
    <row r="36" spans="1:10" ht="13.5" customHeight="1" x14ac:dyDescent="0.2">
      <c r="B36" s="1060"/>
      <c r="C36" s="2545" t="s">
        <v>1941</v>
      </c>
      <c r="D36" s="2544"/>
      <c r="E36" s="2544"/>
      <c r="F36" s="2544"/>
      <c r="G36" s="2544"/>
      <c r="H36" s="2544"/>
      <c r="I36" s="2544"/>
      <c r="J36" s="1062"/>
    </row>
    <row r="37" spans="1:10" ht="22.5" customHeight="1" x14ac:dyDescent="0.2">
      <c r="C37" s="2544"/>
      <c r="D37" s="2544"/>
      <c r="E37" s="2544"/>
      <c r="F37" s="2544"/>
      <c r="G37" s="2544"/>
      <c r="H37" s="2544"/>
      <c r="I37" s="2544"/>
      <c r="J37" s="1062"/>
    </row>
    <row r="38" spans="1:10" ht="7.5" customHeight="1" x14ac:dyDescent="0.2">
      <c r="C38" s="1061"/>
      <c r="D38" s="1063"/>
      <c r="E38" s="1064"/>
      <c r="F38" s="1065"/>
      <c r="G38" s="1064"/>
    </row>
    <row r="39" spans="1:10" ht="13.5" customHeight="1" x14ac:dyDescent="0.2">
      <c r="B39" s="1060"/>
      <c r="C39" s="2541" t="s">
        <v>937</v>
      </c>
      <c r="D39" s="2542"/>
      <c r="E39" s="2542"/>
      <c r="F39" s="2542"/>
      <c r="G39" s="2542"/>
      <c r="H39" s="2542"/>
      <c r="I39" s="2542"/>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2167</v>
      </c>
    </row>
    <row r="6" spans="1:2" x14ac:dyDescent="0.2">
      <c r="A6" s="1067">
        <v>2</v>
      </c>
      <c r="B6" s="329" t="s">
        <v>2168</v>
      </c>
    </row>
    <row r="7" spans="1:2" x14ac:dyDescent="0.2">
      <c r="A7" s="1067">
        <v>3</v>
      </c>
      <c r="B7" s="329" t="s">
        <v>2169</v>
      </c>
    </row>
    <row r="8" spans="1:2" x14ac:dyDescent="0.2">
      <c r="A8" s="1067">
        <v>4</v>
      </c>
      <c r="B8" s="329" t="s">
        <v>2170</v>
      </c>
    </row>
    <row r="9" spans="1:2" x14ac:dyDescent="0.2">
      <c r="A9" s="1067">
        <v>5</v>
      </c>
      <c r="B9" s="329" t="s">
        <v>2166</v>
      </c>
    </row>
    <row r="10" spans="1:2" x14ac:dyDescent="0.2">
      <c r="A10" s="1067"/>
      <c r="B10" s="329" t="s">
        <v>2165</v>
      </c>
    </row>
    <row r="11" spans="1:2" x14ac:dyDescent="0.2">
      <c r="A11" s="1067"/>
    </row>
    <row r="12" spans="1:2" x14ac:dyDescent="0.2">
      <c r="A12" s="1067"/>
    </row>
    <row r="13" spans="1:2" x14ac:dyDescent="0.2">
      <c r="A13" s="1067"/>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hidden="1" x14ac:dyDescent="0.2">
      <c r="A60" s="1067"/>
    </row>
    <row r="61" spans="1:2" hidden="1" x14ac:dyDescent="0.2">
      <c r="A61" s="1067"/>
    </row>
    <row r="62" spans="1:2" hidden="1" x14ac:dyDescent="0.2">
      <c r="A62" s="1067"/>
    </row>
    <row r="63" spans="1:2" x14ac:dyDescent="0.2">
      <c r="A63" s="1067"/>
    </row>
    <row r="64" spans="1:2" x14ac:dyDescent="0.2">
      <c r="A64" s="1067"/>
      <c r="B64" s="258" t="str">
        <f>COVER!A17</f>
        <v>West Central Illinois Special Education Coop</v>
      </c>
    </row>
    <row r="65" spans="2:2" x14ac:dyDescent="0.2">
      <c r="B65" s="1068">
        <f>COVER!A13</f>
        <v>26062000061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6" t="s">
        <v>1709</v>
      </c>
    </row>
    <row r="23" spans="1:5" x14ac:dyDescent="0.2">
      <c r="A23" s="168"/>
      <c r="B23" s="162" t="s">
        <v>1966</v>
      </c>
      <c r="D23" s="167" t="s">
        <v>658</v>
      </c>
      <c r="E23" s="1856"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282" t="s">
        <v>1125</v>
      </c>
      <c r="B35" s="2282"/>
      <c r="C35" s="2282"/>
      <c r="D35" s="2282"/>
      <c r="E35" s="2282"/>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79" t="s">
        <v>715</v>
      </c>
      <c r="B40" s="2279"/>
      <c r="C40" s="2279"/>
      <c r="D40" s="2279"/>
      <c r="E40" s="2279"/>
    </row>
    <row r="41" spans="1:5" x14ac:dyDescent="0.2">
      <c r="A41" s="2280" t="s">
        <v>1706</v>
      </c>
      <c r="B41" s="2280"/>
      <c r="C41" s="2280"/>
      <c r="D41" s="2280"/>
      <c r="E41" s="2280"/>
    </row>
    <row r="42" spans="1:5" ht="12.75" customHeight="1" x14ac:dyDescent="0.2">
      <c r="A42" s="2281" t="s">
        <v>1080</v>
      </c>
      <c r="B42" s="2281"/>
      <c r="C42" s="2281"/>
      <c r="D42" s="2281"/>
      <c r="E42" s="2281"/>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4" t="s">
        <v>1876</v>
      </c>
    </row>
    <row r="60" spans="1:3" x14ac:dyDescent="0.2">
      <c r="A60" s="196"/>
      <c r="B60" s="1504"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6"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5" t="s">
        <v>1717</v>
      </c>
    </row>
    <row r="72" spans="1:9" ht="9.1999999999999993"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71093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2" customHeight="1" x14ac:dyDescent="0.2">
      <c r="A16" s="1071"/>
      <c r="B16" s="1071" t="s">
        <v>1783</v>
      </c>
    </row>
    <row r="17" spans="1:2" ht="6" customHeight="1" x14ac:dyDescent="0.2"/>
    <row r="18" spans="1:2" ht="24.75" customHeight="1" x14ac:dyDescent="0.2">
      <c r="A18" s="2565" t="s">
        <v>1784</v>
      </c>
      <c r="B18" s="256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9938" r:id="rId6"/>
      </mc:Fallback>
    </mc:AlternateContent>
    <mc:AlternateContent xmlns:mc="http://schemas.openxmlformats.org/markup-compatibility/2006">
      <mc:Choice Requires="x14">
        <oleObject progId="Acrobat Document" dvAspect="DVASPECT_ICON" shapeId="39939"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993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7109375" style="316" customWidth="1"/>
    <col min="2" max="6" width="16.7109375" style="316" customWidth="1"/>
    <col min="7" max="16384" width="9.140625" style="316"/>
  </cols>
  <sheetData>
    <row r="1" spans="1:8" ht="48.75" customHeight="1" x14ac:dyDescent="0.2">
      <c r="A1" s="2566" t="s">
        <v>1790</v>
      </c>
      <c r="B1" s="2567"/>
      <c r="C1" s="2567"/>
      <c r="D1" s="2567"/>
      <c r="E1" s="2567"/>
      <c r="F1" s="2568"/>
    </row>
    <row r="2" spans="1:8" ht="45.2" customHeight="1" x14ac:dyDescent="0.2">
      <c r="A2" s="2576" t="s">
        <v>1791</v>
      </c>
      <c r="B2" s="2577"/>
      <c r="C2" s="2577"/>
      <c r="D2" s="2577"/>
      <c r="E2" s="2577"/>
      <c r="F2" s="2578"/>
      <c r="G2" s="1072"/>
      <c r="H2" s="1072"/>
    </row>
    <row r="3" spans="1:8" ht="57" customHeight="1" x14ac:dyDescent="0.2">
      <c r="A3" s="2579" t="s">
        <v>1786</v>
      </c>
      <c r="B3" s="2580"/>
      <c r="C3" s="2580"/>
      <c r="D3" s="2580"/>
      <c r="E3" s="2580"/>
      <c r="F3" s="2581"/>
      <c r="G3" s="1072"/>
      <c r="H3" s="1072"/>
    </row>
    <row r="4" spans="1:8" ht="14.25" customHeight="1" x14ac:dyDescent="0.2">
      <c r="A4" s="2585" t="s">
        <v>2053</v>
      </c>
      <c r="B4" s="2586"/>
      <c r="C4" s="2586"/>
      <c r="D4" s="2586"/>
      <c r="E4" s="2586"/>
      <c r="F4" s="2587"/>
      <c r="G4" s="1072"/>
      <c r="H4" s="1072"/>
    </row>
    <row r="5" spans="1:8" ht="14.25" customHeight="1" x14ac:dyDescent="0.2">
      <c r="A5" s="2588" t="s">
        <v>2054</v>
      </c>
      <c r="B5" s="2589"/>
      <c r="C5" s="2589"/>
      <c r="D5" s="2589"/>
      <c r="E5" s="2589"/>
      <c r="F5" s="2590"/>
      <c r="G5" s="1072"/>
      <c r="H5" s="1072"/>
    </row>
    <row r="6" spans="1:8" s="1073" customFormat="1" ht="41.45" customHeight="1" x14ac:dyDescent="0.2">
      <c r="A6" s="2582" t="s">
        <v>1792</v>
      </c>
      <c r="B6" s="2583"/>
      <c r="C6" s="2583"/>
      <c r="D6" s="2583"/>
      <c r="E6" s="2583"/>
      <c r="F6" s="2584"/>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9427434</v>
      </c>
      <c r="C8" s="1835">
        <f>'Acct Summary 7-8'!D8</f>
        <v>0</v>
      </c>
      <c r="D8" s="1835">
        <f>'Acct Summary 7-8'!F8</f>
        <v>0</v>
      </c>
      <c r="E8" s="1835">
        <f>'Acct Summary 7-8'!I8</f>
        <v>0</v>
      </c>
      <c r="F8" s="1835">
        <f>SUM(B8:E8)</f>
        <v>9427434</v>
      </c>
    </row>
    <row r="9" spans="1:8" s="1077" customFormat="1" ht="14.25" customHeight="1" thickBot="1" x14ac:dyDescent="0.25">
      <c r="A9" s="1076" t="s">
        <v>1436</v>
      </c>
      <c r="B9" s="1836">
        <f>'Acct Summary 7-8'!C17</f>
        <v>9774300</v>
      </c>
      <c r="C9" s="1836">
        <f>'Acct Summary 7-8'!D17</f>
        <v>0</v>
      </c>
      <c r="D9" s="1836">
        <f>'Acct Summary 7-8'!F17</f>
        <v>0</v>
      </c>
      <c r="E9" s="1835"/>
      <c r="F9" s="1835">
        <f>SUM(B9:E9)</f>
        <v>9774300</v>
      </c>
    </row>
    <row r="10" spans="1:8" s="1077" customFormat="1" ht="14.25" thickTop="1" thickBot="1" x14ac:dyDescent="0.25">
      <c r="A10" s="1078" t="s">
        <v>1437</v>
      </c>
      <c r="B10" s="1837">
        <f>(B8-B9)</f>
        <v>-346866</v>
      </c>
      <c r="C10" s="1837">
        <f>(C8-C9)</f>
        <v>0</v>
      </c>
      <c r="D10" s="1837">
        <f>(D8-D9)</f>
        <v>0</v>
      </c>
      <c r="E10" s="1836">
        <f>(E8-E9)</f>
        <v>0</v>
      </c>
      <c r="F10" s="1838">
        <f>SUM(F8-F9)</f>
        <v>-346866</v>
      </c>
    </row>
    <row r="11" spans="1:8" s="1077" customFormat="1" ht="14.25" thickTop="1" thickBot="1" x14ac:dyDescent="0.25">
      <c r="A11" s="1079" t="s">
        <v>1785</v>
      </c>
      <c r="B11" s="1839">
        <f>'Acct Summary 7-8'!C81</f>
        <v>1577020</v>
      </c>
      <c r="C11" s="1839">
        <f>'Acct Summary 7-8'!D81</f>
        <v>0</v>
      </c>
      <c r="D11" s="1839">
        <f>'Acct Summary 7-8'!F81</f>
        <v>0</v>
      </c>
      <c r="E11" s="1839">
        <f>'Acct Summary 7-8'!I81</f>
        <v>0</v>
      </c>
      <c r="F11" s="1840">
        <f>SUM(B11:E11)</f>
        <v>1577020</v>
      </c>
    </row>
    <row r="12" spans="1:8" ht="16.5" customHeight="1" thickTop="1" x14ac:dyDescent="0.2">
      <c r="A12" s="1080"/>
      <c r="B12" s="1081"/>
      <c r="C12" s="2570" t="str">
        <f>IF(AND(F10&lt;0,F11&gt;=0,ABS(F10*3)&gt;ABS(F11)),A16,IF(AND(F10&lt;0,F11&gt;0,ABS(F10*3)&lt;=ABS(F11)),A17,IF(AND(F10&lt;0,F11&lt;0),A16,IF(F11=0,A19,A18))))</f>
        <v>Unbalanced -  however, a deficit reduction plan is not required at this time.</v>
      </c>
      <c r="D12" s="2571"/>
      <c r="E12" s="2571"/>
      <c r="F12" s="2572"/>
    </row>
    <row r="13" spans="1:8" ht="19.7" customHeight="1" x14ac:dyDescent="0.2">
      <c r="A13" s="1082"/>
      <c r="B13" s="1083"/>
      <c r="C13" s="2570"/>
      <c r="D13" s="2571"/>
      <c r="E13" s="2571"/>
      <c r="F13" s="2572"/>
      <c r="H13" s="1072"/>
    </row>
    <row r="14" spans="1:8" ht="19.7" customHeight="1" x14ac:dyDescent="0.2">
      <c r="A14" s="1082"/>
      <c r="B14" s="1083"/>
      <c r="C14" s="2570"/>
      <c r="D14" s="2571"/>
      <c r="E14" s="2571"/>
      <c r="F14" s="2572"/>
      <c r="H14" s="1072"/>
    </row>
    <row r="15" spans="1:8" ht="17.25" customHeight="1" x14ac:dyDescent="0.2">
      <c r="A15" s="1082"/>
      <c r="B15" s="1083"/>
      <c r="C15" s="2573"/>
      <c r="D15" s="2574"/>
      <c r="E15" s="2574"/>
      <c r="F15" s="2575"/>
      <c r="H15" s="1072"/>
    </row>
    <row r="16" spans="1:8" s="310" customFormat="1" ht="51.95" hidden="1" customHeight="1" x14ac:dyDescent="0.2">
      <c r="A16" s="2569" t="s">
        <v>1787</v>
      </c>
      <c r="B16" s="2569"/>
      <c r="C16" s="2569"/>
      <c r="D16" s="2569"/>
      <c r="E16" s="2569"/>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0" sqref="D80"/>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591" t="s">
        <v>686</v>
      </c>
      <c r="B3" s="2592"/>
      <c r="C3" s="2592"/>
      <c r="D3" s="2593"/>
    </row>
    <row r="4" spans="1:4" x14ac:dyDescent="0.2">
      <c r="A4" s="1150" t="s">
        <v>1793</v>
      </c>
      <c r="B4" s="1151"/>
      <c r="C4" s="1152"/>
      <c r="D4" s="1153"/>
    </row>
    <row r="5" spans="1:4" ht="21" customHeight="1" x14ac:dyDescent="0.2">
      <c r="A5" s="1146"/>
      <c r="B5" s="1147">
        <v>1</v>
      </c>
      <c r="C5" s="1148" t="s">
        <v>1943</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602" t="s">
        <v>1584</v>
      </c>
      <c r="D7" s="2603"/>
    </row>
    <row r="8" spans="1:4" s="667" customFormat="1" ht="12.75" x14ac:dyDescent="0.2">
      <c r="A8" s="1136"/>
      <c r="B8" s="1091"/>
      <c r="C8" s="1094" t="s">
        <v>1583</v>
      </c>
      <c r="D8" s="1095"/>
    </row>
    <row r="9" spans="1:4" s="667" customFormat="1" ht="14.25" customHeight="1" x14ac:dyDescent="0.2">
      <c r="A9" s="1136"/>
      <c r="B9" s="1091">
        <f>B7+1</f>
        <v>4</v>
      </c>
      <c r="C9" s="1092" t="s">
        <v>2046</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594" t="s">
        <v>1065</v>
      </c>
      <c r="B15" s="2595"/>
      <c r="C15" s="2595"/>
      <c r="D15" s="2596"/>
    </row>
    <row r="16" spans="1:4" s="667" customFormat="1" ht="24" customHeight="1" x14ac:dyDescent="0.2">
      <c r="A16" s="2597" t="s">
        <v>684</v>
      </c>
      <c r="B16" s="2598"/>
      <c r="C16" s="2598"/>
      <c r="D16" s="2599"/>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606" t="s">
        <v>332</v>
      </c>
      <c r="D21" s="2607"/>
    </row>
    <row r="22" spans="1:10" ht="12.75" x14ac:dyDescent="0.2">
      <c r="A22" s="1137"/>
      <c r="B22" s="1138">
        <v>2</v>
      </c>
      <c r="C22" s="2604" t="s">
        <v>1605</v>
      </c>
      <c r="D22" s="2605"/>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75"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608" t="s">
        <v>557</v>
      </c>
      <c r="D43" s="2609"/>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600" t="s">
        <v>817</v>
      </c>
      <c r="D56" s="2601"/>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2047</v>
      </c>
      <c r="D66" s="1123"/>
    </row>
    <row r="67" spans="1:4" x14ac:dyDescent="0.2">
      <c r="A67" s="1117"/>
      <c r="B67" s="1138"/>
      <c r="C67" s="1145" t="s">
        <v>1079</v>
      </c>
      <c r="D67" s="1123"/>
    </row>
    <row r="68" spans="1:4" x14ac:dyDescent="0.2">
      <c r="A68" s="1098"/>
      <c r="B68" s="1108"/>
      <c r="C68" s="1100" t="s">
        <v>2048</v>
      </c>
      <c r="D68" s="1122" t="str">
        <f>IF('Short-Term Long-Term Debt 24'!F49=SUM(,'Acct Summary 7-8'!C33:K33),"OK","ERROR!")</f>
        <v>OK</v>
      </c>
    </row>
    <row r="69" spans="1:4" x14ac:dyDescent="0.2">
      <c r="A69" s="1098"/>
      <c r="B69" s="1108"/>
      <c r="C69" s="1100" t="s">
        <v>2049</v>
      </c>
      <c r="D69" s="1122" t="str">
        <f>IF('Expenditures 15-22'!H170&lt;&gt;'Short-Term Long-Term Debt 24'!H49,"ERROR!","OK")</f>
        <v>OK</v>
      </c>
    </row>
    <row r="70" spans="1:4" x14ac:dyDescent="0.2">
      <c r="A70" s="1096"/>
      <c r="B70" s="1118">
        <f>B66+1</f>
        <v>9</v>
      </c>
      <c r="C70" s="2600" t="s">
        <v>1797</v>
      </c>
      <c r="D70" s="2601"/>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2050</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2051</v>
      </c>
      <c r="D78" s="1122" t="str">
        <f>IF(ISNUMBER('Acct Summary 7-8'!C9),"OK","ENTRY IS REQUIRED!")</f>
        <v>OK</v>
      </c>
    </row>
    <row r="79" spans="1:4" x14ac:dyDescent="0.2">
      <c r="A79" s="1117"/>
      <c r="B79" s="1118">
        <f>B74+1+1</f>
        <v>12</v>
      </c>
      <c r="C79" s="1128" t="s">
        <v>2016</v>
      </c>
      <c r="D79" s="1129" t="str">
        <f>IF(OR(COVER!$B$6="X",'PCTC-OEPP 27-28'!F78&gt;0),"OK","PLEASE ENTER 9 MO ADA.")</f>
        <v>OK</v>
      </c>
    </row>
    <row r="80" spans="1:4" x14ac:dyDescent="0.2">
      <c r="A80" s="1096"/>
      <c r="B80" s="1118">
        <v>13</v>
      </c>
      <c r="C80" s="1128" t="s">
        <v>2052</v>
      </c>
      <c r="D80" s="1129" t="str">
        <f>IF('Contracts Paid in CY 29'!D141&gt;0,"OK","PLEASE ENTER CONTRACTS PAID IN CURRENT YEAR.")</f>
        <v>PLEASE ENTER CONTRACTS PAID IN CURRENT YEAR.</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26062000061</v>
      </c>
    </row>
    <row r="3" spans="1:2" x14ac:dyDescent="0.2">
      <c r="A3" t="s">
        <v>1013</v>
      </c>
      <c r="B3" s="138" t="str">
        <f>COVER!A15</f>
        <v>McDonough</v>
      </c>
    </row>
    <row r="4" spans="1:2" x14ac:dyDescent="0.2">
      <c r="A4" t="s">
        <v>1064</v>
      </c>
      <c r="B4" s="138" t="str">
        <f>COVER!A17</f>
        <v>West Central Illinois Special Education Coop</v>
      </c>
    </row>
    <row r="5" spans="1:2" x14ac:dyDescent="0.2">
      <c r="A5" t="s">
        <v>728</v>
      </c>
      <c r="B5" s="138" t="str">
        <f>COVER!A38</f>
        <v>Leyona Wiley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6250</v>
      </c>
      <c r="D76" s="2" t="str">
        <f t="shared" si="0"/>
        <v>Error?</v>
      </c>
    </row>
    <row r="77" spans="1:4" x14ac:dyDescent="0.2">
      <c r="A77" s="5">
        <v>16</v>
      </c>
      <c r="B77" s="138">
        <f>'Assets-Liab 5-6'!C13</f>
        <v>1577020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1577020</v>
      </c>
      <c r="D92" s="2" t="str">
        <f t="shared" si="0"/>
        <v>Error?</v>
      </c>
    </row>
    <row r="93" spans="1:4" x14ac:dyDescent="0.2">
      <c r="A93" s="5">
        <v>32</v>
      </c>
      <c r="B93" s="138">
        <f>'Assets-Liab 5-6'!C41</f>
        <v>1577020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227629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227629</v>
      </c>
      <c r="C279" s="2" t="s">
        <v>594</v>
      </c>
      <c r="D279" s="2" t="str">
        <f t="shared" si="3"/>
        <v>Error?</v>
      </c>
    </row>
    <row r="280" spans="1:4" x14ac:dyDescent="0.2">
      <c r="A280" s="5">
        <v>219</v>
      </c>
      <c r="B280" s="138">
        <f>'Assets-Liab 5-6'!M40</f>
        <v>227629</v>
      </c>
      <c r="D280" s="2" t="str">
        <f t="shared" si="3"/>
        <v>Error?</v>
      </c>
    </row>
    <row r="281" spans="1:4" x14ac:dyDescent="0.2">
      <c r="A281" s="5">
        <v>220</v>
      </c>
      <c r="B281" s="138">
        <f>'Assets-Liab 5-6'!M41</f>
        <v>227629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46565</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3548341</v>
      </c>
      <c r="C720" s="2" t="s">
        <v>594</v>
      </c>
      <c r="D720" s="2" t="str">
        <f t="shared" si="10"/>
        <v>Error?</v>
      </c>
    </row>
    <row r="721" spans="1:4" x14ac:dyDescent="0.2">
      <c r="A721" s="5">
        <v>660</v>
      </c>
      <c r="B721" s="138">
        <f>'Expenditures 15-22'!C36</f>
        <v>769143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748948</v>
      </c>
      <c r="D723" s="2" t="str">
        <f t="shared" si="10"/>
        <v>Error?</v>
      </c>
    </row>
    <row r="724" spans="1:4" x14ac:dyDescent="0.2">
      <c r="A724" s="5">
        <v>663</v>
      </c>
      <c r="B724" s="138">
        <f>'Expenditures 15-22'!C39</f>
        <v>47462</v>
      </c>
      <c r="D724" s="2" t="str">
        <f t="shared" si="10"/>
        <v>Error?</v>
      </c>
    </row>
    <row r="725" spans="1:4" x14ac:dyDescent="0.2">
      <c r="A725" s="5">
        <v>664</v>
      </c>
      <c r="B725" s="138">
        <f>'Expenditures 15-22'!C40</f>
        <v>207227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1772780</v>
      </c>
      <c r="C727" s="2" t="s">
        <v>594</v>
      </c>
      <c r="D727" s="2" t="str">
        <f t="shared" si="10"/>
        <v>Error?</v>
      </c>
    </row>
    <row r="728" spans="1:4" x14ac:dyDescent="0.2">
      <c r="A728" s="5">
        <v>667</v>
      </c>
      <c r="B728" s="138">
        <f>'Expenditures 15-22'!C44</f>
        <v>189482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189482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128540</v>
      </c>
      <c r="D733" s="2" t="str">
        <f t="shared" si="10"/>
        <v>Error?</v>
      </c>
    </row>
    <row r="734" spans="1:4" x14ac:dyDescent="0.2">
      <c r="A734" s="5">
        <v>673</v>
      </c>
      <c r="B734" s="138">
        <f>'Expenditures 15-22'!C53</f>
        <v>487653</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121428</v>
      </c>
      <c r="D739" s="2" t="str">
        <f t="shared" si="10"/>
        <v>Error?</v>
      </c>
    </row>
    <row r="740" spans="1:4" x14ac:dyDescent="0.2">
      <c r="A740" s="5">
        <v>679</v>
      </c>
      <c r="B740" s="138">
        <f>'Expenditures 15-22'!C61</f>
        <v>68715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190143</v>
      </c>
      <c r="C745" s="2" t="s">
        <v>594</v>
      </c>
      <c r="D745" s="2" t="str">
        <f t="shared" si="10"/>
        <v>Error?</v>
      </c>
    </row>
    <row r="746" spans="1:4" x14ac:dyDescent="0.2">
      <c r="A746" s="5">
        <v>685</v>
      </c>
      <c r="B746" s="138">
        <f>'Expenditures 15-22'!C67</f>
        <v>66776</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66776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2706834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6255175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23289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1533601</v>
      </c>
      <c r="C778" s="2" t="s">
        <v>594</v>
      </c>
      <c r="D778" s="2" t="str">
        <f t="shared" si="11"/>
        <v>Error?</v>
      </c>
    </row>
    <row r="779" spans="1:4" x14ac:dyDescent="0.2">
      <c r="A779" s="5">
        <v>718</v>
      </c>
      <c r="B779" s="138">
        <f>'Expenditures 15-22'!D36</f>
        <v>230879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259152</v>
      </c>
      <c r="D781" s="2" t="str">
        <f t="shared" si="11"/>
        <v>Error?</v>
      </c>
    </row>
    <row r="782" spans="1:4" x14ac:dyDescent="0.2">
      <c r="A782" s="5">
        <v>721</v>
      </c>
      <c r="B782" s="138">
        <f>'Expenditures 15-22'!D39</f>
        <v>11207</v>
      </c>
      <c r="D782" s="2" t="str">
        <f t="shared" si="11"/>
        <v>Error?</v>
      </c>
    </row>
    <row r="783" spans="1:4" x14ac:dyDescent="0.2">
      <c r="A783" s="5">
        <v>722</v>
      </c>
      <c r="B783" s="138">
        <f>'Expenditures 15-22'!D40</f>
        <v>70795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572033</v>
      </c>
      <c r="C785" s="2" t="s">
        <v>594</v>
      </c>
      <c r="D785" s="2" t="str">
        <f t="shared" si="11"/>
        <v>Error?</v>
      </c>
    </row>
    <row r="786" spans="1:4" x14ac:dyDescent="0.2">
      <c r="A786" s="5">
        <v>725</v>
      </c>
      <c r="B786" s="138">
        <f>'Expenditures 15-22'!D44</f>
        <v>77884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77884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28153</v>
      </c>
      <c r="D791" s="2" t="str">
        <f t="shared" si="11"/>
        <v>Error?</v>
      </c>
    </row>
    <row r="792" spans="1:4" x14ac:dyDescent="0.2">
      <c r="A792" s="5">
        <v>731</v>
      </c>
      <c r="B792" s="138">
        <f>'Expenditures 15-22'!D53</f>
        <v>121265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44353</v>
      </c>
      <c r="D797" s="2" t="str">
        <f t="shared" si="11"/>
        <v>Error?</v>
      </c>
    </row>
    <row r="798" spans="1:4" x14ac:dyDescent="0.2">
      <c r="A798" s="5">
        <v>737</v>
      </c>
      <c r="B798" s="138">
        <f>'Expenditures 15-22'!D61</f>
        <v>20422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64775</v>
      </c>
      <c r="C803" s="2" t="s">
        <v>594</v>
      </c>
      <c r="D803" s="2" t="str">
        <f t="shared" si="11"/>
        <v>Error?</v>
      </c>
    </row>
    <row r="804" spans="1:4" x14ac:dyDescent="0.2">
      <c r="A804" s="5">
        <v>743</v>
      </c>
      <c r="B804" s="138">
        <f>'Expenditures 15-22'!D67</f>
        <v>7960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7960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843917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2377518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4745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10332</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76202</v>
      </c>
      <c r="C836" s="2" t="s">
        <v>594</v>
      </c>
      <c r="D836" s="2" t="str">
        <f t="shared" si="12"/>
        <v>Error?</v>
      </c>
    </row>
    <row r="837" spans="1:4" x14ac:dyDescent="0.2">
      <c r="A837" s="5">
        <v>776</v>
      </c>
      <c r="B837" s="138">
        <f>'Expenditures 15-22'!E36</f>
        <v>38013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59658</v>
      </c>
      <c r="D839" s="2" t="str">
        <f t="shared" si="12"/>
        <v>Error?</v>
      </c>
    </row>
    <row r="840" spans="1:4" x14ac:dyDescent="0.2">
      <c r="A840" s="5">
        <v>779</v>
      </c>
      <c r="B840" s="138">
        <f>'Expenditures 15-22'!E39</f>
        <v>1219</v>
      </c>
      <c r="D840" s="2" t="str">
        <f t="shared" si="12"/>
        <v>Error?</v>
      </c>
    </row>
    <row r="841" spans="1:4" x14ac:dyDescent="0.2">
      <c r="A841" s="5">
        <v>780</v>
      </c>
      <c r="B841" s="138">
        <f>'Expenditures 15-22'!E40</f>
        <v>9974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108864</v>
      </c>
      <c r="C843" s="2" t="s">
        <v>594</v>
      </c>
      <c r="D843" s="2" t="str">
        <f t="shared" si="12"/>
        <v>Error?</v>
      </c>
    </row>
    <row r="844" spans="1:4" x14ac:dyDescent="0.2">
      <c r="A844" s="5">
        <v>783</v>
      </c>
      <c r="B844" s="138">
        <f>'Expenditures 15-22'!E44</f>
        <v>112378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112378</v>
      </c>
      <c r="C847" s="2" t="s">
        <v>594</v>
      </c>
      <c r="D847" s="2" t="str">
        <f t="shared" si="12"/>
        <v>Error?</v>
      </c>
    </row>
    <row r="848" spans="1:4" x14ac:dyDescent="0.2">
      <c r="A848" s="5">
        <v>787</v>
      </c>
      <c r="B848" s="138">
        <f>'Expenditures 15-22'!E49</f>
        <v>14817</v>
      </c>
      <c r="D848" s="2" t="str">
        <f t="shared" si="12"/>
        <v>Error?</v>
      </c>
    </row>
    <row r="849" spans="1:4" x14ac:dyDescent="0.2">
      <c r="A849" s="5">
        <v>788</v>
      </c>
      <c r="B849" s="138">
        <f>'Expenditures 15-22'!E50</f>
        <v>32430</v>
      </c>
      <c r="D849" s="2" t="str">
        <f t="shared" si="12"/>
        <v>Error?</v>
      </c>
    </row>
    <row r="850" spans="1:4" x14ac:dyDescent="0.2">
      <c r="A850" s="5">
        <v>789</v>
      </c>
      <c r="B850" s="138">
        <f>'Expenditures 15-22'!E53</f>
        <v>123667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13478</v>
      </c>
      <c r="D854" s="2" t="str">
        <f t="shared" si="12"/>
        <v>Error?</v>
      </c>
    </row>
    <row r="855" spans="1:4" x14ac:dyDescent="0.2">
      <c r="A855" s="5">
        <v>794</v>
      </c>
      <c r="B855" s="138">
        <f>'Expenditures 15-22'!E60</f>
        <v>2937</v>
      </c>
      <c r="D855" s="2" t="str">
        <f t="shared" si="12"/>
        <v>Error?</v>
      </c>
    </row>
    <row r="856" spans="1:4" x14ac:dyDescent="0.2">
      <c r="A856" s="5">
        <v>795</v>
      </c>
      <c r="B856" s="138">
        <f>'Expenditures 15-22'!E61</f>
        <v>276188</v>
      </c>
      <c r="D856" s="2" t="str">
        <f t="shared" si="12"/>
        <v>Error?</v>
      </c>
    </row>
    <row r="857" spans="1:4" x14ac:dyDescent="0.2">
      <c r="A857" s="5">
        <v>796</v>
      </c>
      <c r="B857" s="138">
        <f>'Expenditures 15-22'!E62</f>
        <v>8623</v>
      </c>
      <c r="D857" s="2" t="str">
        <f t="shared" si="12"/>
        <v>Error?</v>
      </c>
    </row>
    <row r="858" spans="1:4" x14ac:dyDescent="0.2">
      <c r="A858" s="5">
        <v>797</v>
      </c>
      <c r="B858" s="138">
        <f>'Expenditures 15-22'!E63</f>
        <v>29469</v>
      </c>
      <c r="D858" s="2" t="str">
        <f t="shared" si="12"/>
        <v>Error?</v>
      </c>
    </row>
    <row r="859" spans="1:4" x14ac:dyDescent="0.2">
      <c r="A859" s="5">
        <v>798</v>
      </c>
      <c r="B859" s="138">
        <f>'Expenditures 15-22'!E64</f>
        <v>11863</v>
      </c>
      <c r="D859" s="2" t="str">
        <f t="shared" si="12"/>
        <v>Error?</v>
      </c>
    </row>
    <row r="860" spans="1:4" x14ac:dyDescent="0.2">
      <c r="A860" s="10">
        <v>799</v>
      </c>
      <c r="D860" s="2" t="str">
        <f t="shared" si="12"/>
        <v>OK</v>
      </c>
    </row>
    <row r="861" spans="1:4" x14ac:dyDescent="0.2">
      <c r="A861" s="5">
        <v>800</v>
      </c>
      <c r="B861" s="138">
        <f>'Expenditures 15-22'!E65</f>
        <v>342558</v>
      </c>
      <c r="C861" s="2" t="s">
        <v>594</v>
      </c>
      <c r="D861" s="2" t="str">
        <f t="shared" si="12"/>
        <v>Error?</v>
      </c>
    </row>
    <row r="862" spans="1:4" x14ac:dyDescent="0.2">
      <c r="A862" s="5">
        <v>801</v>
      </c>
      <c r="B862" s="138">
        <f>'Expenditures 15-22'!E67</f>
        <v>7898</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466</v>
      </c>
      <c r="D865" s="2" t="str">
        <f t="shared" si="12"/>
        <v>Error?</v>
      </c>
    </row>
    <row r="866" spans="1:4" x14ac:dyDescent="0.2">
      <c r="A866" s="10">
        <v>805</v>
      </c>
      <c r="D866" s="2" t="str">
        <f t="shared" si="12"/>
        <v>OK</v>
      </c>
    </row>
    <row r="867" spans="1:4" x14ac:dyDescent="0.2">
      <c r="A867" s="5">
        <v>806</v>
      </c>
      <c r="B867" s="138">
        <f>'Expenditures 15-22'!E71</f>
        <v>40349</v>
      </c>
      <c r="D867" s="2" t="str">
        <f t="shared" si="12"/>
        <v>Error?</v>
      </c>
    </row>
    <row r="868" spans="1:4" x14ac:dyDescent="0.2">
      <c r="A868" s="10">
        <v>807</v>
      </c>
      <c r="D868" s="2" t="str">
        <f t="shared" si="12"/>
        <v>OK</v>
      </c>
    </row>
    <row r="869" spans="1:4" x14ac:dyDescent="0.2">
      <c r="A869" s="5">
        <v>808</v>
      </c>
      <c r="B869" s="138">
        <f>'Expenditures 15-22'!E72</f>
        <v>48713</v>
      </c>
      <c r="C869" s="2" t="s">
        <v>594</v>
      </c>
      <c r="D869" s="2" t="str">
        <f t="shared" si="12"/>
        <v>Error?</v>
      </c>
    </row>
    <row r="870" spans="1:4" x14ac:dyDescent="0.2">
      <c r="A870" s="5">
        <v>809</v>
      </c>
      <c r="B870" s="138">
        <f>'Expenditures 15-22'!E73</f>
        <v>626</v>
      </c>
      <c r="D870" s="2" t="str">
        <f t="shared" si="12"/>
        <v>Error?</v>
      </c>
    </row>
    <row r="871" spans="1:4" x14ac:dyDescent="0.2">
      <c r="A871" s="5">
        <v>810</v>
      </c>
      <c r="B871" s="138">
        <f>'Expenditures 15-22'!E74</f>
        <v>736806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899453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14197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179</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48359</v>
      </c>
      <c r="C894" s="2" t="s">
        <v>594</v>
      </c>
      <c r="D894" s="2" t="str">
        <f t="shared" si="12"/>
        <v>Error?</v>
      </c>
    </row>
    <row r="895" spans="1:4" x14ac:dyDescent="0.2">
      <c r="A895" s="5">
        <v>834</v>
      </c>
      <c r="B895" s="138">
        <f>'Expenditures 15-22'!F36</f>
        <v>1866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7039</v>
      </c>
      <c r="D897" s="2" t="str">
        <f t="shared" si="13"/>
        <v>Error?</v>
      </c>
    </row>
    <row r="898" spans="1:4" x14ac:dyDescent="0.2">
      <c r="A898" s="5">
        <v>837</v>
      </c>
      <c r="B898" s="138">
        <f>'Expenditures 15-22'!F39</f>
        <v>180</v>
      </c>
      <c r="D898" s="2" t="str">
        <f t="shared" si="13"/>
        <v>Error?</v>
      </c>
    </row>
    <row r="899" spans="1:4" x14ac:dyDescent="0.2">
      <c r="A899" s="5">
        <v>838</v>
      </c>
      <c r="B899" s="138">
        <f>'Expenditures 15-22'!F40</f>
        <v>2674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11759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1783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14299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18371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18371</v>
      </c>
      <c r="C919" s="2" t="s">
        <v>594</v>
      </c>
      <c r="D919" s="2" t="str">
        <f t="shared" si="13"/>
        <v>Error?</v>
      </c>
    </row>
    <row r="920" spans="1:4" x14ac:dyDescent="0.2">
      <c r="A920" s="5">
        <v>859</v>
      </c>
      <c r="B920" s="138">
        <f>'Expenditures 15-22'!F67</f>
        <v>753</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2207</v>
      </c>
      <c r="D925" s="2" t="str">
        <f t="shared" si="13"/>
        <v>Error?</v>
      </c>
    </row>
    <row r="926" spans="1:4" x14ac:dyDescent="0.2">
      <c r="A926" s="10">
        <v>865</v>
      </c>
      <c r="D926" s="2" t="str">
        <f t="shared" si="13"/>
        <v>OK</v>
      </c>
    </row>
    <row r="927" spans="1:4" x14ac:dyDescent="0.2">
      <c r="A927" s="5">
        <v>866</v>
      </c>
      <c r="B927" s="138">
        <f>'Expenditures 15-22'!F72</f>
        <v>2960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47389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95748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7191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7191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22152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22152</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1177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1177</v>
      </c>
      <c r="C977" s="2" t="s">
        <v>594</v>
      </c>
      <c r="D977" s="2" t="str">
        <f t="shared" si="14"/>
        <v>Error?</v>
      </c>
    </row>
    <row r="978" spans="1:4" x14ac:dyDescent="0.2">
      <c r="A978" s="5">
        <v>917</v>
      </c>
      <c r="B978" s="138">
        <f>'Expenditures 15-22'!G67</f>
        <v>3011</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3011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26340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33531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326</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112549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112875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26133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80365</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5213694</v>
      </c>
      <c r="C1108" s="2" t="s">
        <v>594</v>
      </c>
      <c r="D1108" s="2" t="str">
        <f t="shared" si="16"/>
        <v>Error?</v>
      </c>
    </row>
    <row r="1109" spans="1:4" x14ac:dyDescent="0.2">
      <c r="A1109" s="5">
        <v>1048</v>
      </c>
      <c r="B1109" s="138">
        <f>'Expenditures 15-22'!K36</f>
        <v>1039901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1096949</v>
      </c>
      <c r="C1111" s="2" t="s">
        <v>594</v>
      </c>
      <c r="D1111" s="2" t="str">
        <f t="shared" si="16"/>
        <v>Error?</v>
      </c>
    </row>
    <row r="1112" spans="1:4" x14ac:dyDescent="0.2">
      <c r="A1112" s="5">
        <v>1051</v>
      </c>
      <c r="B1112" s="138">
        <f>'Expenditures 15-22'!K39</f>
        <v>60068</v>
      </c>
      <c r="C1112" s="2" t="s">
        <v>594</v>
      </c>
      <c r="D1112" s="2" t="str">
        <f t="shared" si="16"/>
        <v>Error?</v>
      </c>
    </row>
    <row r="1113" spans="1:4" x14ac:dyDescent="0.2">
      <c r="A1113" s="5">
        <v>1052</v>
      </c>
      <c r="B1113" s="138">
        <f>'Expenditures 15-22'!K40</f>
        <v>290670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2487588</v>
      </c>
      <c r="C1115" s="2" t="s">
        <v>594</v>
      </c>
      <c r="D1115" s="2" t="str">
        <f t="shared" si="16"/>
        <v>Error?</v>
      </c>
    </row>
    <row r="1116" spans="1:4" x14ac:dyDescent="0.2">
      <c r="A1116" s="5">
        <v>1055</v>
      </c>
      <c r="B1116" s="138">
        <f>'Expenditures 15-22'!K44</f>
        <v>379744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379744</v>
      </c>
      <c r="C1119" s="2" t="s">
        <v>594</v>
      </c>
      <c r="D1119" s="2" t="str">
        <f t="shared" si="16"/>
        <v>Error?</v>
      </c>
    </row>
    <row r="1120" spans="1:4" x14ac:dyDescent="0.2">
      <c r="A1120" s="5">
        <v>1059</v>
      </c>
      <c r="B1120" s="138">
        <f>'Expenditures 15-22'!K49</f>
        <v>16600</v>
      </c>
      <c r="C1120" s="2" t="s">
        <v>594</v>
      </c>
      <c r="D1120" s="2" t="str">
        <f t="shared" si="16"/>
        <v>Error?</v>
      </c>
    </row>
    <row r="1121" spans="1:4" x14ac:dyDescent="0.2">
      <c r="A1121" s="5">
        <v>1060</v>
      </c>
      <c r="B1121" s="138">
        <f>'Expenditures 15-22'!K50</f>
        <v>189123</v>
      </c>
      <c r="C1121" s="2" t="s">
        <v>594</v>
      </c>
      <c r="D1121" s="2" t="str">
        <f t="shared" si="16"/>
        <v>Error?</v>
      </c>
    </row>
    <row r="1122" spans="1:4" x14ac:dyDescent="0.2">
      <c r="A1122" s="5">
        <v>1061</v>
      </c>
      <c r="B1122" s="138">
        <f>'Expenditures 15-22'!K53</f>
        <v>746884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13804</v>
      </c>
      <c r="C1126" s="2" t="s">
        <v>594</v>
      </c>
      <c r="D1126" s="2" t="str">
        <f t="shared" si="16"/>
        <v>Error?</v>
      </c>
    </row>
    <row r="1127" spans="1:4" x14ac:dyDescent="0.2">
      <c r="A1127" s="5">
        <v>1066</v>
      </c>
      <c r="B1127" s="138">
        <f>'Expenditures 15-22'!K60</f>
        <v>168718</v>
      </c>
      <c r="C1127" s="2" t="s">
        <v>594</v>
      </c>
      <c r="D1127" s="2" t="str">
        <f t="shared" si="16"/>
        <v>Error?</v>
      </c>
    </row>
    <row r="1128" spans="1:4" x14ac:dyDescent="0.2">
      <c r="A1128" s="5">
        <v>1067</v>
      </c>
      <c r="B1128" s="138">
        <f>'Expenditures 15-22'!K61</f>
        <v>384873</v>
      </c>
      <c r="C1128" s="2" t="s">
        <v>594</v>
      </c>
      <c r="D1128" s="2" t="str">
        <f t="shared" si="16"/>
        <v>Error?</v>
      </c>
    </row>
    <row r="1129" spans="1:4" x14ac:dyDescent="0.2">
      <c r="A1129" s="5">
        <v>1068</v>
      </c>
      <c r="B1129" s="138">
        <f>'Expenditures 15-22'!K62</f>
        <v>8623</v>
      </c>
      <c r="C1129" s="2" t="s">
        <v>594</v>
      </c>
      <c r="D1129" s="2" t="str">
        <f t="shared" si="16"/>
        <v>Error?</v>
      </c>
    </row>
    <row r="1130" spans="1:4" x14ac:dyDescent="0.2">
      <c r="A1130" s="5">
        <v>1069</v>
      </c>
      <c r="B1130" s="138">
        <f>'Expenditures 15-22'!K63</f>
        <v>29469</v>
      </c>
      <c r="C1130" s="2" t="s">
        <v>594</v>
      </c>
      <c r="D1130" s="2" t="str">
        <f t="shared" si="16"/>
        <v>Error?</v>
      </c>
    </row>
    <row r="1131" spans="1:4" x14ac:dyDescent="0.2">
      <c r="A1131" s="5">
        <v>1070</v>
      </c>
      <c r="B1131" s="138">
        <f>'Expenditures 15-22'!K64</f>
        <v>11863</v>
      </c>
      <c r="C1131" s="2" t="s">
        <v>594</v>
      </c>
      <c r="D1131" s="2" t="str">
        <f t="shared" si="16"/>
        <v>Error?</v>
      </c>
    </row>
    <row r="1132" spans="1:4" x14ac:dyDescent="0.2">
      <c r="A1132" s="10">
        <v>1071</v>
      </c>
      <c r="D1132" s="2" t="str">
        <f t="shared" si="16"/>
        <v>OK</v>
      </c>
    </row>
    <row r="1133" spans="1:4" x14ac:dyDescent="0.2">
      <c r="A1133" s="5">
        <v>1072</v>
      </c>
      <c r="B1133" s="138">
        <f>'Expenditures 15-22'!K65</f>
        <v>617350</v>
      </c>
      <c r="C1133" s="2" t="s">
        <v>594</v>
      </c>
      <c r="D1133" s="2" t="str">
        <f t="shared" si="16"/>
        <v>Error?</v>
      </c>
    </row>
    <row r="1134" spans="1:4" x14ac:dyDescent="0.2">
      <c r="A1134" s="5">
        <v>1073</v>
      </c>
      <c r="B1134" s="138">
        <f>'Expenditures 15-22'!K67</f>
        <v>86398</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466</v>
      </c>
      <c r="C1137" s="2" t="s">
        <v>594</v>
      </c>
      <c r="D1137" s="2" t="str">
        <f t="shared" si="16"/>
        <v>Error?</v>
      </c>
    </row>
    <row r="1138" spans="1:4" x14ac:dyDescent="0.2">
      <c r="A1138" s="10">
        <v>1077</v>
      </c>
      <c r="D1138" s="2" t="str">
        <f t="shared" si="16"/>
        <v>OK</v>
      </c>
    </row>
    <row r="1139" spans="1:4" x14ac:dyDescent="0.2">
      <c r="A1139" s="5">
        <v>1078</v>
      </c>
      <c r="B1139" s="138">
        <f>'Expenditures 15-22'!K71</f>
        <v>42556</v>
      </c>
      <c r="C1139" s="2" t="s">
        <v>594</v>
      </c>
      <c r="D1139" s="2" t="str">
        <f t="shared" si="16"/>
        <v>Error?</v>
      </c>
    </row>
    <row r="1140" spans="1:4" x14ac:dyDescent="0.2">
      <c r="A1140" s="10">
        <v>1079</v>
      </c>
      <c r="D1140" s="2" t="str">
        <f t="shared" si="16"/>
        <v>OK</v>
      </c>
    </row>
    <row r="1141" spans="1:4" x14ac:dyDescent="0.2">
      <c r="A1141" s="5">
        <v>1080</v>
      </c>
      <c r="B1141" s="138">
        <f>'Expenditures 15-22'!K72</f>
        <v>129420</v>
      </c>
      <c r="C1141" s="2" t="s">
        <v>594</v>
      </c>
      <c r="D1141" s="2" t="str">
        <f t="shared" si="16"/>
        <v>Error?</v>
      </c>
    </row>
    <row r="1142" spans="1:4" x14ac:dyDescent="0.2">
      <c r="A1142" s="5">
        <v>1081</v>
      </c>
      <c r="B1142" s="138">
        <f>'Expenditures 15-22'!K73</f>
        <v>626</v>
      </c>
      <c r="C1142" s="2" t="s">
        <v>594</v>
      </c>
      <c r="D1142" s="2" t="str">
        <f t="shared" si="16"/>
        <v>Error?</v>
      </c>
    </row>
    <row r="1143" spans="1:4" x14ac:dyDescent="0.2">
      <c r="A1143" s="5">
        <v>1082</v>
      </c>
      <c r="B1143" s="138">
        <f>'Expenditures 15-22'!K74</f>
        <v>4361612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198994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9774300</v>
      </c>
      <c r="C1152" s="2" t="s">
        <v>594</v>
      </c>
      <c r="D1152" s="2" t="str">
        <f t="shared" si="17"/>
        <v>Error?</v>
      </c>
    </row>
    <row r="1153" spans="1:4" x14ac:dyDescent="0.2">
      <c r="A1153" s="5">
        <v>1092</v>
      </c>
      <c r="B1153" s="138">
        <f>'Expenditures 15-22'!K115</f>
        <v>-346866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1923886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1577020</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266249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266249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33531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33531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72151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72151</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227629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227629</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227629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227629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86445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4908780</v>
      </c>
      <c r="C2551" s="2" t="s">
        <v>594</v>
      </c>
      <c r="D2551" s="2" t="str">
        <f t="shared" si="38"/>
        <v>Error?</v>
      </c>
    </row>
    <row r="2552" spans="1:4" x14ac:dyDescent="0.2">
      <c r="A2552" s="10">
        <v>2491</v>
      </c>
      <c r="D2552" s="2" t="str">
        <f t="shared" si="38"/>
        <v>OK</v>
      </c>
    </row>
    <row r="2553" spans="1:4" x14ac:dyDescent="0.2">
      <c r="A2553" s="5">
        <v>2492</v>
      </c>
      <c r="B2553" s="138">
        <f>'Acct Summary 7-8'!C6</f>
        <v>1119252</v>
      </c>
      <c r="C2553" s="2" t="s">
        <v>594</v>
      </c>
      <c r="D2553" s="2" t="str">
        <f t="shared" si="38"/>
        <v>Error?</v>
      </c>
    </row>
    <row r="2554" spans="1:4" x14ac:dyDescent="0.2">
      <c r="A2554" s="5">
        <v>2493</v>
      </c>
      <c r="B2554" s="138">
        <f>'Acct Summary 7-8'!C7</f>
        <v>3286853</v>
      </c>
      <c r="C2554" s="2" t="s">
        <v>594</v>
      </c>
      <c r="D2554" s="2" t="str">
        <f t="shared" si="38"/>
        <v>Error?</v>
      </c>
    </row>
    <row r="2555" spans="1:4" x14ac:dyDescent="0.2">
      <c r="A2555" s="5">
        <v>2494</v>
      </c>
      <c r="B2555" s="138">
        <f>'Acct Summary 7-8'!C8</f>
        <v>9427434</v>
      </c>
      <c r="C2555" s="2" t="s">
        <v>594</v>
      </c>
      <c r="D2555" s="2" t="str">
        <f t="shared" si="38"/>
        <v>Error?</v>
      </c>
    </row>
    <row r="2556" spans="1:4" x14ac:dyDescent="0.2">
      <c r="A2556" s="5">
        <v>2495</v>
      </c>
      <c r="B2556" s="138">
        <f>'Acct Summary 7-8'!C12</f>
        <v>5213694</v>
      </c>
      <c r="C2556" s="2" t="s">
        <v>594</v>
      </c>
      <c r="D2556" s="2" t="str">
        <f t="shared" si="38"/>
        <v>Error?</v>
      </c>
    </row>
    <row r="2557" spans="1:4" x14ac:dyDescent="0.2">
      <c r="A2557" s="5">
        <v>2496</v>
      </c>
      <c r="B2557" s="138">
        <f>'Acct Summary 7-8'!C13</f>
        <v>4361612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198994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9774300</v>
      </c>
      <c r="C2561" s="2" t="s">
        <v>594</v>
      </c>
      <c r="D2561" s="2" t="str">
        <f t="shared" si="39"/>
        <v>Error?</v>
      </c>
    </row>
    <row r="2562" spans="1:4" x14ac:dyDescent="0.2">
      <c r="A2562" s="5">
        <v>2501</v>
      </c>
      <c r="B2562" s="138">
        <f>'Acct Summary 7-8'!C20</f>
        <v>-346866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359113</v>
      </c>
      <c r="D2718" s="2" t="str">
        <f t="shared" si="41"/>
        <v>Error?</v>
      </c>
    </row>
    <row r="2719" spans="1:4" x14ac:dyDescent="0.2">
      <c r="A2719" s="5">
        <v>2658</v>
      </c>
      <c r="B2719" s="138">
        <f>'Expenditures 15-22'!D51</f>
        <v>93112</v>
      </c>
      <c r="D2719" s="2" t="str">
        <f t="shared" si="41"/>
        <v>Error?</v>
      </c>
    </row>
    <row r="2720" spans="1:4" x14ac:dyDescent="0.2">
      <c r="A2720" s="5">
        <v>2659</v>
      </c>
      <c r="B2720" s="138">
        <f>'Expenditures 15-22'!E51</f>
        <v>76420</v>
      </c>
      <c r="D2720" s="2" t="str">
        <f t="shared" si="41"/>
        <v>Error?</v>
      </c>
    </row>
    <row r="2721" spans="1:4" x14ac:dyDescent="0.2">
      <c r="A2721" s="5">
        <v>2660</v>
      </c>
      <c r="B2721" s="138">
        <f>'Expenditures 15-22'!F51</f>
        <v>12516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541161</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86445</v>
      </c>
      <c r="C2789" s="2" t="s">
        <v>594</v>
      </c>
      <c r="D2789" s="2" t="str">
        <f t="shared" si="42"/>
        <v>Error?</v>
      </c>
    </row>
    <row r="2790" spans="1:4" x14ac:dyDescent="0.2">
      <c r="A2790" s="5">
        <v>2729</v>
      </c>
      <c r="B2790" s="138">
        <f>'Expenditures 15-22'!E102</f>
        <v>86445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33168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17779</v>
      </c>
      <c r="D2914" s="2" t="str">
        <f t="shared" si="44"/>
        <v>Error?</v>
      </c>
    </row>
    <row r="2915" spans="1:4" x14ac:dyDescent="0.2">
      <c r="A2915" s="10">
        <v>2854</v>
      </c>
      <c r="D2915" s="2" t="str">
        <f t="shared" si="44"/>
        <v>OK</v>
      </c>
    </row>
    <row r="2916" spans="1:4" x14ac:dyDescent="0.2">
      <c r="A2916" s="5">
        <v>2855</v>
      </c>
      <c r="B2916" s="138">
        <f>'Assets-Liab 5-6'!L34</f>
        <v>17779</v>
      </c>
      <c r="C2916" s="2" t="s">
        <v>594</v>
      </c>
      <c r="D2916" s="2" t="str">
        <f t="shared" si="44"/>
        <v>Error?</v>
      </c>
    </row>
    <row r="2917" spans="1:4" x14ac:dyDescent="0.2">
      <c r="A2917" s="5">
        <v>2856</v>
      </c>
      <c r="B2917" s="138">
        <f>'Assets-Liab 5-6'!L41</f>
        <v>33168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86445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86445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15389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-346866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3501776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1510312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61125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33983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5107196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112549</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1553801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33168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2211474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11638908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2211474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11985774</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1577020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45452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333879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31013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4668036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4668036</v>
      </c>
      <c r="C5087" s="2" t="s">
        <v>594</v>
      </c>
      <c r="D5087" s="2" t="str">
        <f t="shared" si="78"/>
        <v>Error?</v>
      </c>
    </row>
    <row r="5088" spans="1:4" x14ac:dyDescent="0.2">
      <c r="A5088" s="5">
        <v>5027</v>
      </c>
      <c r="B5088" s="138">
        <f>'Revenues 9-14'!C65</f>
        <v>13685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13685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2666</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351</v>
      </c>
      <c r="D5111" s="2" t="str">
        <f t="shared" si="78"/>
        <v>Error?</v>
      </c>
    </row>
    <row r="5112" spans="1:4" x14ac:dyDescent="0.2">
      <c r="A5112" s="5">
        <v>5051</v>
      </c>
      <c r="B5112" s="138">
        <f>'Revenues 9-14'!C93</f>
        <v>351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194033</v>
      </c>
      <c r="D5115" s="2" t="str">
        <f t="shared" si="78"/>
        <v>Error?</v>
      </c>
    </row>
    <row r="5116" spans="1:4" x14ac:dyDescent="0.2">
      <c r="A5116" s="5">
        <v>5055</v>
      </c>
      <c r="B5116" s="138">
        <f>'Revenues 9-14'!C99</f>
        <v>30009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224042</v>
      </c>
      <c r="C5120" s="2" t="s">
        <v>594</v>
      </c>
      <c r="D5120" s="2" t="str">
        <f t="shared" si="79"/>
        <v>Error?</v>
      </c>
    </row>
    <row r="5121" spans="1:4" x14ac:dyDescent="0.2">
      <c r="A5121" s="5">
        <v>5060</v>
      </c>
      <c r="B5121" s="138">
        <f>'Revenues 9-14'!C109</f>
        <v>4908780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112549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112549</v>
      </c>
      <c r="C5125" s="2" t="s">
        <v>594</v>
      </c>
      <c r="D5125" s="2" t="str">
        <f t="shared" si="79"/>
        <v>Error?</v>
      </c>
    </row>
    <row r="5126" spans="1:4" x14ac:dyDescent="0.2">
      <c r="A5126" s="5">
        <v>5065</v>
      </c>
      <c r="B5126" s="138">
        <f>'Revenues 9-14'!C117</f>
        <v>625133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625133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493556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493556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563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494119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1119252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18818</v>
      </c>
      <c r="D5239" s="2" t="str">
        <f t="shared" si="80"/>
        <v>Error?</v>
      </c>
    </row>
    <row r="5240" spans="1:4" x14ac:dyDescent="0.2">
      <c r="A5240" s="5">
        <v>5179</v>
      </c>
      <c r="B5240" s="138">
        <f>'Revenues 9-14'!C195</f>
        <v>11019</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29837</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202174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2644498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2846672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3286853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3286853</v>
      </c>
      <c r="C5326" s="2" t="s">
        <v>594</v>
      </c>
      <c r="D5326" s="2" t="str">
        <f t="shared" si="82"/>
        <v>Error?</v>
      </c>
    </row>
    <row r="5327" spans="1:4" x14ac:dyDescent="0.2">
      <c r="A5327" s="5">
        <v>5266</v>
      </c>
      <c r="B5327" s="138">
        <f>'Revenues 9-14'!C275</f>
        <v>9427434</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2284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16969</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-346866</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-0.21995028598242256</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112549</v>
      </c>
      <c r="D6998" s="2" t="str">
        <f t="shared" si="108"/>
        <v>Error?</v>
      </c>
    </row>
    <row r="6999" spans="1:4" x14ac:dyDescent="0.2">
      <c r="A6999">
        <v>6938</v>
      </c>
      <c r="B6999" s="138">
        <f>'Expenditures 15-22'!K94</f>
        <v>112549</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112549</v>
      </c>
      <c r="D7012" s="2" t="str">
        <f t="shared" si="108"/>
        <v>Error?</v>
      </c>
    </row>
    <row r="7013" spans="1:4" x14ac:dyDescent="0.2">
      <c r="A7013">
        <v>6952</v>
      </c>
      <c r="B7013" s="138">
        <f>'Expenditures 15-22'!K100</f>
        <v>112549</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0</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7109375" style="1178" customWidth="1"/>
    <col min="2" max="2" width="2.28515625" style="1174" customWidth="1"/>
    <col min="3" max="3" width="9.140625" style="1178"/>
    <col min="4" max="4" width="13.85546875"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7109375" style="1178" customWidth="1"/>
    <col min="13" max="13" width="2.7109375" style="1178" customWidth="1"/>
    <col min="14" max="14" width="13.140625" style="1178" customWidth="1"/>
    <col min="15" max="15" width="7.140625" style="1178" customWidth="1"/>
    <col min="16" max="16" width="7" style="1178" customWidth="1"/>
    <col min="17" max="19" width="9.71093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633" t="s">
        <v>1253</v>
      </c>
      <c r="B2" s="2633"/>
      <c r="C2" s="2633"/>
      <c r="D2" s="2633"/>
      <c r="E2" s="2633"/>
      <c r="F2" s="2633"/>
      <c r="G2" s="2633"/>
      <c r="H2" s="2633"/>
      <c r="I2" s="2633"/>
      <c r="J2" s="2633"/>
      <c r="K2" s="2633"/>
      <c r="L2" s="2633"/>
    </row>
    <row r="3" spans="1:29" ht="13.5" customHeight="1" x14ac:dyDescent="0.2">
      <c r="A3" s="2619" t="s">
        <v>1252</v>
      </c>
      <c r="B3" s="2619"/>
      <c r="C3" s="2619"/>
      <c r="D3" s="2619"/>
      <c r="E3" s="2619"/>
      <c r="F3" s="2619"/>
      <c r="G3" s="2619"/>
      <c r="H3" s="2619"/>
      <c r="I3" s="2619"/>
      <c r="J3" s="2619"/>
      <c r="K3" s="2619"/>
      <c r="L3" s="2619"/>
    </row>
    <row r="4" spans="1:29" ht="13.5" customHeight="1" x14ac:dyDescent="0.2">
      <c r="A4" s="2633" t="s">
        <v>1799</v>
      </c>
      <c r="B4" s="2650"/>
      <c r="C4" s="2650"/>
      <c r="D4" s="2650"/>
      <c r="E4" s="2650"/>
      <c r="F4" s="2650"/>
      <c r="G4" s="2650"/>
      <c r="H4" s="2650"/>
      <c r="I4" s="2650"/>
      <c r="J4" s="2650"/>
      <c r="K4" s="2650"/>
      <c r="L4" s="2650"/>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651" t="str">
        <f>COVER!A17</f>
        <v>West Central Illinois Special Education Coop</v>
      </c>
      <c r="B7" s="2652"/>
      <c r="C7" s="2652"/>
      <c r="D7" s="2653"/>
      <c r="E7" s="2654">
        <f>COVER!A13</f>
        <v>26062000061</v>
      </c>
      <c r="F7" s="2655"/>
      <c r="G7" s="2620" t="str">
        <f>COVER!T23</f>
        <v>066-005027</v>
      </c>
      <c r="H7" s="2621"/>
      <c r="I7" s="2621"/>
      <c r="J7" s="2621"/>
      <c r="K7" s="2621"/>
      <c r="L7" s="2622"/>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623"/>
      <c r="B9" s="2624"/>
      <c r="C9" s="2624"/>
      <c r="D9" s="2624"/>
      <c r="E9" s="2624"/>
      <c r="F9" s="2625"/>
      <c r="G9" s="2626" t="str">
        <f>COVER!T13</f>
        <v>Gorenz and Associates, Ltd.</v>
      </c>
      <c r="H9" s="2627"/>
      <c r="I9" s="2627"/>
      <c r="J9" s="2627"/>
      <c r="K9" s="2627"/>
      <c r="L9" s="2628"/>
    </row>
    <row r="10" spans="1:29" ht="13.5" customHeight="1" x14ac:dyDescent="0.2">
      <c r="A10" s="2610" t="str">
        <f>COVER!A38</f>
        <v>Leyona Wiley</v>
      </c>
      <c r="B10" s="2611"/>
      <c r="C10" s="2611"/>
      <c r="D10" s="2611"/>
      <c r="E10" s="2611"/>
      <c r="F10" s="2612"/>
      <c r="G10" s="2626" t="str">
        <f>COVER!T17</f>
        <v>4200 N Knoxville Ave</v>
      </c>
      <c r="H10" s="2639"/>
      <c r="I10" s="2639"/>
      <c r="J10" s="2639"/>
      <c r="K10" s="2639"/>
      <c r="L10" s="2640"/>
    </row>
    <row r="11" spans="1:29" ht="13.5" customHeight="1" x14ac:dyDescent="0.2">
      <c r="A11" s="1182" t="s">
        <v>1599</v>
      </c>
      <c r="B11" s="1183"/>
      <c r="C11" s="1184"/>
      <c r="D11" s="1189"/>
      <c r="E11" s="1184"/>
      <c r="F11" s="1188"/>
      <c r="G11" s="2626" t="str">
        <f>COVER!T19</f>
        <v>Peoria</v>
      </c>
      <c r="H11" s="2639"/>
      <c r="I11" s="2639"/>
      <c r="J11" s="2639"/>
      <c r="K11" s="2639"/>
      <c r="L11" s="2640"/>
    </row>
    <row r="12" spans="1:29" ht="13.5" customHeight="1" x14ac:dyDescent="0.2">
      <c r="A12" s="2644" t="s">
        <v>1598</v>
      </c>
      <c r="B12" s="2645"/>
      <c r="C12" s="2645"/>
      <c r="D12" s="2645"/>
      <c r="E12" s="2645"/>
      <c r="F12" s="2646"/>
      <c r="G12" s="2641"/>
      <c r="H12" s="2642"/>
      <c r="I12" s="2642"/>
      <c r="J12" s="2642"/>
      <c r="K12" s="2642"/>
      <c r="L12" s="2643"/>
    </row>
    <row r="13" spans="1:29" ht="13.5" customHeight="1" x14ac:dyDescent="0.2">
      <c r="A13" s="2626"/>
      <c r="B13" s="2639"/>
      <c r="C13" s="2639"/>
      <c r="D13" s="2639"/>
      <c r="E13" s="2639"/>
      <c r="F13" s="2640"/>
      <c r="G13" s="2634" t="s">
        <v>1600</v>
      </c>
      <c r="H13" s="2635"/>
      <c r="I13" s="2647" t="str">
        <f>COVER!T25</f>
        <v>tcustis@gorenzcpa.com</v>
      </c>
      <c r="J13" s="2648"/>
      <c r="K13" s="2648"/>
      <c r="L13" s="2649"/>
    </row>
    <row r="14" spans="1:29" ht="13.5" customHeight="1" x14ac:dyDescent="0.2">
      <c r="A14" s="2626" t="str">
        <f>COVER!A19</f>
        <v>130 S. LaFayette, Suite 201</v>
      </c>
      <c r="B14" s="2639"/>
      <c r="C14" s="2639"/>
      <c r="D14" s="2639"/>
      <c r="E14" s="2639"/>
      <c r="F14" s="2640"/>
      <c r="G14" s="1193" t="s">
        <v>1247</v>
      </c>
      <c r="H14" s="1191"/>
      <c r="I14" s="1191"/>
      <c r="J14" s="1191"/>
      <c r="K14" s="1191"/>
      <c r="L14" s="1192"/>
    </row>
    <row r="15" spans="1:29" ht="13.5" customHeight="1" x14ac:dyDescent="0.2">
      <c r="A15" s="2626" t="str">
        <f>COVER!A21</f>
        <v>Macomb</v>
      </c>
      <c r="B15" s="2639"/>
      <c r="C15" s="2639"/>
      <c r="D15" s="2639"/>
      <c r="E15" s="2639"/>
      <c r="F15" s="2640"/>
      <c r="G15" s="2636" t="str">
        <f>COVER!T15</f>
        <v>Tim C. Custis, CPA</v>
      </c>
      <c r="H15" s="2637"/>
      <c r="I15" s="2637"/>
      <c r="J15" s="2637"/>
      <c r="K15" s="2637"/>
      <c r="L15" s="2638"/>
    </row>
    <row r="16" spans="1:29" ht="12.2" customHeight="1" x14ac:dyDescent="0.2">
      <c r="A16" s="2616">
        <f>COVER!A25</f>
        <v>61455</v>
      </c>
      <c r="B16" s="2617"/>
      <c r="C16" s="2617"/>
      <c r="D16" s="2617"/>
      <c r="E16" s="2617"/>
      <c r="F16" s="2618"/>
      <c r="G16" s="2629"/>
      <c r="H16" s="2630"/>
      <c r="I16" s="2630"/>
      <c r="J16" s="2630"/>
      <c r="K16" s="2630"/>
      <c r="L16" s="2631"/>
    </row>
    <row r="17" spans="1:13" ht="12.2" customHeight="1" x14ac:dyDescent="0.2">
      <c r="A17" s="2632"/>
      <c r="B17" s="2617"/>
      <c r="C17" s="2617"/>
      <c r="D17" s="2617"/>
      <c r="E17" s="2617"/>
      <c r="F17" s="2618"/>
      <c r="G17" s="1193" t="s">
        <v>1246</v>
      </c>
      <c r="H17" s="1191"/>
      <c r="I17" s="1191"/>
      <c r="J17" s="1191"/>
      <c r="K17" s="1195" t="s">
        <v>1245</v>
      </c>
      <c r="L17" s="1188"/>
      <c r="M17" s="1181"/>
    </row>
    <row r="18" spans="1:13" ht="12.2" customHeight="1" x14ac:dyDescent="0.2">
      <c r="A18" s="2610"/>
      <c r="B18" s="2611"/>
      <c r="C18" s="2611"/>
      <c r="D18" s="2611"/>
      <c r="E18" s="2611"/>
      <c r="F18" s="2612"/>
      <c r="G18" s="2613" t="str">
        <f>COVER!T21</f>
        <v>309-685-7621</v>
      </c>
      <c r="H18" s="2614"/>
      <c r="I18" s="2614"/>
      <c r="J18" s="2614"/>
      <c r="K18" s="2613" t="str">
        <f>COVER!X21</f>
        <v>309-685-4758</v>
      </c>
      <c r="L18" s="2615"/>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t="s">
        <v>2091</v>
      </c>
      <c r="C23" s="1200" t="s">
        <v>1244</v>
      </c>
    </row>
    <row r="24" spans="1:13" ht="10.15" customHeight="1" x14ac:dyDescent="0.2">
      <c r="A24" s="1198"/>
      <c r="C24" s="1200" t="s">
        <v>1243</v>
      </c>
    </row>
    <row r="25" spans="1:13" ht="9.1999999999999993" customHeight="1" x14ac:dyDescent="0.2">
      <c r="B25" s="1201" t="s">
        <v>1231</v>
      </c>
      <c r="C25" s="1202"/>
    </row>
    <row r="26" spans="1:13" s="1196" customFormat="1" ht="12.2" customHeight="1" x14ac:dyDescent="0.2">
      <c r="B26" s="1199" t="s">
        <v>2091</v>
      </c>
      <c r="C26" s="1200" t="s">
        <v>1801</v>
      </c>
    </row>
    <row r="27" spans="1:13" s="1196" customFormat="1" ht="9.1999999999999993" customHeight="1" x14ac:dyDescent="0.2">
      <c r="B27" s="1201"/>
      <c r="C27" s="1200"/>
    </row>
    <row r="28" spans="1:13" s="1196" customFormat="1" ht="12.2" customHeight="1" x14ac:dyDescent="0.2">
      <c r="A28" s="1203"/>
      <c r="B28" s="1199" t="s">
        <v>2091</v>
      </c>
      <c r="C28" s="1200" t="s">
        <v>1802</v>
      </c>
    </row>
    <row r="29" spans="1:13" s="1196" customFormat="1" ht="9.1999999999999993" customHeight="1" x14ac:dyDescent="0.2">
      <c r="A29" s="1203"/>
      <c r="B29" s="1201"/>
      <c r="C29" s="1200"/>
    </row>
    <row r="30" spans="1:13" s="1196" customFormat="1" ht="12.2" customHeight="1" x14ac:dyDescent="0.2">
      <c r="B30" s="1199" t="s">
        <v>2091</v>
      </c>
      <c r="C30" s="1200" t="s">
        <v>1643</v>
      </c>
      <c r="D30" s="1194"/>
      <c r="E30" s="1194"/>
    </row>
    <row r="31" spans="1:13" s="1196" customFormat="1" ht="9.1999999999999993" customHeight="1" x14ac:dyDescent="0.2">
      <c r="B31" s="1201"/>
      <c r="C31" s="1200"/>
      <c r="D31" s="1194"/>
      <c r="E31" s="1194"/>
    </row>
    <row r="32" spans="1:13" s="1196" customFormat="1" ht="12.2" customHeight="1" x14ac:dyDescent="0.2">
      <c r="B32" s="1199" t="s">
        <v>2091</v>
      </c>
      <c r="C32" s="1200" t="s">
        <v>1644</v>
      </c>
      <c r="D32" s="1194"/>
      <c r="E32" s="1194"/>
    </row>
    <row r="33" spans="1:8" s="1196" customFormat="1" ht="11.1" customHeight="1" x14ac:dyDescent="0.2">
      <c r="B33" s="1201"/>
      <c r="C33" s="1204" t="s">
        <v>1803</v>
      </c>
      <c r="D33" s="1194"/>
      <c r="E33" s="1194"/>
    </row>
    <row r="34" spans="1:8" ht="9.1999999999999993" customHeight="1" x14ac:dyDescent="0.2">
      <c r="B34" s="1201"/>
      <c r="C34" s="1204"/>
    </row>
    <row r="35" spans="1:8" s="1196" customFormat="1" ht="13.5" customHeight="1" x14ac:dyDescent="0.2">
      <c r="B35" s="1199" t="s">
        <v>2091</v>
      </c>
      <c r="C35" s="1200" t="s">
        <v>1645</v>
      </c>
    </row>
    <row r="36" spans="1:8" s="1196" customFormat="1" ht="11.1" customHeight="1" x14ac:dyDescent="0.2">
      <c r="B36" s="1201"/>
      <c r="C36" s="1204" t="s">
        <v>1646</v>
      </c>
    </row>
    <row r="37" spans="1:8" ht="9.1999999999999993" customHeight="1" x14ac:dyDescent="0.2">
      <c r="B37" s="1201"/>
      <c r="C37" s="1204"/>
    </row>
    <row r="38" spans="1:8" s="1196" customFormat="1" ht="12.2" customHeight="1" x14ac:dyDescent="0.2">
      <c r="B38" s="1199" t="s">
        <v>2091</v>
      </c>
      <c r="C38" s="1200" t="s">
        <v>1647</v>
      </c>
    </row>
    <row r="39" spans="1:8" ht="9.1999999999999993" customHeight="1" x14ac:dyDescent="0.2">
      <c r="B39" s="1201"/>
      <c r="C39" s="1204"/>
    </row>
    <row r="40" spans="1:8" s="1196" customFormat="1" ht="13.5" customHeight="1" x14ac:dyDescent="0.2">
      <c r="B40" s="1199" t="s">
        <v>2091</v>
      </c>
      <c r="C40" s="1200" t="s">
        <v>1648</v>
      </c>
    </row>
    <row r="41" spans="1:8" ht="9.1999999999999993" customHeight="1" x14ac:dyDescent="0.2">
      <c r="A41" s="1205"/>
      <c r="B41" s="1201"/>
      <c r="C41" s="1204"/>
    </row>
    <row r="42" spans="1:8" s="1196" customFormat="1" ht="13.5" customHeight="1" x14ac:dyDescent="0.2">
      <c r="B42" s="1199" t="s">
        <v>2091</v>
      </c>
      <c r="C42" s="1200" t="s">
        <v>1944</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t="s">
        <v>2074</v>
      </c>
      <c r="C46" s="1207" t="s">
        <v>1649</v>
      </c>
      <c r="D46" s="1194"/>
      <c r="E46" s="1194"/>
      <c r="F46" s="1194"/>
      <c r="G46" s="1194"/>
      <c r="H46" s="1194"/>
    </row>
    <row r="47" spans="1:8" ht="9.1999999999999993" customHeight="1" x14ac:dyDescent="0.2"/>
    <row r="48" spans="1:8" ht="12.2" customHeight="1" x14ac:dyDescent="0.2">
      <c r="B48" s="1208"/>
      <c r="C48" s="1209" t="s">
        <v>1650</v>
      </c>
    </row>
    <row r="49" spans="1:12" ht="9.1999999999999993"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F19" sqref="F1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656" t="str">
        <f>'Single Audit Cover'!A7</f>
        <v>West Central Illinois Special Education Coop</v>
      </c>
      <c r="B1" s="2650"/>
      <c r="C1" s="2650"/>
      <c r="D1" s="2650"/>
    </row>
    <row r="2" spans="1:11" s="1212" customFormat="1" ht="12.75" x14ac:dyDescent="0.2">
      <c r="A2" s="2657">
        <f>'Single Audit Cover'!E7</f>
        <v>26062000061</v>
      </c>
      <c r="B2" s="2658"/>
      <c r="C2" s="2658"/>
      <c r="D2" s="2658"/>
    </row>
    <row r="3" spans="1:11" s="1212" customFormat="1" ht="12.75" x14ac:dyDescent="0.2">
      <c r="A3" s="2656" t="s">
        <v>1593</v>
      </c>
      <c r="B3" s="2650"/>
      <c r="C3" s="2650"/>
      <c r="D3" s="2650"/>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1945</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71093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660" t="str">
        <f>'Single Audit Cover'!A7</f>
        <v>West Central Illinois Special Education Coop</v>
      </c>
      <c r="B1" s="2660"/>
      <c r="C1" s="2660"/>
      <c r="D1" s="2660"/>
      <c r="E1" s="2660"/>
    </row>
    <row r="2" spans="1:5" x14ac:dyDescent="0.2">
      <c r="A2" s="2661">
        <f>'Single Audit Cover'!E7</f>
        <v>26062000061</v>
      </c>
      <c r="B2" s="2661"/>
      <c r="C2" s="2661"/>
      <c r="D2" s="2661"/>
      <c r="E2" s="2661"/>
    </row>
    <row r="3" spans="1:5" ht="4.5" customHeight="1" x14ac:dyDescent="0.2"/>
    <row r="4" spans="1:5" x14ac:dyDescent="0.2">
      <c r="A4" s="2660" t="s">
        <v>1307</v>
      </c>
      <c r="B4" s="2660"/>
      <c r="C4" s="2660"/>
      <c r="D4" s="2660"/>
      <c r="E4" s="2660"/>
    </row>
    <row r="5" spans="1:5" x14ac:dyDescent="0.2">
      <c r="A5" s="2663" t="str">
        <f>'Single Audit Cover'!A4</f>
        <v>Year Ending June 30, 2018</v>
      </c>
      <c r="B5" s="2663"/>
      <c r="C5" s="2663"/>
      <c r="D5" s="2663"/>
      <c r="E5" s="2663"/>
    </row>
    <row r="6" spans="1:5" x14ac:dyDescent="0.2">
      <c r="A6" s="2660" t="s">
        <v>1306</v>
      </c>
      <c r="B6" s="2660"/>
      <c r="C6" s="2660"/>
      <c r="D6" s="2660"/>
      <c r="E6" s="2660"/>
    </row>
    <row r="8" spans="1:5" x14ac:dyDescent="0.2">
      <c r="A8" s="1257" t="s">
        <v>1305</v>
      </c>
    </row>
    <row r="10" spans="1:5" x14ac:dyDescent="0.2">
      <c r="A10" s="1258" t="s">
        <v>1304</v>
      </c>
      <c r="B10" s="1259" t="s">
        <v>1303</v>
      </c>
      <c r="C10" s="1259"/>
      <c r="D10" s="1260">
        <f>SUM('Acct Summary 7-8'!C7:K7)</f>
        <v>3286853</v>
      </c>
    </row>
    <row r="11" spans="1:5" ht="18" customHeight="1" x14ac:dyDescent="0.2">
      <c r="A11" s="1258" t="s">
        <v>1302</v>
      </c>
      <c r="B11" s="1259"/>
      <c r="C11" s="1259"/>
    </row>
    <row r="12" spans="1:5" x14ac:dyDescent="0.2">
      <c r="A12" s="1258" t="s">
        <v>1301</v>
      </c>
      <c r="B12" s="1259" t="s">
        <v>1300</v>
      </c>
      <c r="C12" s="1259"/>
      <c r="D12" s="1261">
        <f>SUM('Revenues 9-14'!C112:D112,'Revenues 9-14'!F112:G112)</f>
        <v>112549</v>
      </c>
    </row>
    <row r="13" spans="1:5" x14ac:dyDescent="0.2">
      <c r="A13" s="1258" t="s">
        <v>1299</v>
      </c>
      <c r="B13" s="1259"/>
      <c r="C13" s="1259"/>
    </row>
    <row r="14" spans="1:5" x14ac:dyDescent="0.2">
      <c r="A14" s="1258" t="s">
        <v>1830</v>
      </c>
      <c r="B14" s="1259"/>
      <c r="C14" s="1259"/>
      <c r="D14" s="1261">
        <f>'ICR Computation 30'!E11</f>
        <v>0</v>
      </c>
    </row>
    <row r="15" spans="1:5" x14ac:dyDescent="0.2">
      <c r="A15" s="1258"/>
      <c r="B15" s="1259"/>
      <c r="C15" s="1259"/>
    </row>
    <row r="16" spans="1:5" x14ac:dyDescent="0.2">
      <c r="A16" s="1258" t="s">
        <v>1953</v>
      </c>
      <c r="B16" s="1259"/>
      <c r="C16" s="1259"/>
    </row>
    <row r="17" spans="1:4" x14ac:dyDescent="0.2">
      <c r="A17" s="1258" t="s">
        <v>1601</v>
      </c>
      <c r="B17" s="1259" t="s">
        <v>1298</v>
      </c>
      <c r="C17" s="1259"/>
      <c r="D17" s="1261">
        <f>-SUM('Revenues 9-14'!C271:D271,'Revenues 9-14'!F271:G271)</f>
        <v>-333879</v>
      </c>
    </row>
    <row r="19" spans="1:4" ht="13.5" thickBot="1" x14ac:dyDescent="0.25">
      <c r="A19" s="1262" t="s">
        <v>1297</v>
      </c>
      <c r="D19" s="1263">
        <f>SUM(D10:D17)</f>
        <v>3065523</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662"/>
      <c r="B24" s="2662"/>
      <c r="D24" s="1265"/>
    </row>
    <row r="25" spans="1:4" x14ac:dyDescent="0.2">
      <c r="A25" s="2659"/>
      <c r="B25" s="2659"/>
      <c r="D25" s="1265"/>
    </row>
    <row r="26" spans="1:4" x14ac:dyDescent="0.2">
      <c r="A26" s="2659"/>
      <c r="B26" s="2659"/>
      <c r="D26" s="1265"/>
    </row>
    <row r="27" spans="1:4" x14ac:dyDescent="0.2">
      <c r="A27" s="2659"/>
      <c r="B27" s="2659"/>
      <c r="D27" s="1265"/>
    </row>
    <row r="28" spans="1:4" x14ac:dyDescent="0.2">
      <c r="A28" s="2659"/>
      <c r="B28" s="2659"/>
      <c r="D28" s="1265"/>
    </row>
    <row r="29" spans="1:4" x14ac:dyDescent="0.2">
      <c r="A29" s="2659"/>
      <c r="B29" s="2659"/>
      <c r="D29" s="1265"/>
    </row>
    <row r="30" spans="1:4" x14ac:dyDescent="0.2">
      <c r="A30" s="2659"/>
      <c r="B30" s="2659"/>
      <c r="D30" s="1265"/>
    </row>
    <row r="32" spans="1:4" x14ac:dyDescent="0.2">
      <c r="A32" s="1257" t="s">
        <v>1295</v>
      </c>
      <c r="D32" s="1260">
        <f>SUM(D19:D30)</f>
        <v>3065523</v>
      </c>
    </row>
    <row r="33" spans="1:4" x14ac:dyDescent="0.2">
      <c r="D33" s="1266"/>
    </row>
    <row r="34" spans="1:4" x14ac:dyDescent="0.2">
      <c r="A34" s="317" t="s">
        <v>1294</v>
      </c>
    </row>
    <row r="35" spans="1:4" x14ac:dyDescent="0.2">
      <c r="A35" s="317" t="s">
        <v>1293</v>
      </c>
      <c r="B35" s="1255" t="s">
        <v>1292</v>
      </c>
      <c r="D35" s="1267">
        <v>3065523</v>
      </c>
    </row>
    <row r="37" spans="1:4" x14ac:dyDescent="0.2">
      <c r="A37" s="1257" t="s">
        <v>1291</v>
      </c>
    </row>
    <row r="39" spans="1:4" ht="13.35" customHeight="1" x14ac:dyDescent="0.2">
      <c r="A39" s="1264" t="s">
        <v>1290</v>
      </c>
    </row>
    <row r="40" spans="1:4" x14ac:dyDescent="0.2">
      <c r="A40" s="2659"/>
      <c r="B40" s="2659"/>
      <c r="D40" s="1265"/>
    </row>
    <row r="41" spans="1:4" x14ac:dyDescent="0.2">
      <c r="A41" s="2659"/>
      <c r="B41" s="2659"/>
      <c r="D41" s="1268"/>
    </row>
    <row r="42" spans="1:4" x14ac:dyDescent="0.2">
      <c r="A42" s="2659"/>
      <c r="B42" s="2659"/>
      <c r="D42" s="1268"/>
    </row>
    <row r="43" spans="1:4" x14ac:dyDescent="0.2">
      <c r="A43" s="2659"/>
      <c r="B43" s="2659"/>
      <c r="D43" s="1268"/>
    </row>
    <row r="44" spans="1:4" x14ac:dyDescent="0.2">
      <c r="A44" s="2659"/>
      <c r="B44" s="2659"/>
      <c r="D44" s="1268"/>
    </row>
    <row r="45" spans="1:4" x14ac:dyDescent="0.2">
      <c r="A45" s="2659"/>
      <c r="B45" s="2659"/>
      <c r="D45" s="1268"/>
    </row>
    <row r="47" spans="1:4" x14ac:dyDescent="0.2">
      <c r="B47" s="1269" t="s">
        <v>1289</v>
      </c>
      <c r="C47" s="1269"/>
      <c r="D47" s="1270">
        <f>SUM(D35:D45)</f>
        <v>3065523</v>
      </c>
    </row>
    <row r="49" spans="2:4" x14ac:dyDescent="0.2">
      <c r="B49" s="1269" t="s">
        <v>1288</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619" t="str">
        <f>'Single Audit Cover'!A7</f>
        <v>West Central Illinois Special Education Coop</v>
      </c>
      <c r="C1" s="2664"/>
      <c r="D1" s="2664"/>
      <c r="E1" s="2664"/>
      <c r="F1" s="2664"/>
      <c r="G1" s="2664"/>
      <c r="H1" s="2664"/>
      <c r="I1" s="2664"/>
      <c r="J1" s="2664"/>
      <c r="K1" s="2664"/>
      <c r="L1" s="2664"/>
      <c r="M1" s="2664"/>
    </row>
    <row r="2" spans="2:14" ht="15" x14ac:dyDescent="0.2">
      <c r="B2" s="2665">
        <f>'Single Audit Cover'!E7</f>
        <v>26062000061</v>
      </c>
      <c r="C2" s="2665"/>
      <c r="D2" s="2665"/>
      <c r="E2" s="2665"/>
      <c r="F2" s="2665"/>
      <c r="G2" s="2665"/>
      <c r="H2" s="2665"/>
      <c r="I2" s="2665"/>
      <c r="J2" s="2665"/>
      <c r="K2" s="2665"/>
      <c r="L2" s="2665"/>
      <c r="M2" s="2665"/>
      <c r="N2" s="1299"/>
    </row>
    <row r="3" spans="2:14" ht="15" x14ac:dyDescent="0.2">
      <c r="B3" s="2666" t="s">
        <v>1281</v>
      </c>
      <c r="C3" s="2666"/>
      <c r="D3" s="2666"/>
      <c r="E3" s="2666"/>
      <c r="F3" s="2666"/>
      <c r="G3" s="2666"/>
      <c r="H3" s="2666"/>
      <c r="I3" s="2666"/>
      <c r="J3" s="2666"/>
      <c r="K3" s="2666"/>
      <c r="L3" s="2666"/>
      <c r="M3" s="2666"/>
      <c r="N3" s="1299"/>
    </row>
    <row r="4" spans="2:14" ht="15" x14ac:dyDescent="0.2">
      <c r="B4" s="2667" t="str">
        <f>'Single Audit Cover'!A4</f>
        <v>Year Ending June 30, 2018</v>
      </c>
      <c r="C4" s="2667"/>
      <c r="D4" s="2667"/>
      <c r="E4" s="2667"/>
      <c r="F4" s="2667"/>
      <c r="G4" s="2667"/>
      <c r="H4" s="2667"/>
      <c r="I4" s="2667"/>
      <c r="J4" s="2667"/>
      <c r="K4" s="2667"/>
      <c r="L4" s="2667"/>
      <c r="M4" s="2667"/>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1835</v>
      </c>
      <c r="D9" s="1311" t="s">
        <v>1836</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2082</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4.3499999999999996"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4.3499999999999996"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4.3499999999999996"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06"/>
  <sheetViews>
    <sheetView showGridLines="0" showWhiteSpace="0" zoomScaleNormal="100" zoomScaleSheetLayoutView="50" workbookViewId="0">
      <pane ySplit="9" topLeftCell="A10" activePane="bottomLeft" state="frozen"/>
      <selection activeCell="N90" sqref="N90"/>
      <selection pane="bottomLeft" activeCell="A10" sqref="A10"/>
    </sheetView>
  </sheetViews>
  <sheetFormatPr defaultColWidth="14.7109375" defaultRowHeight="12.75" x14ac:dyDescent="0.2"/>
  <cols>
    <col min="1" max="1" width="5.7109375" style="2014" customWidth="1"/>
    <col min="2" max="2" width="37.140625" style="1988" customWidth="1"/>
    <col min="3" max="3" width="8.7109375" style="1988" customWidth="1"/>
    <col min="4" max="4" width="1.7109375" style="1988" customWidth="1"/>
    <col min="5" max="5" width="9.7109375" style="1988" customWidth="1"/>
    <col min="6" max="6" width="2.7109375" style="2140" customWidth="1"/>
    <col min="7" max="7" width="12" style="1988" customWidth="1"/>
    <col min="8" max="8" width="2.7109375" style="1988" customWidth="1"/>
    <col min="9" max="9" width="12.42578125" style="1988" customWidth="1"/>
    <col min="10" max="10" width="2.7109375" style="2140" customWidth="1"/>
    <col min="11" max="12" width="14.140625" style="1988" customWidth="1"/>
    <col min="13" max="14" width="13.28515625" style="1988" customWidth="1"/>
    <col min="15" max="15" width="3.5703125" style="1988" customWidth="1"/>
    <col min="16" max="16" width="11.7109375" style="1988" customWidth="1"/>
    <col min="17" max="17" width="4.5703125" style="2140" bestFit="1" customWidth="1"/>
    <col min="18" max="18" width="12.85546875" style="1988" bestFit="1" customWidth="1"/>
    <col min="19" max="19" width="2.7109375" style="1988" customWidth="1"/>
    <col min="20" max="20" width="12.140625" style="1988" bestFit="1" customWidth="1"/>
    <col min="21" max="245" width="14.7109375" style="1988"/>
    <col min="246" max="246" width="5.7109375" style="1988" customWidth="1"/>
    <col min="247" max="247" width="37.140625" style="1988" customWidth="1"/>
    <col min="248" max="248" width="8.7109375" style="1988" customWidth="1"/>
    <col min="249" max="249" width="1.7109375" style="1988" customWidth="1"/>
    <col min="250" max="250" width="9.7109375" style="1988" customWidth="1"/>
    <col min="251" max="251" width="2.7109375" style="1988" customWidth="1"/>
    <col min="252" max="252" width="12" style="1988" customWidth="1"/>
    <col min="253" max="253" width="2.7109375" style="1988" customWidth="1"/>
    <col min="254" max="254" width="12.42578125" style="1988" customWidth="1"/>
    <col min="255" max="255" width="2.7109375" style="1988" customWidth="1"/>
    <col min="256" max="257" width="14.140625" style="1988" customWidth="1"/>
    <col min="258" max="259" width="13.28515625" style="1988" customWidth="1"/>
    <col min="260" max="260" width="3.5703125" style="1988" customWidth="1"/>
    <col min="261" max="261" width="11.7109375" style="1988" customWidth="1"/>
    <col min="262" max="262" width="4.5703125" style="1988" bestFit="1" customWidth="1"/>
    <col min="263" max="263" width="12.85546875" style="1988" bestFit="1" customWidth="1"/>
    <col min="264" max="264" width="2.7109375" style="1988" customWidth="1"/>
    <col min="265" max="265" width="12.140625" style="1988" bestFit="1" customWidth="1"/>
    <col min="266" max="266" width="16" style="1988" customWidth="1"/>
    <col min="267" max="267" width="12.5703125" style="1988" customWidth="1"/>
    <col min="268" max="268" width="14.5703125" style="1988" bestFit="1" customWidth="1"/>
    <col min="269" max="269" width="17.42578125" style="1988" customWidth="1"/>
    <col min="270" max="270" width="18.85546875" style="1988" customWidth="1"/>
    <col min="271" max="271" width="3.140625" style="1988" customWidth="1"/>
    <col min="272" max="272" width="14.85546875" style="1988" bestFit="1" customWidth="1"/>
    <col min="273" max="501" width="14.7109375" style="1988"/>
    <col min="502" max="502" width="5.7109375" style="1988" customWidth="1"/>
    <col min="503" max="503" width="37.140625" style="1988" customWidth="1"/>
    <col min="504" max="504" width="8.7109375" style="1988" customWidth="1"/>
    <col min="505" max="505" width="1.7109375" style="1988" customWidth="1"/>
    <col min="506" max="506" width="9.7109375" style="1988" customWidth="1"/>
    <col min="507" max="507" width="2.7109375" style="1988" customWidth="1"/>
    <col min="508" max="508" width="12" style="1988" customWidth="1"/>
    <col min="509" max="509" width="2.7109375" style="1988" customWidth="1"/>
    <col min="510" max="510" width="12.42578125" style="1988" customWidth="1"/>
    <col min="511" max="511" width="2.7109375" style="1988" customWidth="1"/>
    <col min="512" max="513" width="14.140625" style="1988" customWidth="1"/>
    <col min="514" max="515" width="13.28515625" style="1988" customWidth="1"/>
    <col min="516" max="516" width="3.5703125" style="1988" customWidth="1"/>
    <col min="517" max="517" width="11.7109375" style="1988" customWidth="1"/>
    <col min="518" max="518" width="4.5703125" style="1988" bestFit="1" customWidth="1"/>
    <col min="519" max="519" width="12.85546875" style="1988" bestFit="1" customWidth="1"/>
    <col min="520" max="520" width="2.7109375" style="1988" customWidth="1"/>
    <col min="521" max="521" width="12.140625" style="1988" bestFit="1" customWidth="1"/>
    <col min="522" max="522" width="16" style="1988" customWidth="1"/>
    <col min="523" max="523" width="12.5703125" style="1988" customWidth="1"/>
    <col min="524" max="524" width="14.5703125" style="1988" bestFit="1" customWidth="1"/>
    <col min="525" max="525" width="17.42578125" style="1988" customWidth="1"/>
    <col min="526" max="526" width="18.85546875" style="1988" customWidth="1"/>
    <col min="527" max="527" width="3.140625" style="1988" customWidth="1"/>
    <col min="528" max="528" width="14.85546875" style="1988" bestFit="1" customWidth="1"/>
    <col min="529" max="757" width="14.7109375" style="1988"/>
    <col min="758" max="758" width="5.7109375" style="1988" customWidth="1"/>
    <col min="759" max="759" width="37.140625" style="1988" customWidth="1"/>
    <col min="760" max="760" width="8.7109375" style="1988" customWidth="1"/>
    <col min="761" max="761" width="1.7109375" style="1988" customWidth="1"/>
    <col min="762" max="762" width="9.7109375" style="1988" customWidth="1"/>
    <col min="763" max="763" width="2.7109375" style="1988" customWidth="1"/>
    <col min="764" max="764" width="12" style="1988" customWidth="1"/>
    <col min="765" max="765" width="2.7109375" style="1988" customWidth="1"/>
    <col min="766" max="766" width="12.42578125" style="1988" customWidth="1"/>
    <col min="767" max="767" width="2.7109375" style="1988" customWidth="1"/>
    <col min="768" max="769" width="14.140625" style="1988" customWidth="1"/>
    <col min="770" max="771" width="13.28515625" style="1988" customWidth="1"/>
    <col min="772" max="772" width="3.5703125" style="1988" customWidth="1"/>
    <col min="773" max="773" width="11.7109375" style="1988" customWidth="1"/>
    <col min="774" max="774" width="4.5703125" style="1988" bestFit="1" customWidth="1"/>
    <col min="775" max="775" width="12.85546875" style="1988" bestFit="1" customWidth="1"/>
    <col min="776" max="776" width="2.7109375" style="1988" customWidth="1"/>
    <col min="777" max="777" width="12.140625" style="1988" bestFit="1" customWidth="1"/>
    <col min="778" max="778" width="16" style="1988" customWidth="1"/>
    <col min="779" max="779" width="12.5703125" style="1988" customWidth="1"/>
    <col min="780" max="780" width="14.5703125" style="1988" bestFit="1" customWidth="1"/>
    <col min="781" max="781" width="17.42578125" style="1988" customWidth="1"/>
    <col min="782" max="782" width="18.85546875" style="1988" customWidth="1"/>
    <col min="783" max="783" width="3.140625" style="1988" customWidth="1"/>
    <col min="784" max="784" width="14.85546875" style="1988" bestFit="1" customWidth="1"/>
    <col min="785" max="1013" width="14.7109375" style="1988"/>
    <col min="1014" max="1014" width="5.7109375" style="1988" customWidth="1"/>
    <col min="1015" max="1015" width="37.140625" style="1988" customWidth="1"/>
    <col min="1016" max="1016" width="8.7109375" style="1988" customWidth="1"/>
    <col min="1017" max="1017" width="1.7109375" style="1988" customWidth="1"/>
    <col min="1018" max="1018" width="9.7109375" style="1988" customWidth="1"/>
    <col min="1019" max="1019" width="2.7109375" style="1988" customWidth="1"/>
    <col min="1020" max="1020" width="12" style="1988" customWidth="1"/>
    <col min="1021" max="1021" width="2.7109375" style="1988" customWidth="1"/>
    <col min="1022" max="1022" width="12.42578125" style="1988" customWidth="1"/>
    <col min="1023" max="1023" width="2.7109375" style="1988" customWidth="1"/>
    <col min="1024" max="1025" width="14.140625" style="1988" customWidth="1"/>
    <col min="1026" max="1027" width="13.28515625" style="1988" customWidth="1"/>
    <col min="1028" max="1028" width="3.5703125" style="1988" customWidth="1"/>
    <col min="1029" max="1029" width="11.7109375" style="1988" customWidth="1"/>
    <col min="1030" max="1030" width="4.5703125" style="1988" bestFit="1" customWidth="1"/>
    <col min="1031" max="1031" width="12.85546875" style="1988" bestFit="1" customWidth="1"/>
    <col min="1032" max="1032" width="2.7109375" style="1988" customWidth="1"/>
    <col min="1033" max="1033" width="12.140625" style="1988" bestFit="1" customWidth="1"/>
    <col min="1034" max="1034" width="16" style="1988" customWidth="1"/>
    <col min="1035" max="1035" width="12.5703125" style="1988" customWidth="1"/>
    <col min="1036" max="1036" width="14.5703125" style="1988" bestFit="1" customWidth="1"/>
    <col min="1037" max="1037" width="17.42578125" style="1988" customWidth="1"/>
    <col min="1038" max="1038" width="18.85546875" style="1988" customWidth="1"/>
    <col min="1039" max="1039" width="3.140625" style="1988" customWidth="1"/>
    <col min="1040" max="1040" width="14.85546875" style="1988" bestFit="1" customWidth="1"/>
    <col min="1041" max="1269" width="14.7109375" style="1988"/>
    <col min="1270" max="1270" width="5.7109375" style="1988" customWidth="1"/>
    <col min="1271" max="1271" width="37.140625" style="1988" customWidth="1"/>
    <col min="1272" max="1272" width="8.7109375" style="1988" customWidth="1"/>
    <col min="1273" max="1273" width="1.7109375" style="1988" customWidth="1"/>
    <col min="1274" max="1274" width="9.7109375" style="1988" customWidth="1"/>
    <col min="1275" max="1275" width="2.7109375" style="1988" customWidth="1"/>
    <col min="1276" max="1276" width="12" style="1988" customWidth="1"/>
    <col min="1277" max="1277" width="2.7109375" style="1988" customWidth="1"/>
    <col min="1278" max="1278" width="12.42578125" style="1988" customWidth="1"/>
    <col min="1279" max="1279" width="2.7109375" style="1988" customWidth="1"/>
    <col min="1280" max="1281" width="14.140625" style="1988" customWidth="1"/>
    <col min="1282" max="1283" width="13.28515625" style="1988" customWidth="1"/>
    <col min="1284" max="1284" width="3.5703125" style="1988" customWidth="1"/>
    <col min="1285" max="1285" width="11.7109375" style="1988" customWidth="1"/>
    <col min="1286" max="1286" width="4.5703125" style="1988" bestFit="1" customWidth="1"/>
    <col min="1287" max="1287" width="12.85546875" style="1988" bestFit="1" customWidth="1"/>
    <col min="1288" max="1288" width="2.7109375" style="1988" customWidth="1"/>
    <col min="1289" max="1289" width="12.140625" style="1988" bestFit="1" customWidth="1"/>
    <col min="1290" max="1290" width="16" style="1988" customWidth="1"/>
    <col min="1291" max="1291" width="12.5703125" style="1988" customWidth="1"/>
    <col min="1292" max="1292" width="14.5703125" style="1988" bestFit="1" customWidth="1"/>
    <col min="1293" max="1293" width="17.42578125" style="1988" customWidth="1"/>
    <col min="1294" max="1294" width="18.85546875" style="1988" customWidth="1"/>
    <col min="1295" max="1295" width="3.140625" style="1988" customWidth="1"/>
    <col min="1296" max="1296" width="14.85546875" style="1988" bestFit="1" customWidth="1"/>
    <col min="1297" max="1525" width="14.7109375" style="1988"/>
    <col min="1526" max="1526" width="5.7109375" style="1988" customWidth="1"/>
    <col min="1527" max="1527" width="37.140625" style="1988" customWidth="1"/>
    <col min="1528" max="1528" width="8.7109375" style="1988" customWidth="1"/>
    <col min="1529" max="1529" width="1.7109375" style="1988" customWidth="1"/>
    <col min="1530" max="1530" width="9.7109375" style="1988" customWidth="1"/>
    <col min="1531" max="1531" width="2.7109375" style="1988" customWidth="1"/>
    <col min="1532" max="1532" width="12" style="1988" customWidth="1"/>
    <col min="1533" max="1533" width="2.7109375" style="1988" customWidth="1"/>
    <col min="1534" max="1534" width="12.42578125" style="1988" customWidth="1"/>
    <col min="1535" max="1535" width="2.7109375" style="1988" customWidth="1"/>
    <col min="1536" max="1537" width="14.140625" style="1988" customWidth="1"/>
    <col min="1538" max="1539" width="13.28515625" style="1988" customWidth="1"/>
    <col min="1540" max="1540" width="3.5703125" style="1988" customWidth="1"/>
    <col min="1541" max="1541" width="11.7109375" style="1988" customWidth="1"/>
    <col min="1542" max="1542" width="4.5703125" style="1988" bestFit="1" customWidth="1"/>
    <col min="1543" max="1543" width="12.85546875" style="1988" bestFit="1" customWidth="1"/>
    <col min="1544" max="1544" width="2.7109375" style="1988" customWidth="1"/>
    <col min="1545" max="1545" width="12.140625" style="1988" bestFit="1" customWidth="1"/>
    <col min="1546" max="1546" width="16" style="1988" customWidth="1"/>
    <col min="1547" max="1547" width="12.5703125" style="1988" customWidth="1"/>
    <col min="1548" max="1548" width="14.5703125" style="1988" bestFit="1" customWidth="1"/>
    <col min="1549" max="1549" width="17.42578125" style="1988" customWidth="1"/>
    <col min="1550" max="1550" width="18.85546875" style="1988" customWidth="1"/>
    <col min="1551" max="1551" width="3.140625" style="1988" customWidth="1"/>
    <col min="1552" max="1552" width="14.85546875" style="1988" bestFit="1" customWidth="1"/>
    <col min="1553" max="1781" width="14.7109375" style="1988"/>
    <col min="1782" max="1782" width="5.7109375" style="1988" customWidth="1"/>
    <col min="1783" max="1783" width="37.140625" style="1988" customWidth="1"/>
    <col min="1784" max="1784" width="8.7109375" style="1988" customWidth="1"/>
    <col min="1785" max="1785" width="1.7109375" style="1988" customWidth="1"/>
    <col min="1786" max="1786" width="9.7109375" style="1988" customWidth="1"/>
    <col min="1787" max="1787" width="2.7109375" style="1988" customWidth="1"/>
    <col min="1788" max="1788" width="12" style="1988" customWidth="1"/>
    <col min="1789" max="1789" width="2.7109375" style="1988" customWidth="1"/>
    <col min="1790" max="1790" width="12.42578125" style="1988" customWidth="1"/>
    <col min="1791" max="1791" width="2.7109375" style="1988" customWidth="1"/>
    <col min="1792" max="1793" width="14.140625" style="1988" customWidth="1"/>
    <col min="1794" max="1795" width="13.28515625" style="1988" customWidth="1"/>
    <col min="1796" max="1796" width="3.5703125" style="1988" customWidth="1"/>
    <col min="1797" max="1797" width="11.7109375" style="1988" customWidth="1"/>
    <col min="1798" max="1798" width="4.5703125" style="1988" bestFit="1" customWidth="1"/>
    <col min="1799" max="1799" width="12.85546875" style="1988" bestFit="1" customWidth="1"/>
    <col min="1800" max="1800" width="2.7109375" style="1988" customWidth="1"/>
    <col min="1801" max="1801" width="12.140625" style="1988" bestFit="1" customWidth="1"/>
    <col min="1802" max="1802" width="16" style="1988" customWidth="1"/>
    <col min="1803" max="1803" width="12.5703125" style="1988" customWidth="1"/>
    <col min="1804" max="1804" width="14.5703125" style="1988" bestFit="1" customWidth="1"/>
    <col min="1805" max="1805" width="17.42578125" style="1988" customWidth="1"/>
    <col min="1806" max="1806" width="18.85546875" style="1988" customWidth="1"/>
    <col min="1807" max="1807" width="3.140625" style="1988" customWidth="1"/>
    <col min="1808" max="1808" width="14.85546875" style="1988" bestFit="1" customWidth="1"/>
    <col min="1809" max="2037" width="14.7109375" style="1988"/>
    <col min="2038" max="2038" width="5.7109375" style="1988" customWidth="1"/>
    <col min="2039" max="2039" width="37.140625" style="1988" customWidth="1"/>
    <col min="2040" max="2040" width="8.7109375" style="1988" customWidth="1"/>
    <col min="2041" max="2041" width="1.7109375" style="1988" customWidth="1"/>
    <col min="2042" max="2042" width="9.7109375" style="1988" customWidth="1"/>
    <col min="2043" max="2043" width="2.7109375" style="1988" customWidth="1"/>
    <col min="2044" max="2044" width="12" style="1988" customWidth="1"/>
    <col min="2045" max="2045" width="2.7109375" style="1988" customWidth="1"/>
    <col min="2046" max="2046" width="12.42578125" style="1988" customWidth="1"/>
    <col min="2047" max="2047" width="2.7109375" style="1988" customWidth="1"/>
    <col min="2048" max="2049" width="14.140625" style="1988" customWidth="1"/>
    <col min="2050" max="2051" width="13.28515625" style="1988" customWidth="1"/>
    <col min="2052" max="2052" width="3.5703125" style="1988" customWidth="1"/>
    <col min="2053" max="2053" width="11.7109375" style="1988" customWidth="1"/>
    <col min="2054" max="2054" width="4.5703125" style="1988" bestFit="1" customWidth="1"/>
    <col min="2055" max="2055" width="12.85546875" style="1988" bestFit="1" customWidth="1"/>
    <col min="2056" max="2056" width="2.7109375" style="1988" customWidth="1"/>
    <col min="2057" max="2057" width="12.140625" style="1988" bestFit="1" customWidth="1"/>
    <col min="2058" max="2058" width="16" style="1988" customWidth="1"/>
    <col min="2059" max="2059" width="12.5703125" style="1988" customWidth="1"/>
    <col min="2060" max="2060" width="14.5703125" style="1988" bestFit="1" customWidth="1"/>
    <col min="2061" max="2061" width="17.42578125" style="1988" customWidth="1"/>
    <col min="2062" max="2062" width="18.85546875" style="1988" customWidth="1"/>
    <col min="2063" max="2063" width="3.140625" style="1988" customWidth="1"/>
    <col min="2064" max="2064" width="14.85546875" style="1988" bestFit="1" customWidth="1"/>
    <col min="2065" max="2293" width="14.7109375" style="1988"/>
    <col min="2294" max="2294" width="5.7109375" style="1988" customWidth="1"/>
    <col min="2295" max="2295" width="37.140625" style="1988" customWidth="1"/>
    <col min="2296" max="2296" width="8.7109375" style="1988" customWidth="1"/>
    <col min="2297" max="2297" width="1.7109375" style="1988" customWidth="1"/>
    <col min="2298" max="2298" width="9.7109375" style="1988" customWidth="1"/>
    <col min="2299" max="2299" width="2.7109375" style="1988" customWidth="1"/>
    <col min="2300" max="2300" width="12" style="1988" customWidth="1"/>
    <col min="2301" max="2301" width="2.7109375" style="1988" customWidth="1"/>
    <col min="2302" max="2302" width="12.42578125" style="1988" customWidth="1"/>
    <col min="2303" max="2303" width="2.7109375" style="1988" customWidth="1"/>
    <col min="2304" max="2305" width="14.140625" style="1988" customWidth="1"/>
    <col min="2306" max="2307" width="13.28515625" style="1988" customWidth="1"/>
    <col min="2308" max="2308" width="3.5703125" style="1988" customWidth="1"/>
    <col min="2309" max="2309" width="11.7109375" style="1988" customWidth="1"/>
    <col min="2310" max="2310" width="4.5703125" style="1988" bestFit="1" customWidth="1"/>
    <col min="2311" max="2311" width="12.85546875" style="1988" bestFit="1" customWidth="1"/>
    <col min="2312" max="2312" width="2.7109375" style="1988" customWidth="1"/>
    <col min="2313" max="2313" width="12.140625" style="1988" bestFit="1" customWidth="1"/>
    <col min="2314" max="2314" width="16" style="1988" customWidth="1"/>
    <col min="2315" max="2315" width="12.5703125" style="1988" customWidth="1"/>
    <col min="2316" max="2316" width="14.5703125" style="1988" bestFit="1" customWidth="1"/>
    <col min="2317" max="2317" width="17.42578125" style="1988" customWidth="1"/>
    <col min="2318" max="2318" width="18.85546875" style="1988" customWidth="1"/>
    <col min="2319" max="2319" width="3.140625" style="1988" customWidth="1"/>
    <col min="2320" max="2320" width="14.85546875" style="1988" bestFit="1" customWidth="1"/>
    <col min="2321" max="2549" width="14.7109375" style="1988"/>
    <col min="2550" max="2550" width="5.7109375" style="1988" customWidth="1"/>
    <col min="2551" max="2551" width="37.140625" style="1988" customWidth="1"/>
    <col min="2552" max="2552" width="8.7109375" style="1988" customWidth="1"/>
    <col min="2553" max="2553" width="1.7109375" style="1988" customWidth="1"/>
    <col min="2554" max="2554" width="9.7109375" style="1988" customWidth="1"/>
    <col min="2555" max="2555" width="2.7109375" style="1988" customWidth="1"/>
    <col min="2556" max="2556" width="12" style="1988" customWidth="1"/>
    <col min="2557" max="2557" width="2.7109375" style="1988" customWidth="1"/>
    <col min="2558" max="2558" width="12.42578125" style="1988" customWidth="1"/>
    <col min="2559" max="2559" width="2.7109375" style="1988" customWidth="1"/>
    <col min="2560" max="2561" width="14.140625" style="1988" customWidth="1"/>
    <col min="2562" max="2563" width="13.28515625" style="1988" customWidth="1"/>
    <col min="2564" max="2564" width="3.5703125" style="1988" customWidth="1"/>
    <col min="2565" max="2565" width="11.7109375" style="1988" customWidth="1"/>
    <col min="2566" max="2566" width="4.5703125" style="1988" bestFit="1" customWidth="1"/>
    <col min="2567" max="2567" width="12.85546875" style="1988" bestFit="1" customWidth="1"/>
    <col min="2568" max="2568" width="2.7109375" style="1988" customWidth="1"/>
    <col min="2569" max="2569" width="12.140625" style="1988" bestFit="1" customWidth="1"/>
    <col min="2570" max="2570" width="16" style="1988" customWidth="1"/>
    <col min="2571" max="2571" width="12.5703125" style="1988" customWidth="1"/>
    <col min="2572" max="2572" width="14.5703125" style="1988" bestFit="1" customWidth="1"/>
    <col min="2573" max="2573" width="17.42578125" style="1988" customWidth="1"/>
    <col min="2574" max="2574" width="18.85546875" style="1988" customWidth="1"/>
    <col min="2575" max="2575" width="3.140625" style="1988" customWidth="1"/>
    <col min="2576" max="2576" width="14.85546875" style="1988" bestFit="1" customWidth="1"/>
    <col min="2577" max="2805" width="14.7109375" style="1988"/>
    <col min="2806" max="2806" width="5.7109375" style="1988" customWidth="1"/>
    <col min="2807" max="2807" width="37.140625" style="1988" customWidth="1"/>
    <col min="2808" max="2808" width="8.7109375" style="1988" customWidth="1"/>
    <col min="2809" max="2809" width="1.7109375" style="1988" customWidth="1"/>
    <col min="2810" max="2810" width="9.7109375" style="1988" customWidth="1"/>
    <col min="2811" max="2811" width="2.7109375" style="1988" customWidth="1"/>
    <col min="2812" max="2812" width="12" style="1988" customWidth="1"/>
    <col min="2813" max="2813" width="2.7109375" style="1988" customWidth="1"/>
    <col min="2814" max="2814" width="12.42578125" style="1988" customWidth="1"/>
    <col min="2815" max="2815" width="2.7109375" style="1988" customWidth="1"/>
    <col min="2816" max="2817" width="14.140625" style="1988" customWidth="1"/>
    <col min="2818" max="2819" width="13.28515625" style="1988" customWidth="1"/>
    <col min="2820" max="2820" width="3.5703125" style="1988" customWidth="1"/>
    <col min="2821" max="2821" width="11.7109375" style="1988" customWidth="1"/>
    <col min="2822" max="2822" width="4.5703125" style="1988" bestFit="1" customWidth="1"/>
    <col min="2823" max="2823" width="12.85546875" style="1988" bestFit="1" customWidth="1"/>
    <col min="2824" max="2824" width="2.7109375" style="1988" customWidth="1"/>
    <col min="2825" max="2825" width="12.140625" style="1988" bestFit="1" customWidth="1"/>
    <col min="2826" max="2826" width="16" style="1988" customWidth="1"/>
    <col min="2827" max="2827" width="12.5703125" style="1988" customWidth="1"/>
    <col min="2828" max="2828" width="14.5703125" style="1988" bestFit="1" customWidth="1"/>
    <col min="2829" max="2829" width="17.42578125" style="1988" customWidth="1"/>
    <col min="2830" max="2830" width="18.85546875" style="1988" customWidth="1"/>
    <col min="2831" max="2831" width="3.140625" style="1988" customWidth="1"/>
    <col min="2832" max="2832" width="14.85546875" style="1988" bestFit="1" customWidth="1"/>
    <col min="2833" max="3061" width="14.7109375" style="1988"/>
    <col min="3062" max="3062" width="5.7109375" style="1988" customWidth="1"/>
    <col min="3063" max="3063" width="37.140625" style="1988" customWidth="1"/>
    <col min="3064" max="3064" width="8.7109375" style="1988" customWidth="1"/>
    <col min="3065" max="3065" width="1.7109375" style="1988" customWidth="1"/>
    <col min="3066" max="3066" width="9.7109375" style="1988" customWidth="1"/>
    <col min="3067" max="3067" width="2.7109375" style="1988" customWidth="1"/>
    <col min="3068" max="3068" width="12" style="1988" customWidth="1"/>
    <col min="3069" max="3069" width="2.7109375" style="1988" customWidth="1"/>
    <col min="3070" max="3070" width="12.42578125" style="1988" customWidth="1"/>
    <col min="3071" max="3071" width="2.7109375" style="1988" customWidth="1"/>
    <col min="3072" max="3073" width="14.140625" style="1988" customWidth="1"/>
    <col min="3074" max="3075" width="13.28515625" style="1988" customWidth="1"/>
    <col min="3076" max="3076" width="3.5703125" style="1988" customWidth="1"/>
    <col min="3077" max="3077" width="11.7109375" style="1988" customWidth="1"/>
    <col min="3078" max="3078" width="4.5703125" style="1988" bestFit="1" customWidth="1"/>
    <col min="3079" max="3079" width="12.85546875" style="1988" bestFit="1" customWidth="1"/>
    <col min="3080" max="3080" width="2.7109375" style="1988" customWidth="1"/>
    <col min="3081" max="3081" width="12.140625" style="1988" bestFit="1" customWidth="1"/>
    <col min="3082" max="3082" width="16" style="1988" customWidth="1"/>
    <col min="3083" max="3083" width="12.5703125" style="1988" customWidth="1"/>
    <col min="3084" max="3084" width="14.5703125" style="1988" bestFit="1" customWidth="1"/>
    <col min="3085" max="3085" width="17.42578125" style="1988" customWidth="1"/>
    <col min="3086" max="3086" width="18.85546875" style="1988" customWidth="1"/>
    <col min="3087" max="3087" width="3.140625" style="1988" customWidth="1"/>
    <col min="3088" max="3088" width="14.85546875" style="1988" bestFit="1" customWidth="1"/>
    <col min="3089" max="3317" width="14.7109375" style="1988"/>
    <col min="3318" max="3318" width="5.7109375" style="1988" customWidth="1"/>
    <col min="3319" max="3319" width="37.140625" style="1988" customWidth="1"/>
    <col min="3320" max="3320" width="8.7109375" style="1988" customWidth="1"/>
    <col min="3321" max="3321" width="1.7109375" style="1988" customWidth="1"/>
    <col min="3322" max="3322" width="9.7109375" style="1988" customWidth="1"/>
    <col min="3323" max="3323" width="2.7109375" style="1988" customWidth="1"/>
    <col min="3324" max="3324" width="12" style="1988" customWidth="1"/>
    <col min="3325" max="3325" width="2.7109375" style="1988" customWidth="1"/>
    <col min="3326" max="3326" width="12.42578125" style="1988" customWidth="1"/>
    <col min="3327" max="3327" width="2.7109375" style="1988" customWidth="1"/>
    <col min="3328" max="3329" width="14.140625" style="1988" customWidth="1"/>
    <col min="3330" max="3331" width="13.28515625" style="1988" customWidth="1"/>
    <col min="3332" max="3332" width="3.5703125" style="1988" customWidth="1"/>
    <col min="3333" max="3333" width="11.7109375" style="1988" customWidth="1"/>
    <col min="3334" max="3334" width="4.5703125" style="1988" bestFit="1" customWidth="1"/>
    <col min="3335" max="3335" width="12.85546875" style="1988" bestFit="1" customWidth="1"/>
    <col min="3336" max="3336" width="2.7109375" style="1988" customWidth="1"/>
    <col min="3337" max="3337" width="12.140625" style="1988" bestFit="1" customWidth="1"/>
    <col min="3338" max="3338" width="16" style="1988" customWidth="1"/>
    <col min="3339" max="3339" width="12.5703125" style="1988" customWidth="1"/>
    <col min="3340" max="3340" width="14.5703125" style="1988" bestFit="1" customWidth="1"/>
    <col min="3341" max="3341" width="17.42578125" style="1988" customWidth="1"/>
    <col min="3342" max="3342" width="18.85546875" style="1988" customWidth="1"/>
    <col min="3343" max="3343" width="3.140625" style="1988" customWidth="1"/>
    <col min="3344" max="3344" width="14.85546875" style="1988" bestFit="1" customWidth="1"/>
    <col min="3345" max="3573" width="14.7109375" style="1988"/>
    <col min="3574" max="3574" width="5.7109375" style="1988" customWidth="1"/>
    <col min="3575" max="3575" width="37.140625" style="1988" customWidth="1"/>
    <col min="3576" max="3576" width="8.7109375" style="1988" customWidth="1"/>
    <col min="3577" max="3577" width="1.7109375" style="1988" customWidth="1"/>
    <col min="3578" max="3578" width="9.7109375" style="1988" customWidth="1"/>
    <col min="3579" max="3579" width="2.7109375" style="1988" customWidth="1"/>
    <col min="3580" max="3580" width="12" style="1988" customWidth="1"/>
    <col min="3581" max="3581" width="2.7109375" style="1988" customWidth="1"/>
    <col min="3582" max="3582" width="12.42578125" style="1988" customWidth="1"/>
    <col min="3583" max="3583" width="2.7109375" style="1988" customWidth="1"/>
    <col min="3584" max="3585" width="14.140625" style="1988" customWidth="1"/>
    <col min="3586" max="3587" width="13.28515625" style="1988" customWidth="1"/>
    <col min="3588" max="3588" width="3.5703125" style="1988" customWidth="1"/>
    <col min="3589" max="3589" width="11.7109375" style="1988" customWidth="1"/>
    <col min="3590" max="3590" width="4.5703125" style="1988" bestFit="1" customWidth="1"/>
    <col min="3591" max="3591" width="12.85546875" style="1988" bestFit="1" customWidth="1"/>
    <col min="3592" max="3592" width="2.7109375" style="1988" customWidth="1"/>
    <col min="3593" max="3593" width="12.140625" style="1988" bestFit="1" customWidth="1"/>
    <col min="3594" max="3594" width="16" style="1988" customWidth="1"/>
    <col min="3595" max="3595" width="12.5703125" style="1988" customWidth="1"/>
    <col min="3596" max="3596" width="14.5703125" style="1988" bestFit="1" customWidth="1"/>
    <col min="3597" max="3597" width="17.42578125" style="1988" customWidth="1"/>
    <col min="3598" max="3598" width="18.85546875" style="1988" customWidth="1"/>
    <col min="3599" max="3599" width="3.140625" style="1988" customWidth="1"/>
    <col min="3600" max="3600" width="14.85546875" style="1988" bestFit="1" customWidth="1"/>
    <col min="3601" max="3829" width="14.7109375" style="1988"/>
    <col min="3830" max="3830" width="5.7109375" style="1988" customWidth="1"/>
    <col min="3831" max="3831" width="37.140625" style="1988" customWidth="1"/>
    <col min="3832" max="3832" width="8.7109375" style="1988" customWidth="1"/>
    <col min="3833" max="3833" width="1.7109375" style="1988" customWidth="1"/>
    <col min="3834" max="3834" width="9.7109375" style="1988" customWidth="1"/>
    <col min="3835" max="3835" width="2.7109375" style="1988" customWidth="1"/>
    <col min="3836" max="3836" width="12" style="1988" customWidth="1"/>
    <col min="3837" max="3837" width="2.7109375" style="1988" customWidth="1"/>
    <col min="3838" max="3838" width="12.42578125" style="1988" customWidth="1"/>
    <col min="3839" max="3839" width="2.7109375" style="1988" customWidth="1"/>
    <col min="3840" max="3841" width="14.140625" style="1988" customWidth="1"/>
    <col min="3842" max="3843" width="13.28515625" style="1988" customWidth="1"/>
    <col min="3844" max="3844" width="3.5703125" style="1988" customWidth="1"/>
    <col min="3845" max="3845" width="11.7109375" style="1988" customWidth="1"/>
    <col min="3846" max="3846" width="4.5703125" style="1988" bestFit="1" customWidth="1"/>
    <col min="3847" max="3847" width="12.85546875" style="1988" bestFit="1" customWidth="1"/>
    <col min="3848" max="3848" width="2.7109375" style="1988" customWidth="1"/>
    <col min="3849" max="3849" width="12.140625" style="1988" bestFit="1" customWidth="1"/>
    <col min="3850" max="3850" width="16" style="1988" customWidth="1"/>
    <col min="3851" max="3851" width="12.5703125" style="1988" customWidth="1"/>
    <col min="3852" max="3852" width="14.5703125" style="1988" bestFit="1" customWidth="1"/>
    <col min="3853" max="3853" width="17.42578125" style="1988" customWidth="1"/>
    <col min="3854" max="3854" width="18.85546875" style="1988" customWidth="1"/>
    <col min="3855" max="3855" width="3.140625" style="1988" customWidth="1"/>
    <col min="3856" max="3856" width="14.85546875" style="1988" bestFit="1" customWidth="1"/>
    <col min="3857" max="4085" width="14.7109375" style="1988"/>
    <col min="4086" max="4086" width="5.7109375" style="1988" customWidth="1"/>
    <col min="4087" max="4087" width="37.140625" style="1988" customWidth="1"/>
    <col min="4088" max="4088" width="8.7109375" style="1988" customWidth="1"/>
    <col min="4089" max="4089" width="1.7109375" style="1988" customWidth="1"/>
    <col min="4090" max="4090" width="9.7109375" style="1988" customWidth="1"/>
    <col min="4091" max="4091" width="2.7109375" style="1988" customWidth="1"/>
    <col min="4092" max="4092" width="12" style="1988" customWidth="1"/>
    <col min="4093" max="4093" width="2.7109375" style="1988" customWidth="1"/>
    <col min="4094" max="4094" width="12.42578125" style="1988" customWidth="1"/>
    <col min="4095" max="4095" width="2.7109375" style="1988" customWidth="1"/>
    <col min="4096" max="4097" width="14.140625" style="1988" customWidth="1"/>
    <col min="4098" max="4099" width="13.28515625" style="1988" customWidth="1"/>
    <col min="4100" max="4100" width="3.5703125" style="1988" customWidth="1"/>
    <col min="4101" max="4101" width="11.7109375" style="1988" customWidth="1"/>
    <col min="4102" max="4102" width="4.5703125" style="1988" bestFit="1" customWidth="1"/>
    <col min="4103" max="4103" width="12.85546875" style="1988" bestFit="1" customWidth="1"/>
    <col min="4104" max="4104" width="2.7109375" style="1988" customWidth="1"/>
    <col min="4105" max="4105" width="12.140625" style="1988" bestFit="1" customWidth="1"/>
    <col min="4106" max="4106" width="16" style="1988" customWidth="1"/>
    <col min="4107" max="4107" width="12.5703125" style="1988" customWidth="1"/>
    <col min="4108" max="4108" width="14.5703125" style="1988" bestFit="1" customWidth="1"/>
    <col min="4109" max="4109" width="17.42578125" style="1988" customWidth="1"/>
    <col min="4110" max="4110" width="18.85546875" style="1988" customWidth="1"/>
    <col min="4111" max="4111" width="3.140625" style="1988" customWidth="1"/>
    <col min="4112" max="4112" width="14.85546875" style="1988" bestFit="1" customWidth="1"/>
    <col min="4113" max="4341" width="14.7109375" style="1988"/>
    <col min="4342" max="4342" width="5.7109375" style="1988" customWidth="1"/>
    <col min="4343" max="4343" width="37.140625" style="1988" customWidth="1"/>
    <col min="4344" max="4344" width="8.7109375" style="1988" customWidth="1"/>
    <col min="4345" max="4345" width="1.7109375" style="1988" customWidth="1"/>
    <col min="4346" max="4346" width="9.7109375" style="1988" customWidth="1"/>
    <col min="4347" max="4347" width="2.7109375" style="1988" customWidth="1"/>
    <col min="4348" max="4348" width="12" style="1988" customWidth="1"/>
    <col min="4349" max="4349" width="2.7109375" style="1988" customWidth="1"/>
    <col min="4350" max="4350" width="12.42578125" style="1988" customWidth="1"/>
    <col min="4351" max="4351" width="2.7109375" style="1988" customWidth="1"/>
    <col min="4352" max="4353" width="14.140625" style="1988" customWidth="1"/>
    <col min="4354" max="4355" width="13.28515625" style="1988" customWidth="1"/>
    <col min="4356" max="4356" width="3.5703125" style="1988" customWidth="1"/>
    <col min="4357" max="4357" width="11.7109375" style="1988" customWidth="1"/>
    <col min="4358" max="4358" width="4.5703125" style="1988" bestFit="1" customWidth="1"/>
    <col min="4359" max="4359" width="12.85546875" style="1988" bestFit="1" customWidth="1"/>
    <col min="4360" max="4360" width="2.7109375" style="1988" customWidth="1"/>
    <col min="4361" max="4361" width="12.140625" style="1988" bestFit="1" customWidth="1"/>
    <col min="4362" max="4362" width="16" style="1988" customWidth="1"/>
    <col min="4363" max="4363" width="12.5703125" style="1988" customWidth="1"/>
    <col min="4364" max="4364" width="14.5703125" style="1988" bestFit="1" customWidth="1"/>
    <col min="4365" max="4365" width="17.42578125" style="1988" customWidth="1"/>
    <col min="4366" max="4366" width="18.85546875" style="1988" customWidth="1"/>
    <col min="4367" max="4367" width="3.140625" style="1988" customWidth="1"/>
    <col min="4368" max="4368" width="14.85546875" style="1988" bestFit="1" customWidth="1"/>
    <col min="4369" max="4597" width="14.7109375" style="1988"/>
    <col min="4598" max="4598" width="5.7109375" style="1988" customWidth="1"/>
    <col min="4599" max="4599" width="37.140625" style="1988" customWidth="1"/>
    <col min="4600" max="4600" width="8.7109375" style="1988" customWidth="1"/>
    <col min="4601" max="4601" width="1.7109375" style="1988" customWidth="1"/>
    <col min="4602" max="4602" width="9.7109375" style="1988" customWidth="1"/>
    <col min="4603" max="4603" width="2.7109375" style="1988" customWidth="1"/>
    <col min="4604" max="4604" width="12" style="1988" customWidth="1"/>
    <col min="4605" max="4605" width="2.7109375" style="1988" customWidth="1"/>
    <col min="4606" max="4606" width="12.42578125" style="1988" customWidth="1"/>
    <col min="4607" max="4607" width="2.7109375" style="1988" customWidth="1"/>
    <col min="4608" max="4609" width="14.140625" style="1988" customWidth="1"/>
    <col min="4610" max="4611" width="13.28515625" style="1988" customWidth="1"/>
    <col min="4612" max="4612" width="3.5703125" style="1988" customWidth="1"/>
    <col min="4613" max="4613" width="11.7109375" style="1988" customWidth="1"/>
    <col min="4614" max="4614" width="4.5703125" style="1988" bestFit="1" customWidth="1"/>
    <col min="4615" max="4615" width="12.85546875" style="1988" bestFit="1" customWidth="1"/>
    <col min="4616" max="4616" width="2.7109375" style="1988" customWidth="1"/>
    <col min="4617" max="4617" width="12.140625" style="1988" bestFit="1" customWidth="1"/>
    <col min="4618" max="4618" width="16" style="1988" customWidth="1"/>
    <col min="4619" max="4619" width="12.5703125" style="1988" customWidth="1"/>
    <col min="4620" max="4620" width="14.5703125" style="1988" bestFit="1" customWidth="1"/>
    <col min="4621" max="4621" width="17.42578125" style="1988" customWidth="1"/>
    <col min="4622" max="4622" width="18.85546875" style="1988" customWidth="1"/>
    <col min="4623" max="4623" width="3.140625" style="1988" customWidth="1"/>
    <col min="4624" max="4624" width="14.85546875" style="1988" bestFit="1" customWidth="1"/>
    <col min="4625" max="4853" width="14.7109375" style="1988"/>
    <col min="4854" max="4854" width="5.7109375" style="1988" customWidth="1"/>
    <col min="4855" max="4855" width="37.140625" style="1988" customWidth="1"/>
    <col min="4856" max="4856" width="8.7109375" style="1988" customWidth="1"/>
    <col min="4857" max="4857" width="1.7109375" style="1988" customWidth="1"/>
    <col min="4858" max="4858" width="9.7109375" style="1988" customWidth="1"/>
    <col min="4859" max="4859" width="2.7109375" style="1988" customWidth="1"/>
    <col min="4860" max="4860" width="12" style="1988" customWidth="1"/>
    <col min="4861" max="4861" width="2.7109375" style="1988" customWidth="1"/>
    <col min="4862" max="4862" width="12.42578125" style="1988" customWidth="1"/>
    <col min="4863" max="4863" width="2.7109375" style="1988" customWidth="1"/>
    <col min="4864" max="4865" width="14.140625" style="1988" customWidth="1"/>
    <col min="4866" max="4867" width="13.28515625" style="1988" customWidth="1"/>
    <col min="4868" max="4868" width="3.5703125" style="1988" customWidth="1"/>
    <col min="4869" max="4869" width="11.7109375" style="1988" customWidth="1"/>
    <col min="4870" max="4870" width="4.5703125" style="1988" bestFit="1" customWidth="1"/>
    <col min="4871" max="4871" width="12.85546875" style="1988" bestFit="1" customWidth="1"/>
    <col min="4872" max="4872" width="2.7109375" style="1988" customWidth="1"/>
    <col min="4873" max="4873" width="12.140625" style="1988" bestFit="1" customWidth="1"/>
    <col min="4874" max="4874" width="16" style="1988" customWidth="1"/>
    <col min="4875" max="4875" width="12.5703125" style="1988" customWidth="1"/>
    <col min="4876" max="4876" width="14.5703125" style="1988" bestFit="1" customWidth="1"/>
    <col min="4877" max="4877" width="17.42578125" style="1988" customWidth="1"/>
    <col min="4878" max="4878" width="18.85546875" style="1988" customWidth="1"/>
    <col min="4879" max="4879" width="3.140625" style="1988" customWidth="1"/>
    <col min="4880" max="4880" width="14.85546875" style="1988" bestFit="1" customWidth="1"/>
    <col min="4881" max="5109" width="14.7109375" style="1988"/>
    <col min="5110" max="5110" width="5.7109375" style="1988" customWidth="1"/>
    <col min="5111" max="5111" width="37.140625" style="1988" customWidth="1"/>
    <col min="5112" max="5112" width="8.7109375" style="1988" customWidth="1"/>
    <col min="5113" max="5113" width="1.7109375" style="1988" customWidth="1"/>
    <col min="5114" max="5114" width="9.7109375" style="1988" customWidth="1"/>
    <col min="5115" max="5115" width="2.7109375" style="1988" customWidth="1"/>
    <col min="5116" max="5116" width="12" style="1988" customWidth="1"/>
    <col min="5117" max="5117" width="2.7109375" style="1988" customWidth="1"/>
    <col min="5118" max="5118" width="12.42578125" style="1988" customWidth="1"/>
    <col min="5119" max="5119" width="2.7109375" style="1988" customWidth="1"/>
    <col min="5120" max="5121" width="14.140625" style="1988" customWidth="1"/>
    <col min="5122" max="5123" width="13.28515625" style="1988" customWidth="1"/>
    <col min="5124" max="5124" width="3.5703125" style="1988" customWidth="1"/>
    <col min="5125" max="5125" width="11.7109375" style="1988" customWidth="1"/>
    <col min="5126" max="5126" width="4.5703125" style="1988" bestFit="1" customWidth="1"/>
    <col min="5127" max="5127" width="12.85546875" style="1988" bestFit="1" customWidth="1"/>
    <col min="5128" max="5128" width="2.7109375" style="1988" customWidth="1"/>
    <col min="5129" max="5129" width="12.140625" style="1988" bestFit="1" customWidth="1"/>
    <col min="5130" max="5130" width="16" style="1988" customWidth="1"/>
    <col min="5131" max="5131" width="12.5703125" style="1988" customWidth="1"/>
    <col min="5132" max="5132" width="14.5703125" style="1988" bestFit="1" customWidth="1"/>
    <col min="5133" max="5133" width="17.42578125" style="1988" customWidth="1"/>
    <col min="5134" max="5134" width="18.85546875" style="1988" customWidth="1"/>
    <col min="5135" max="5135" width="3.140625" style="1988" customWidth="1"/>
    <col min="5136" max="5136" width="14.85546875" style="1988" bestFit="1" customWidth="1"/>
    <col min="5137" max="5365" width="14.7109375" style="1988"/>
    <col min="5366" max="5366" width="5.7109375" style="1988" customWidth="1"/>
    <col min="5367" max="5367" width="37.140625" style="1988" customWidth="1"/>
    <col min="5368" max="5368" width="8.7109375" style="1988" customWidth="1"/>
    <col min="5369" max="5369" width="1.7109375" style="1988" customWidth="1"/>
    <col min="5370" max="5370" width="9.7109375" style="1988" customWidth="1"/>
    <col min="5371" max="5371" width="2.7109375" style="1988" customWidth="1"/>
    <col min="5372" max="5372" width="12" style="1988" customWidth="1"/>
    <col min="5373" max="5373" width="2.7109375" style="1988" customWidth="1"/>
    <col min="5374" max="5374" width="12.42578125" style="1988" customWidth="1"/>
    <col min="5375" max="5375" width="2.7109375" style="1988" customWidth="1"/>
    <col min="5376" max="5377" width="14.140625" style="1988" customWidth="1"/>
    <col min="5378" max="5379" width="13.28515625" style="1988" customWidth="1"/>
    <col min="5380" max="5380" width="3.5703125" style="1988" customWidth="1"/>
    <col min="5381" max="5381" width="11.7109375" style="1988" customWidth="1"/>
    <col min="5382" max="5382" width="4.5703125" style="1988" bestFit="1" customWidth="1"/>
    <col min="5383" max="5383" width="12.85546875" style="1988" bestFit="1" customWidth="1"/>
    <col min="5384" max="5384" width="2.7109375" style="1988" customWidth="1"/>
    <col min="5385" max="5385" width="12.140625" style="1988" bestFit="1" customWidth="1"/>
    <col min="5386" max="5386" width="16" style="1988" customWidth="1"/>
    <col min="5387" max="5387" width="12.5703125" style="1988" customWidth="1"/>
    <col min="5388" max="5388" width="14.5703125" style="1988" bestFit="1" customWidth="1"/>
    <col min="5389" max="5389" width="17.42578125" style="1988" customWidth="1"/>
    <col min="5390" max="5390" width="18.85546875" style="1988" customWidth="1"/>
    <col min="5391" max="5391" width="3.140625" style="1988" customWidth="1"/>
    <col min="5392" max="5392" width="14.85546875" style="1988" bestFit="1" customWidth="1"/>
    <col min="5393" max="5621" width="14.7109375" style="1988"/>
    <col min="5622" max="5622" width="5.7109375" style="1988" customWidth="1"/>
    <col min="5623" max="5623" width="37.140625" style="1988" customWidth="1"/>
    <col min="5624" max="5624" width="8.7109375" style="1988" customWidth="1"/>
    <col min="5625" max="5625" width="1.7109375" style="1988" customWidth="1"/>
    <col min="5626" max="5626" width="9.7109375" style="1988" customWidth="1"/>
    <col min="5627" max="5627" width="2.7109375" style="1988" customWidth="1"/>
    <col min="5628" max="5628" width="12" style="1988" customWidth="1"/>
    <col min="5629" max="5629" width="2.7109375" style="1988" customWidth="1"/>
    <col min="5630" max="5630" width="12.42578125" style="1988" customWidth="1"/>
    <col min="5631" max="5631" width="2.7109375" style="1988" customWidth="1"/>
    <col min="5632" max="5633" width="14.140625" style="1988" customWidth="1"/>
    <col min="5634" max="5635" width="13.28515625" style="1988" customWidth="1"/>
    <col min="5636" max="5636" width="3.5703125" style="1988" customWidth="1"/>
    <col min="5637" max="5637" width="11.7109375" style="1988" customWidth="1"/>
    <col min="5638" max="5638" width="4.5703125" style="1988" bestFit="1" customWidth="1"/>
    <col min="5639" max="5639" width="12.85546875" style="1988" bestFit="1" customWidth="1"/>
    <col min="5640" max="5640" width="2.7109375" style="1988" customWidth="1"/>
    <col min="5641" max="5641" width="12.140625" style="1988" bestFit="1" customWidth="1"/>
    <col min="5642" max="5642" width="16" style="1988" customWidth="1"/>
    <col min="5643" max="5643" width="12.5703125" style="1988" customWidth="1"/>
    <col min="5644" max="5644" width="14.5703125" style="1988" bestFit="1" customWidth="1"/>
    <col min="5645" max="5645" width="17.42578125" style="1988" customWidth="1"/>
    <col min="5646" max="5646" width="18.85546875" style="1988" customWidth="1"/>
    <col min="5647" max="5647" width="3.140625" style="1988" customWidth="1"/>
    <col min="5648" max="5648" width="14.85546875" style="1988" bestFit="1" customWidth="1"/>
    <col min="5649" max="5877" width="14.7109375" style="1988"/>
    <col min="5878" max="5878" width="5.7109375" style="1988" customWidth="1"/>
    <col min="5879" max="5879" width="37.140625" style="1988" customWidth="1"/>
    <col min="5880" max="5880" width="8.7109375" style="1988" customWidth="1"/>
    <col min="5881" max="5881" width="1.7109375" style="1988" customWidth="1"/>
    <col min="5882" max="5882" width="9.7109375" style="1988" customWidth="1"/>
    <col min="5883" max="5883" width="2.7109375" style="1988" customWidth="1"/>
    <col min="5884" max="5884" width="12" style="1988" customWidth="1"/>
    <col min="5885" max="5885" width="2.7109375" style="1988" customWidth="1"/>
    <col min="5886" max="5886" width="12.42578125" style="1988" customWidth="1"/>
    <col min="5887" max="5887" width="2.7109375" style="1988" customWidth="1"/>
    <col min="5888" max="5889" width="14.140625" style="1988" customWidth="1"/>
    <col min="5890" max="5891" width="13.28515625" style="1988" customWidth="1"/>
    <col min="5892" max="5892" width="3.5703125" style="1988" customWidth="1"/>
    <col min="5893" max="5893" width="11.7109375" style="1988" customWidth="1"/>
    <col min="5894" max="5894" width="4.5703125" style="1988" bestFit="1" customWidth="1"/>
    <col min="5895" max="5895" width="12.85546875" style="1988" bestFit="1" customWidth="1"/>
    <col min="5896" max="5896" width="2.7109375" style="1988" customWidth="1"/>
    <col min="5897" max="5897" width="12.140625" style="1988" bestFit="1" customWidth="1"/>
    <col min="5898" max="5898" width="16" style="1988" customWidth="1"/>
    <col min="5899" max="5899" width="12.5703125" style="1988" customWidth="1"/>
    <col min="5900" max="5900" width="14.5703125" style="1988" bestFit="1" customWidth="1"/>
    <col min="5901" max="5901" width="17.42578125" style="1988" customWidth="1"/>
    <col min="5902" max="5902" width="18.85546875" style="1988" customWidth="1"/>
    <col min="5903" max="5903" width="3.140625" style="1988" customWidth="1"/>
    <col min="5904" max="5904" width="14.85546875" style="1988" bestFit="1" customWidth="1"/>
    <col min="5905" max="6133" width="14.7109375" style="1988"/>
    <col min="6134" max="6134" width="5.7109375" style="1988" customWidth="1"/>
    <col min="6135" max="6135" width="37.140625" style="1988" customWidth="1"/>
    <col min="6136" max="6136" width="8.7109375" style="1988" customWidth="1"/>
    <col min="6137" max="6137" width="1.7109375" style="1988" customWidth="1"/>
    <col min="6138" max="6138" width="9.7109375" style="1988" customWidth="1"/>
    <col min="6139" max="6139" width="2.7109375" style="1988" customWidth="1"/>
    <col min="6140" max="6140" width="12" style="1988" customWidth="1"/>
    <col min="6141" max="6141" width="2.7109375" style="1988" customWidth="1"/>
    <col min="6142" max="6142" width="12.42578125" style="1988" customWidth="1"/>
    <col min="6143" max="6143" width="2.7109375" style="1988" customWidth="1"/>
    <col min="6144" max="6145" width="14.140625" style="1988" customWidth="1"/>
    <col min="6146" max="6147" width="13.28515625" style="1988" customWidth="1"/>
    <col min="6148" max="6148" width="3.5703125" style="1988" customWidth="1"/>
    <col min="6149" max="6149" width="11.7109375" style="1988" customWidth="1"/>
    <col min="6150" max="6150" width="4.5703125" style="1988" bestFit="1" customWidth="1"/>
    <col min="6151" max="6151" width="12.85546875" style="1988" bestFit="1" customWidth="1"/>
    <col min="6152" max="6152" width="2.7109375" style="1988" customWidth="1"/>
    <col min="6153" max="6153" width="12.140625" style="1988" bestFit="1" customWidth="1"/>
    <col min="6154" max="6154" width="16" style="1988" customWidth="1"/>
    <col min="6155" max="6155" width="12.5703125" style="1988" customWidth="1"/>
    <col min="6156" max="6156" width="14.5703125" style="1988" bestFit="1" customWidth="1"/>
    <col min="6157" max="6157" width="17.42578125" style="1988" customWidth="1"/>
    <col min="6158" max="6158" width="18.85546875" style="1988" customWidth="1"/>
    <col min="6159" max="6159" width="3.140625" style="1988" customWidth="1"/>
    <col min="6160" max="6160" width="14.85546875" style="1988" bestFit="1" customWidth="1"/>
    <col min="6161" max="6389" width="14.7109375" style="1988"/>
    <col min="6390" max="6390" width="5.7109375" style="1988" customWidth="1"/>
    <col min="6391" max="6391" width="37.140625" style="1988" customWidth="1"/>
    <col min="6392" max="6392" width="8.7109375" style="1988" customWidth="1"/>
    <col min="6393" max="6393" width="1.7109375" style="1988" customWidth="1"/>
    <col min="6394" max="6394" width="9.7109375" style="1988" customWidth="1"/>
    <col min="6395" max="6395" width="2.7109375" style="1988" customWidth="1"/>
    <col min="6396" max="6396" width="12" style="1988" customWidth="1"/>
    <col min="6397" max="6397" width="2.7109375" style="1988" customWidth="1"/>
    <col min="6398" max="6398" width="12.42578125" style="1988" customWidth="1"/>
    <col min="6399" max="6399" width="2.7109375" style="1988" customWidth="1"/>
    <col min="6400" max="6401" width="14.140625" style="1988" customWidth="1"/>
    <col min="6402" max="6403" width="13.28515625" style="1988" customWidth="1"/>
    <col min="6404" max="6404" width="3.5703125" style="1988" customWidth="1"/>
    <col min="6405" max="6405" width="11.7109375" style="1988" customWidth="1"/>
    <col min="6406" max="6406" width="4.5703125" style="1988" bestFit="1" customWidth="1"/>
    <col min="6407" max="6407" width="12.85546875" style="1988" bestFit="1" customWidth="1"/>
    <col min="6408" max="6408" width="2.7109375" style="1988" customWidth="1"/>
    <col min="6409" max="6409" width="12.140625" style="1988" bestFit="1" customWidth="1"/>
    <col min="6410" max="6410" width="16" style="1988" customWidth="1"/>
    <col min="6411" max="6411" width="12.5703125" style="1988" customWidth="1"/>
    <col min="6412" max="6412" width="14.5703125" style="1988" bestFit="1" customWidth="1"/>
    <col min="6413" max="6413" width="17.42578125" style="1988" customWidth="1"/>
    <col min="6414" max="6414" width="18.85546875" style="1988" customWidth="1"/>
    <col min="6415" max="6415" width="3.140625" style="1988" customWidth="1"/>
    <col min="6416" max="6416" width="14.85546875" style="1988" bestFit="1" customWidth="1"/>
    <col min="6417" max="6645" width="14.7109375" style="1988"/>
    <col min="6646" max="6646" width="5.7109375" style="1988" customWidth="1"/>
    <col min="6647" max="6647" width="37.140625" style="1988" customWidth="1"/>
    <col min="6648" max="6648" width="8.7109375" style="1988" customWidth="1"/>
    <col min="6649" max="6649" width="1.7109375" style="1988" customWidth="1"/>
    <col min="6650" max="6650" width="9.7109375" style="1988" customWidth="1"/>
    <col min="6651" max="6651" width="2.7109375" style="1988" customWidth="1"/>
    <col min="6652" max="6652" width="12" style="1988" customWidth="1"/>
    <col min="6653" max="6653" width="2.7109375" style="1988" customWidth="1"/>
    <col min="6654" max="6654" width="12.42578125" style="1988" customWidth="1"/>
    <col min="6655" max="6655" width="2.7109375" style="1988" customWidth="1"/>
    <col min="6656" max="6657" width="14.140625" style="1988" customWidth="1"/>
    <col min="6658" max="6659" width="13.28515625" style="1988" customWidth="1"/>
    <col min="6660" max="6660" width="3.5703125" style="1988" customWidth="1"/>
    <col min="6661" max="6661" width="11.7109375" style="1988" customWidth="1"/>
    <col min="6662" max="6662" width="4.5703125" style="1988" bestFit="1" customWidth="1"/>
    <col min="6663" max="6663" width="12.85546875" style="1988" bestFit="1" customWidth="1"/>
    <col min="6664" max="6664" width="2.7109375" style="1988" customWidth="1"/>
    <col min="6665" max="6665" width="12.140625" style="1988" bestFit="1" customWidth="1"/>
    <col min="6666" max="6666" width="16" style="1988" customWidth="1"/>
    <col min="6667" max="6667" width="12.5703125" style="1988" customWidth="1"/>
    <col min="6668" max="6668" width="14.5703125" style="1988" bestFit="1" customWidth="1"/>
    <col min="6669" max="6669" width="17.42578125" style="1988" customWidth="1"/>
    <col min="6670" max="6670" width="18.85546875" style="1988" customWidth="1"/>
    <col min="6671" max="6671" width="3.140625" style="1988" customWidth="1"/>
    <col min="6672" max="6672" width="14.85546875" style="1988" bestFit="1" customWidth="1"/>
    <col min="6673" max="6901" width="14.7109375" style="1988"/>
    <col min="6902" max="6902" width="5.7109375" style="1988" customWidth="1"/>
    <col min="6903" max="6903" width="37.140625" style="1988" customWidth="1"/>
    <col min="6904" max="6904" width="8.7109375" style="1988" customWidth="1"/>
    <col min="6905" max="6905" width="1.7109375" style="1988" customWidth="1"/>
    <col min="6906" max="6906" width="9.7109375" style="1988" customWidth="1"/>
    <col min="6907" max="6907" width="2.7109375" style="1988" customWidth="1"/>
    <col min="6908" max="6908" width="12" style="1988" customWidth="1"/>
    <col min="6909" max="6909" width="2.7109375" style="1988" customWidth="1"/>
    <col min="6910" max="6910" width="12.42578125" style="1988" customWidth="1"/>
    <col min="6911" max="6911" width="2.7109375" style="1988" customWidth="1"/>
    <col min="6912" max="6913" width="14.140625" style="1988" customWidth="1"/>
    <col min="6914" max="6915" width="13.28515625" style="1988" customWidth="1"/>
    <col min="6916" max="6916" width="3.5703125" style="1988" customWidth="1"/>
    <col min="6917" max="6917" width="11.7109375" style="1988" customWidth="1"/>
    <col min="6918" max="6918" width="4.5703125" style="1988" bestFit="1" customWidth="1"/>
    <col min="6919" max="6919" width="12.85546875" style="1988" bestFit="1" customWidth="1"/>
    <col min="6920" max="6920" width="2.7109375" style="1988" customWidth="1"/>
    <col min="6921" max="6921" width="12.140625" style="1988" bestFit="1" customWidth="1"/>
    <col min="6922" max="6922" width="16" style="1988" customWidth="1"/>
    <col min="6923" max="6923" width="12.5703125" style="1988" customWidth="1"/>
    <col min="6924" max="6924" width="14.5703125" style="1988" bestFit="1" customWidth="1"/>
    <col min="6925" max="6925" width="17.42578125" style="1988" customWidth="1"/>
    <col min="6926" max="6926" width="18.85546875" style="1988" customWidth="1"/>
    <col min="6927" max="6927" width="3.140625" style="1988" customWidth="1"/>
    <col min="6928" max="6928" width="14.85546875" style="1988" bestFit="1" customWidth="1"/>
    <col min="6929" max="7157" width="14.7109375" style="1988"/>
    <col min="7158" max="7158" width="5.7109375" style="1988" customWidth="1"/>
    <col min="7159" max="7159" width="37.140625" style="1988" customWidth="1"/>
    <col min="7160" max="7160" width="8.7109375" style="1988" customWidth="1"/>
    <col min="7161" max="7161" width="1.7109375" style="1988" customWidth="1"/>
    <col min="7162" max="7162" width="9.7109375" style="1988" customWidth="1"/>
    <col min="7163" max="7163" width="2.7109375" style="1988" customWidth="1"/>
    <col min="7164" max="7164" width="12" style="1988" customWidth="1"/>
    <col min="7165" max="7165" width="2.7109375" style="1988" customWidth="1"/>
    <col min="7166" max="7166" width="12.42578125" style="1988" customWidth="1"/>
    <col min="7167" max="7167" width="2.7109375" style="1988" customWidth="1"/>
    <col min="7168" max="7169" width="14.140625" style="1988" customWidth="1"/>
    <col min="7170" max="7171" width="13.28515625" style="1988" customWidth="1"/>
    <col min="7172" max="7172" width="3.5703125" style="1988" customWidth="1"/>
    <col min="7173" max="7173" width="11.7109375" style="1988" customWidth="1"/>
    <col min="7174" max="7174" width="4.5703125" style="1988" bestFit="1" customWidth="1"/>
    <col min="7175" max="7175" width="12.85546875" style="1988" bestFit="1" customWidth="1"/>
    <col min="7176" max="7176" width="2.7109375" style="1988" customWidth="1"/>
    <col min="7177" max="7177" width="12.140625" style="1988" bestFit="1" customWidth="1"/>
    <col min="7178" max="7178" width="16" style="1988" customWidth="1"/>
    <col min="7179" max="7179" width="12.5703125" style="1988" customWidth="1"/>
    <col min="7180" max="7180" width="14.5703125" style="1988" bestFit="1" customWidth="1"/>
    <col min="7181" max="7181" width="17.42578125" style="1988" customWidth="1"/>
    <col min="7182" max="7182" width="18.85546875" style="1988" customWidth="1"/>
    <col min="7183" max="7183" width="3.140625" style="1988" customWidth="1"/>
    <col min="7184" max="7184" width="14.85546875" style="1988" bestFit="1" customWidth="1"/>
    <col min="7185" max="7413" width="14.7109375" style="1988"/>
    <col min="7414" max="7414" width="5.7109375" style="1988" customWidth="1"/>
    <col min="7415" max="7415" width="37.140625" style="1988" customWidth="1"/>
    <col min="7416" max="7416" width="8.7109375" style="1988" customWidth="1"/>
    <col min="7417" max="7417" width="1.7109375" style="1988" customWidth="1"/>
    <col min="7418" max="7418" width="9.7109375" style="1988" customWidth="1"/>
    <col min="7419" max="7419" width="2.7109375" style="1988" customWidth="1"/>
    <col min="7420" max="7420" width="12" style="1988" customWidth="1"/>
    <col min="7421" max="7421" width="2.7109375" style="1988" customWidth="1"/>
    <col min="7422" max="7422" width="12.42578125" style="1988" customWidth="1"/>
    <col min="7423" max="7423" width="2.7109375" style="1988" customWidth="1"/>
    <col min="7424" max="7425" width="14.140625" style="1988" customWidth="1"/>
    <col min="7426" max="7427" width="13.28515625" style="1988" customWidth="1"/>
    <col min="7428" max="7428" width="3.5703125" style="1988" customWidth="1"/>
    <col min="7429" max="7429" width="11.7109375" style="1988" customWidth="1"/>
    <col min="7430" max="7430" width="4.5703125" style="1988" bestFit="1" customWidth="1"/>
    <col min="7431" max="7431" width="12.85546875" style="1988" bestFit="1" customWidth="1"/>
    <col min="7432" max="7432" width="2.7109375" style="1988" customWidth="1"/>
    <col min="7433" max="7433" width="12.140625" style="1988" bestFit="1" customWidth="1"/>
    <col min="7434" max="7434" width="16" style="1988" customWidth="1"/>
    <col min="7435" max="7435" width="12.5703125" style="1988" customWidth="1"/>
    <col min="7436" max="7436" width="14.5703125" style="1988" bestFit="1" customWidth="1"/>
    <col min="7437" max="7437" width="17.42578125" style="1988" customWidth="1"/>
    <col min="7438" max="7438" width="18.85546875" style="1988" customWidth="1"/>
    <col min="7439" max="7439" width="3.140625" style="1988" customWidth="1"/>
    <col min="7440" max="7440" width="14.85546875" style="1988" bestFit="1" customWidth="1"/>
    <col min="7441" max="7669" width="14.7109375" style="1988"/>
    <col min="7670" max="7670" width="5.7109375" style="1988" customWidth="1"/>
    <col min="7671" max="7671" width="37.140625" style="1988" customWidth="1"/>
    <col min="7672" max="7672" width="8.7109375" style="1988" customWidth="1"/>
    <col min="7673" max="7673" width="1.7109375" style="1988" customWidth="1"/>
    <col min="7674" max="7674" width="9.7109375" style="1988" customWidth="1"/>
    <col min="7675" max="7675" width="2.7109375" style="1988" customWidth="1"/>
    <col min="7676" max="7676" width="12" style="1988" customWidth="1"/>
    <col min="7677" max="7677" width="2.7109375" style="1988" customWidth="1"/>
    <col min="7678" max="7678" width="12.42578125" style="1988" customWidth="1"/>
    <col min="7679" max="7679" width="2.7109375" style="1988" customWidth="1"/>
    <col min="7680" max="7681" width="14.140625" style="1988" customWidth="1"/>
    <col min="7682" max="7683" width="13.28515625" style="1988" customWidth="1"/>
    <col min="7684" max="7684" width="3.5703125" style="1988" customWidth="1"/>
    <col min="7685" max="7685" width="11.7109375" style="1988" customWidth="1"/>
    <col min="7686" max="7686" width="4.5703125" style="1988" bestFit="1" customWidth="1"/>
    <col min="7687" max="7687" width="12.85546875" style="1988" bestFit="1" customWidth="1"/>
    <col min="7688" max="7688" width="2.7109375" style="1988" customWidth="1"/>
    <col min="7689" max="7689" width="12.140625" style="1988" bestFit="1" customWidth="1"/>
    <col min="7690" max="7690" width="16" style="1988" customWidth="1"/>
    <col min="7691" max="7691" width="12.5703125" style="1988" customWidth="1"/>
    <col min="7692" max="7692" width="14.5703125" style="1988" bestFit="1" customWidth="1"/>
    <col min="7693" max="7693" width="17.42578125" style="1988" customWidth="1"/>
    <col min="7694" max="7694" width="18.85546875" style="1988" customWidth="1"/>
    <col min="7695" max="7695" width="3.140625" style="1988" customWidth="1"/>
    <col min="7696" max="7696" width="14.85546875" style="1988" bestFit="1" customWidth="1"/>
    <col min="7697" max="7925" width="14.7109375" style="1988"/>
    <col min="7926" max="7926" width="5.7109375" style="1988" customWidth="1"/>
    <col min="7927" max="7927" width="37.140625" style="1988" customWidth="1"/>
    <col min="7928" max="7928" width="8.7109375" style="1988" customWidth="1"/>
    <col min="7929" max="7929" width="1.7109375" style="1988" customWidth="1"/>
    <col min="7930" max="7930" width="9.7109375" style="1988" customWidth="1"/>
    <col min="7931" max="7931" width="2.7109375" style="1988" customWidth="1"/>
    <col min="7932" max="7932" width="12" style="1988" customWidth="1"/>
    <col min="7933" max="7933" width="2.7109375" style="1988" customWidth="1"/>
    <col min="7934" max="7934" width="12.42578125" style="1988" customWidth="1"/>
    <col min="7935" max="7935" width="2.7109375" style="1988" customWidth="1"/>
    <col min="7936" max="7937" width="14.140625" style="1988" customWidth="1"/>
    <col min="7938" max="7939" width="13.28515625" style="1988" customWidth="1"/>
    <col min="7940" max="7940" width="3.5703125" style="1988" customWidth="1"/>
    <col min="7941" max="7941" width="11.7109375" style="1988" customWidth="1"/>
    <col min="7942" max="7942" width="4.5703125" style="1988" bestFit="1" customWidth="1"/>
    <col min="7943" max="7943" width="12.85546875" style="1988" bestFit="1" customWidth="1"/>
    <col min="7944" max="7944" width="2.7109375" style="1988" customWidth="1"/>
    <col min="7945" max="7945" width="12.140625" style="1988" bestFit="1" customWidth="1"/>
    <col min="7946" max="7946" width="16" style="1988" customWidth="1"/>
    <col min="7947" max="7947" width="12.5703125" style="1988" customWidth="1"/>
    <col min="7948" max="7948" width="14.5703125" style="1988" bestFit="1" customWidth="1"/>
    <col min="7949" max="7949" width="17.42578125" style="1988" customWidth="1"/>
    <col min="7950" max="7950" width="18.85546875" style="1988" customWidth="1"/>
    <col min="7951" max="7951" width="3.140625" style="1988" customWidth="1"/>
    <col min="7952" max="7952" width="14.85546875" style="1988" bestFit="1" customWidth="1"/>
    <col min="7953" max="8181" width="14.7109375" style="1988"/>
    <col min="8182" max="8182" width="5.7109375" style="1988" customWidth="1"/>
    <col min="8183" max="8183" width="37.140625" style="1988" customWidth="1"/>
    <col min="8184" max="8184" width="8.7109375" style="1988" customWidth="1"/>
    <col min="8185" max="8185" width="1.7109375" style="1988" customWidth="1"/>
    <col min="8186" max="8186" width="9.7109375" style="1988" customWidth="1"/>
    <col min="8187" max="8187" width="2.7109375" style="1988" customWidth="1"/>
    <col min="8188" max="8188" width="12" style="1988" customWidth="1"/>
    <col min="8189" max="8189" width="2.7109375" style="1988" customWidth="1"/>
    <col min="8190" max="8190" width="12.42578125" style="1988" customWidth="1"/>
    <col min="8191" max="8191" width="2.7109375" style="1988" customWidth="1"/>
    <col min="8192" max="8193" width="14.140625" style="1988" customWidth="1"/>
    <col min="8194" max="8195" width="13.28515625" style="1988" customWidth="1"/>
    <col min="8196" max="8196" width="3.5703125" style="1988" customWidth="1"/>
    <col min="8197" max="8197" width="11.7109375" style="1988" customWidth="1"/>
    <col min="8198" max="8198" width="4.5703125" style="1988" bestFit="1" customWidth="1"/>
    <col min="8199" max="8199" width="12.85546875" style="1988" bestFit="1" customWidth="1"/>
    <col min="8200" max="8200" width="2.7109375" style="1988" customWidth="1"/>
    <col min="8201" max="8201" width="12.140625" style="1988" bestFit="1" customWidth="1"/>
    <col min="8202" max="8202" width="16" style="1988" customWidth="1"/>
    <col min="8203" max="8203" width="12.5703125" style="1988" customWidth="1"/>
    <col min="8204" max="8204" width="14.5703125" style="1988" bestFit="1" customWidth="1"/>
    <col min="8205" max="8205" width="17.42578125" style="1988" customWidth="1"/>
    <col min="8206" max="8206" width="18.85546875" style="1988" customWidth="1"/>
    <col min="8207" max="8207" width="3.140625" style="1988" customWidth="1"/>
    <col min="8208" max="8208" width="14.85546875" style="1988" bestFit="1" customWidth="1"/>
    <col min="8209" max="8437" width="14.7109375" style="1988"/>
    <col min="8438" max="8438" width="5.7109375" style="1988" customWidth="1"/>
    <col min="8439" max="8439" width="37.140625" style="1988" customWidth="1"/>
    <col min="8440" max="8440" width="8.7109375" style="1988" customWidth="1"/>
    <col min="8441" max="8441" width="1.7109375" style="1988" customWidth="1"/>
    <col min="8442" max="8442" width="9.7109375" style="1988" customWidth="1"/>
    <col min="8443" max="8443" width="2.7109375" style="1988" customWidth="1"/>
    <col min="8444" max="8444" width="12" style="1988" customWidth="1"/>
    <col min="8445" max="8445" width="2.7109375" style="1988" customWidth="1"/>
    <col min="8446" max="8446" width="12.42578125" style="1988" customWidth="1"/>
    <col min="8447" max="8447" width="2.7109375" style="1988" customWidth="1"/>
    <col min="8448" max="8449" width="14.140625" style="1988" customWidth="1"/>
    <col min="8450" max="8451" width="13.28515625" style="1988" customWidth="1"/>
    <col min="8452" max="8452" width="3.5703125" style="1988" customWidth="1"/>
    <col min="8453" max="8453" width="11.7109375" style="1988" customWidth="1"/>
    <col min="8454" max="8454" width="4.5703125" style="1988" bestFit="1" customWidth="1"/>
    <col min="8455" max="8455" width="12.85546875" style="1988" bestFit="1" customWidth="1"/>
    <col min="8456" max="8456" width="2.7109375" style="1988" customWidth="1"/>
    <col min="8457" max="8457" width="12.140625" style="1988" bestFit="1" customWidth="1"/>
    <col min="8458" max="8458" width="16" style="1988" customWidth="1"/>
    <col min="8459" max="8459" width="12.5703125" style="1988" customWidth="1"/>
    <col min="8460" max="8460" width="14.5703125" style="1988" bestFit="1" customWidth="1"/>
    <col min="8461" max="8461" width="17.42578125" style="1988" customWidth="1"/>
    <col min="8462" max="8462" width="18.85546875" style="1988" customWidth="1"/>
    <col min="8463" max="8463" width="3.140625" style="1988" customWidth="1"/>
    <col min="8464" max="8464" width="14.85546875" style="1988" bestFit="1" customWidth="1"/>
    <col min="8465" max="8693" width="14.7109375" style="1988"/>
    <col min="8694" max="8694" width="5.7109375" style="1988" customWidth="1"/>
    <col min="8695" max="8695" width="37.140625" style="1988" customWidth="1"/>
    <col min="8696" max="8696" width="8.7109375" style="1988" customWidth="1"/>
    <col min="8697" max="8697" width="1.7109375" style="1988" customWidth="1"/>
    <col min="8698" max="8698" width="9.7109375" style="1988" customWidth="1"/>
    <col min="8699" max="8699" width="2.7109375" style="1988" customWidth="1"/>
    <col min="8700" max="8700" width="12" style="1988" customWidth="1"/>
    <col min="8701" max="8701" width="2.7109375" style="1988" customWidth="1"/>
    <col min="8702" max="8702" width="12.42578125" style="1988" customWidth="1"/>
    <col min="8703" max="8703" width="2.7109375" style="1988" customWidth="1"/>
    <col min="8704" max="8705" width="14.140625" style="1988" customWidth="1"/>
    <col min="8706" max="8707" width="13.28515625" style="1988" customWidth="1"/>
    <col min="8708" max="8708" width="3.5703125" style="1988" customWidth="1"/>
    <col min="8709" max="8709" width="11.7109375" style="1988" customWidth="1"/>
    <col min="8710" max="8710" width="4.5703125" style="1988" bestFit="1" customWidth="1"/>
    <col min="8711" max="8711" width="12.85546875" style="1988" bestFit="1" customWidth="1"/>
    <col min="8712" max="8712" width="2.7109375" style="1988" customWidth="1"/>
    <col min="8713" max="8713" width="12.140625" style="1988" bestFit="1" customWidth="1"/>
    <col min="8714" max="8714" width="16" style="1988" customWidth="1"/>
    <col min="8715" max="8715" width="12.5703125" style="1988" customWidth="1"/>
    <col min="8716" max="8716" width="14.5703125" style="1988" bestFit="1" customWidth="1"/>
    <col min="8717" max="8717" width="17.42578125" style="1988" customWidth="1"/>
    <col min="8718" max="8718" width="18.85546875" style="1988" customWidth="1"/>
    <col min="8719" max="8719" width="3.140625" style="1988" customWidth="1"/>
    <col min="8720" max="8720" width="14.85546875" style="1988" bestFit="1" customWidth="1"/>
    <col min="8721" max="8949" width="14.7109375" style="1988"/>
    <col min="8950" max="8950" width="5.7109375" style="1988" customWidth="1"/>
    <col min="8951" max="8951" width="37.140625" style="1988" customWidth="1"/>
    <col min="8952" max="8952" width="8.7109375" style="1988" customWidth="1"/>
    <col min="8953" max="8953" width="1.7109375" style="1988" customWidth="1"/>
    <col min="8954" max="8954" width="9.7109375" style="1988" customWidth="1"/>
    <col min="8955" max="8955" width="2.7109375" style="1988" customWidth="1"/>
    <col min="8956" max="8956" width="12" style="1988" customWidth="1"/>
    <col min="8957" max="8957" width="2.7109375" style="1988" customWidth="1"/>
    <col min="8958" max="8958" width="12.42578125" style="1988" customWidth="1"/>
    <col min="8959" max="8959" width="2.7109375" style="1988" customWidth="1"/>
    <col min="8960" max="8961" width="14.140625" style="1988" customWidth="1"/>
    <col min="8962" max="8963" width="13.28515625" style="1988" customWidth="1"/>
    <col min="8964" max="8964" width="3.5703125" style="1988" customWidth="1"/>
    <col min="8965" max="8965" width="11.7109375" style="1988" customWidth="1"/>
    <col min="8966" max="8966" width="4.5703125" style="1988" bestFit="1" customWidth="1"/>
    <col min="8967" max="8967" width="12.85546875" style="1988" bestFit="1" customWidth="1"/>
    <col min="8968" max="8968" width="2.7109375" style="1988" customWidth="1"/>
    <col min="8969" max="8969" width="12.140625" style="1988" bestFit="1" customWidth="1"/>
    <col min="8970" max="8970" width="16" style="1988" customWidth="1"/>
    <col min="8971" max="8971" width="12.5703125" style="1988" customWidth="1"/>
    <col min="8972" max="8972" width="14.5703125" style="1988" bestFit="1" customWidth="1"/>
    <col min="8973" max="8973" width="17.42578125" style="1988" customWidth="1"/>
    <col min="8974" max="8974" width="18.85546875" style="1988" customWidth="1"/>
    <col min="8975" max="8975" width="3.140625" style="1988" customWidth="1"/>
    <col min="8976" max="8976" width="14.85546875" style="1988" bestFit="1" customWidth="1"/>
    <col min="8977" max="9205" width="14.7109375" style="1988"/>
    <col min="9206" max="9206" width="5.7109375" style="1988" customWidth="1"/>
    <col min="9207" max="9207" width="37.140625" style="1988" customWidth="1"/>
    <col min="9208" max="9208" width="8.7109375" style="1988" customWidth="1"/>
    <col min="9209" max="9209" width="1.7109375" style="1988" customWidth="1"/>
    <col min="9210" max="9210" width="9.7109375" style="1988" customWidth="1"/>
    <col min="9211" max="9211" width="2.7109375" style="1988" customWidth="1"/>
    <col min="9212" max="9212" width="12" style="1988" customWidth="1"/>
    <col min="9213" max="9213" width="2.7109375" style="1988" customWidth="1"/>
    <col min="9214" max="9214" width="12.42578125" style="1988" customWidth="1"/>
    <col min="9215" max="9215" width="2.7109375" style="1988" customWidth="1"/>
    <col min="9216" max="9217" width="14.140625" style="1988" customWidth="1"/>
    <col min="9218" max="9219" width="13.28515625" style="1988" customWidth="1"/>
    <col min="9220" max="9220" width="3.5703125" style="1988" customWidth="1"/>
    <col min="9221" max="9221" width="11.7109375" style="1988" customWidth="1"/>
    <col min="9222" max="9222" width="4.5703125" style="1988" bestFit="1" customWidth="1"/>
    <col min="9223" max="9223" width="12.85546875" style="1988" bestFit="1" customWidth="1"/>
    <col min="9224" max="9224" width="2.7109375" style="1988" customWidth="1"/>
    <col min="9225" max="9225" width="12.140625" style="1988" bestFit="1" customWidth="1"/>
    <col min="9226" max="9226" width="16" style="1988" customWidth="1"/>
    <col min="9227" max="9227" width="12.5703125" style="1988" customWidth="1"/>
    <col min="9228" max="9228" width="14.5703125" style="1988" bestFit="1" customWidth="1"/>
    <col min="9229" max="9229" width="17.42578125" style="1988" customWidth="1"/>
    <col min="9230" max="9230" width="18.85546875" style="1988" customWidth="1"/>
    <col min="9231" max="9231" width="3.140625" style="1988" customWidth="1"/>
    <col min="9232" max="9232" width="14.85546875" style="1988" bestFit="1" customWidth="1"/>
    <col min="9233" max="9461" width="14.7109375" style="1988"/>
    <col min="9462" max="9462" width="5.7109375" style="1988" customWidth="1"/>
    <col min="9463" max="9463" width="37.140625" style="1988" customWidth="1"/>
    <col min="9464" max="9464" width="8.7109375" style="1988" customWidth="1"/>
    <col min="9465" max="9465" width="1.7109375" style="1988" customWidth="1"/>
    <col min="9466" max="9466" width="9.7109375" style="1988" customWidth="1"/>
    <col min="9467" max="9467" width="2.7109375" style="1988" customWidth="1"/>
    <col min="9468" max="9468" width="12" style="1988" customWidth="1"/>
    <col min="9469" max="9469" width="2.7109375" style="1988" customWidth="1"/>
    <col min="9470" max="9470" width="12.42578125" style="1988" customWidth="1"/>
    <col min="9471" max="9471" width="2.7109375" style="1988" customWidth="1"/>
    <col min="9472" max="9473" width="14.140625" style="1988" customWidth="1"/>
    <col min="9474" max="9475" width="13.28515625" style="1988" customWidth="1"/>
    <col min="9476" max="9476" width="3.5703125" style="1988" customWidth="1"/>
    <col min="9477" max="9477" width="11.7109375" style="1988" customWidth="1"/>
    <col min="9478" max="9478" width="4.5703125" style="1988" bestFit="1" customWidth="1"/>
    <col min="9479" max="9479" width="12.85546875" style="1988" bestFit="1" customWidth="1"/>
    <col min="9480" max="9480" width="2.7109375" style="1988" customWidth="1"/>
    <col min="9481" max="9481" width="12.140625" style="1988" bestFit="1" customWidth="1"/>
    <col min="9482" max="9482" width="16" style="1988" customWidth="1"/>
    <col min="9483" max="9483" width="12.5703125" style="1988" customWidth="1"/>
    <col min="9484" max="9484" width="14.5703125" style="1988" bestFit="1" customWidth="1"/>
    <col min="9485" max="9485" width="17.42578125" style="1988" customWidth="1"/>
    <col min="9486" max="9486" width="18.85546875" style="1988" customWidth="1"/>
    <col min="9487" max="9487" width="3.140625" style="1988" customWidth="1"/>
    <col min="9488" max="9488" width="14.85546875" style="1988" bestFit="1" customWidth="1"/>
    <col min="9489" max="9717" width="14.7109375" style="1988"/>
    <col min="9718" max="9718" width="5.7109375" style="1988" customWidth="1"/>
    <col min="9719" max="9719" width="37.140625" style="1988" customWidth="1"/>
    <col min="9720" max="9720" width="8.7109375" style="1988" customWidth="1"/>
    <col min="9721" max="9721" width="1.7109375" style="1988" customWidth="1"/>
    <col min="9722" max="9722" width="9.7109375" style="1988" customWidth="1"/>
    <col min="9723" max="9723" width="2.7109375" style="1988" customWidth="1"/>
    <col min="9724" max="9724" width="12" style="1988" customWidth="1"/>
    <col min="9725" max="9725" width="2.7109375" style="1988" customWidth="1"/>
    <col min="9726" max="9726" width="12.42578125" style="1988" customWidth="1"/>
    <col min="9727" max="9727" width="2.7109375" style="1988" customWidth="1"/>
    <col min="9728" max="9729" width="14.140625" style="1988" customWidth="1"/>
    <col min="9730" max="9731" width="13.28515625" style="1988" customWidth="1"/>
    <col min="9732" max="9732" width="3.5703125" style="1988" customWidth="1"/>
    <col min="9733" max="9733" width="11.7109375" style="1988" customWidth="1"/>
    <col min="9734" max="9734" width="4.5703125" style="1988" bestFit="1" customWidth="1"/>
    <col min="9735" max="9735" width="12.85546875" style="1988" bestFit="1" customWidth="1"/>
    <col min="9736" max="9736" width="2.7109375" style="1988" customWidth="1"/>
    <col min="9737" max="9737" width="12.140625" style="1988" bestFit="1" customWidth="1"/>
    <col min="9738" max="9738" width="16" style="1988" customWidth="1"/>
    <col min="9739" max="9739" width="12.5703125" style="1988" customWidth="1"/>
    <col min="9740" max="9740" width="14.5703125" style="1988" bestFit="1" customWidth="1"/>
    <col min="9741" max="9741" width="17.42578125" style="1988" customWidth="1"/>
    <col min="9742" max="9742" width="18.85546875" style="1988" customWidth="1"/>
    <col min="9743" max="9743" width="3.140625" style="1988" customWidth="1"/>
    <col min="9744" max="9744" width="14.85546875" style="1988" bestFit="1" customWidth="1"/>
    <col min="9745" max="9973" width="14.7109375" style="1988"/>
    <col min="9974" max="9974" width="5.7109375" style="1988" customWidth="1"/>
    <col min="9975" max="9975" width="37.140625" style="1988" customWidth="1"/>
    <col min="9976" max="9976" width="8.7109375" style="1988" customWidth="1"/>
    <col min="9977" max="9977" width="1.7109375" style="1988" customWidth="1"/>
    <col min="9978" max="9978" width="9.7109375" style="1988" customWidth="1"/>
    <col min="9979" max="9979" width="2.7109375" style="1988" customWidth="1"/>
    <col min="9980" max="9980" width="12" style="1988" customWidth="1"/>
    <col min="9981" max="9981" width="2.7109375" style="1988" customWidth="1"/>
    <col min="9982" max="9982" width="12.42578125" style="1988" customWidth="1"/>
    <col min="9983" max="9983" width="2.7109375" style="1988" customWidth="1"/>
    <col min="9984" max="9985" width="14.140625" style="1988" customWidth="1"/>
    <col min="9986" max="9987" width="13.28515625" style="1988" customWidth="1"/>
    <col min="9988" max="9988" width="3.5703125" style="1988" customWidth="1"/>
    <col min="9989" max="9989" width="11.7109375" style="1988" customWidth="1"/>
    <col min="9990" max="9990" width="4.5703125" style="1988" bestFit="1" customWidth="1"/>
    <col min="9991" max="9991" width="12.85546875" style="1988" bestFit="1" customWidth="1"/>
    <col min="9992" max="9992" width="2.7109375" style="1988" customWidth="1"/>
    <col min="9993" max="9993" width="12.140625" style="1988" bestFit="1" customWidth="1"/>
    <col min="9994" max="9994" width="16" style="1988" customWidth="1"/>
    <col min="9995" max="9995" width="12.5703125" style="1988" customWidth="1"/>
    <col min="9996" max="9996" width="14.5703125" style="1988" bestFit="1" customWidth="1"/>
    <col min="9997" max="9997" width="17.42578125" style="1988" customWidth="1"/>
    <col min="9998" max="9998" width="18.85546875" style="1988" customWidth="1"/>
    <col min="9999" max="9999" width="3.140625" style="1988" customWidth="1"/>
    <col min="10000" max="10000" width="14.85546875" style="1988" bestFit="1" customWidth="1"/>
    <col min="10001" max="10229" width="14.7109375" style="1988"/>
    <col min="10230" max="10230" width="5.7109375" style="1988" customWidth="1"/>
    <col min="10231" max="10231" width="37.140625" style="1988" customWidth="1"/>
    <col min="10232" max="10232" width="8.7109375" style="1988" customWidth="1"/>
    <col min="10233" max="10233" width="1.7109375" style="1988" customWidth="1"/>
    <col min="10234" max="10234" width="9.7109375" style="1988" customWidth="1"/>
    <col min="10235" max="10235" width="2.7109375" style="1988" customWidth="1"/>
    <col min="10236" max="10236" width="12" style="1988" customWidth="1"/>
    <col min="10237" max="10237" width="2.7109375" style="1988" customWidth="1"/>
    <col min="10238" max="10238" width="12.42578125" style="1988" customWidth="1"/>
    <col min="10239" max="10239" width="2.7109375" style="1988" customWidth="1"/>
    <col min="10240" max="10241" width="14.140625" style="1988" customWidth="1"/>
    <col min="10242" max="10243" width="13.28515625" style="1988" customWidth="1"/>
    <col min="10244" max="10244" width="3.5703125" style="1988" customWidth="1"/>
    <col min="10245" max="10245" width="11.7109375" style="1988" customWidth="1"/>
    <col min="10246" max="10246" width="4.5703125" style="1988" bestFit="1" customWidth="1"/>
    <col min="10247" max="10247" width="12.85546875" style="1988" bestFit="1" customWidth="1"/>
    <col min="10248" max="10248" width="2.7109375" style="1988" customWidth="1"/>
    <col min="10249" max="10249" width="12.140625" style="1988" bestFit="1" customWidth="1"/>
    <col min="10250" max="10250" width="16" style="1988" customWidth="1"/>
    <col min="10251" max="10251" width="12.5703125" style="1988" customWidth="1"/>
    <col min="10252" max="10252" width="14.5703125" style="1988" bestFit="1" customWidth="1"/>
    <col min="10253" max="10253" width="17.42578125" style="1988" customWidth="1"/>
    <col min="10254" max="10254" width="18.85546875" style="1988" customWidth="1"/>
    <col min="10255" max="10255" width="3.140625" style="1988" customWidth="1"/>
    <col min="10256" max="10256" width="14.85546875" style="1988" bestFit="1" customWidth="1"/>
    <col min="10257" max="10485" width="14.7109375" style="1988"/>
    <col min="10486" max="10486" width="5.7109375" style="1988" customWidth="1"/>
    <col min="10487" max="10487" width="37.140625" style="1988" customWidth="1"/>
    <col min="10488" max="10488" width="8.7109375" style="1988" customWidth="1"/>
    <col min="10489" max="10489" width="1.7109375" style="1988" customWidth="1"/>
    <col min="10490" max="10490" width="9.7109375" style="1988" customWidth="1"/>
    <col min="10491" max="10491" width="2.7109375" style="1988" customWidth="1"/>
    <col min="10492" max="10492" width="12" style="1988" customWidth="1"/>
    <col min="10493" max="10493" width="2.7109375" style="1988" customWidth="1"/>
    <col min="10494" max="10494" width="12.42578125" style="1988" customWidth="1"/>
    <col min="10495" max="10495" width="2.7109375" style="1988" customWidth="1"/>
    <col min="10496" max="10497" width="14.140625" style="1988" customWidth="1"/>
    <col min="10498" max="10499" width="13.28515625" style="1988" customWidth="1"/>
    <col min="10500" max="10500" width="3.5703125" style="1988" customWidth="1"/>
    <col min="10501" max="10501" width="11.7109375" style="1988" customWidth="1"/>
    <col min="10502" max="10502" width="4.5703125" style="1988" bestFit="1" customWidth="1"/>
    <col min="10503" max="10503" width="12.85546875" style="1988" bestFit="1" customWidth="1"/>
    <col min="10504" max="10504" width="2.7109375" style="1988" customWidth="1"/>
    <col min="10505" max="10505" width="12.140625" style="1988" bestFit="1" customWidth="1"/>
    <col min="10506" max="10506" width="16" style="1988" customWidth="1"/>
    <col min="10507" max="10507" width="12.5703125" style="1988" customWidth="1"/>
    <col min="10508" max="10508" width="14.5703125" style="1988" bestFit="1" customWidth="1"/>
    <col min="10509" max="10509" width="17.42578125" style="1988" customWidth="1"/>
    <col min="10510" max="10510" width="18.85546875" style="1988" customWidth="1"/>
    <col min="10511" max="10511" width="3.140625" style="1988" customWidth="1"/>
    <col min="10512" max="10512" width="14.85546875" style="1988" bestFit="1" customWidth="1"/>
    <col min="10513" max="10741" width="14.7109375" style="1988"/>
    <col min="10742" max="10742" width="5.7109375" style="1988" customWidth="1"/>
    <col min="10743" max="10743" width="37.140625" style="1988" customWidth="1"/>
    <col min="10744" max="10744" width="8.7109375" style="1988" customWidth="1"/>
    <col min="10745" max="10745" width="1.7109375" style="1988" customWidth="1"/>
    <col min="10746" max="10746" width="9.7109375" style="1988" customWidth="1"/>
    <col min="10747" max="10747" width="2.7109375" style="1988" customWidth="1"/>
    <col min="10748" max="10748" width="12" style="1988" customWidth="1"/>
    <col min="10749" max="10749" width="2.7109375" style="1988" customWidth="1"/>
    <col min="10750" max="10750" width="12.42578125" style="1988" customWidth="1"/>
    <col min="10751" max="10751" width="2.7109375" style="1988" customWidth="1"/>
    <col min="10752" max="10753" width="14.140625" style="1988" customWidth="1"/>
    <col min="10754" max="10755" width="13.28515625" style="1988" customWidth="1"/>
    <col min="10756" max="10756" width="3.5703125" style="1988" customWidth="1"/>
    <col min="10757" max="10757" width="11.7109375" style="1988" customWidth="1"/>
    <col min="10758" max="10758" width="4.5703125" style="1988" bestFit="1" customWidth="1"/>
    <col min="10759" max="10759" width="12.85546875" style="1988" bestFit="1" customWidth="1"/>
    <col min="10760" max="10760" width="2.7109375" style="1988" customWidth="1"/>
    <col min="10761" max="10761" width="12.140625" style="1988" bestFit="1" customWidth="1"/>
    <col min="10762" max="10762" width="16" style="1988" customWidth="1"/>
    <col min="10763" max="10763" width="12.5703125" style="1988" customWidth="1"/>
    <col min="10764" max="10764" width="14.5703125" style="1988" bestFit="1" customWidth="1"/>
    <col min="10765" max="10765" width="17.42578125" style="1988" customWidth="1"/>
    <col min="10766" max="10766" width="18.85546875" style="1988" customWidth="1"/>
    <col min="10767" max="10767" width="3.140625" style="1988" customWidth="1"/>
    <col min="10768" max="10768" width="14.85546875" style="1988" bestFit="1" customWidth="1"/>
    <col min="10769" max="10997" width="14.7109375" style="1988"/>
    <col min="10998" max="10998" width="5.7109375" style="1988" customWidth="1"/>
    <col min="10999" max="10999" width="37.140625" style="1988" customWidth="1"/>
    <col min="11000" max="11000" width="8.7109375" style="1988" customWidth="1"/>
    <col min="11001" max="11001" width="1.7109375" style="1988" customWidth="1"/>
    <col min="11002" max="11002" width="9.7109375" style="1988" customWidth="1"/>
    <col min="11003" max="11003" width="2.7109375" style="1988" customWidth="1"/>
    <col min="11004" max="11004" width="12" style="1988" customWidth="1"/>
    <col min="11005" max="11005" width="2.7109375" style="1988" customWidth="1"/>
    <col min="11006" max="11006" width="12.42578125" style="1988" customWidth="1"/>
    <col min="11007" max="11007" width="2.7109375" style="1988" customWidth="1"/>
    <col min="11008" max="11009" width="14.140625" style="1988" customWidth="1"/>
    <col min="11010" max="11011" width="13.28515625" style="1988" customWidth="1"/>
    <col min="11012" max="11012" width="3.5703125" style="1988" customWidth="1"/>
    <col min="11013" max="11013" width="11.7109375" style="1988" customWidth="1"/>
    <col min="11014" max="11014" width="4.5703125" style="1988" bestFit="1" customWidth="1"/>
    <col min="11015" max="11015" width="12.85546875" style="1988" bestFit="1" customWidth="1"/>
    <col min="11016" max="11016" width="2.7109375" style="1988" customWidth="1"/>
    <col min="11017" max="11017" width="12.140625" style="1988" bestFit="1" customWidth="1"/>
    <col min="11018" max="11018" width="16" style="1988" customWidth="1"/>
    <col min="11019" max="11019" width="12.5703125" style="1988" customWidth="1"/>
    <col min="11020" max="11020" width="14.5703125" style="1988" bestFit="1" customWidth="1"/>
    <col min="11021" max="11021" width="17.42578125" style="1988" customWidth="1"/>
    <col min="11022" max="11022" width="18.85546875" style="1988" customWidth="1"/>
    <col min="11023" max="11023" width="3.140625" style="1988" customWidth="1"/>
    <col min="11024" max="11024" width="14.85546875" style="1988" bestFit="1" customWidth="1"/>
    <col min="11025" max="11253" width="14.7109375" style="1988"/>
    <col min="11254" max="11254" width="5.7109375" style="1988" customWidth="1"/>
    <col min="11255" max="11255" width="37.140625" style="1988" customWidth="1"/>
    <col min="11256" max="11256" width="8.7109375" style="1988" customWidth="1"/>
    <col min="11257" max="11257" width="1.7109375" style="1988" customWidth="1"/>
    <col min="11258" max="11258" width="9.7109375" style="1988" customWidth="1"/>
    <col min="11259" max="11259" width="2.7109375" style="1988" customWidth="1"/>
    <col min="11260" max="11260" width="12" style="1988" customWidth="1"/>
    <col min="11261" max="11261" width="2.7109375" style="1988" customWidth="1"/>
    <col min="11262" max="11262" width="12.42578125" style="1988" customWidth="1"/>
    <col min="11263" max="11263" width="2.7109375" style="1988" customWidth="1"/>
    <col min="11264" max="11265" width="14.140625" style="1988" customWidth="1"/>
    <col min="11266" max="11267" width="13.28515625" style="1988" customWidth="1"/>
    <col min="11268" max="11268" width="3.5703125" style="1988" customWidth="1"/>
    <col min="11269" max="11269" width="11.7109375" style="1988" customWidth="1"/>
    <col min="11270" max="11270" width="4.5703125" style="1988" bestFit="1" customWidth="1"/>
    <col min="11271" max="11271" width="12.85546875" style="1988" bestFit="1" customWidth="1"/>
    <col min="11272" max="11272" width="2.7109375" style="1988" customWidth="1"/>
    <col min="11273" max="11273" width="12.140625" style="1988" bestFit="1" customWidth="1"/>
    <col min="11274" max="11274" width="16" style="1988" customWidth="1"/>
    <col min="11275" max="11275" width="12.5703125" style="1988" customWidth="1"/>
    <col min="11276" max="11276" width="14.5703125" style="1988" bestFit="1" customWidth="1"/>
    <col min="11277" max="11277" width="17.42578125" style="1988" customWidth="1"/>
    <col min="11278" max="11278" width="18.85546875" style="1988" customWidth="1"/>
    <col min="11279" max="11279" width="3.140625" style="1988" customWidth="1"/>
    <col min="11280" max="11280" width="14.85546875" style="1988" bestFit="1" customWidth="1"/>
    <col min="11281" max="11509" width="14.7109375" style="1988"/>
    <col min="11510" max="11510" width="5.7109375" style="1988" customWidth="1"/>
    <col min="11511" max="11511" width="37.140625" style="1988" customWidth="1"/>
    <col min="11512" max="11512" width="8.7109375" style="1988" customWidth="1"/>
    <col min="11513" max="11513" width="1.7109375" style="1988" customWidth="1"/>
    <col min="11514" max="11514" width="9.7109375" style="1988" customWidth="1"/>
    <col min="11515" max="11515" width="2.7109375" style="1988" customWidth="1"/>
    <col min="11516" max="11516" width="12" style="1988" customWidth="1"/>
    <col min="11517" max="11517" width="2.7109375" style="1988" customWidth="1"/>
    <col min="11518" max="11518" width="12.42578125" style="1988" customWidth="1"/>
    <col min="11519" max="11519" width="2.7109375" style="1988" customWidth="1"/>
    <col min="11520" max="11521" width="14.140625" style="1988" customWidth="1"/>
    <col min="11522" max="11523" width="13.28515625" style="1988" customWidth="1"/>
    <col min="11524" max="11524" width="3.5703125" style="1988" customWidth="1"/>
    <col min="11525" max="11525" width="11.7109375" style="1988" customWidth="1"/>
    <col min="11526" max="11526" width="4.5703125" style="1988" bestFit="1" customWidth="1"/>
    <col min="11527" max="11527" width="12.85546875" style="1988" bestFit="1" customWidth="1"/>
    <col min="11528" max="11528" width="2.7109375" style="1988" customWidth="1"/>
    <col min="11529" max="11529" width="12.140625" style="1988" bestFit="1" customWidth="1"/>
    <col min="11530" max="11530" width="16" style="1988" customWidth="1"/>
    <col min="11531" max="11531" width="12.5703125" style="1988" customWidth="1"/>
    <col min="11532" max="11532" width="14.5703125" style="1988" bestFit="1" customWidth="1"/>
    <col min="11533" max="11533" width="17.42578125" style="1988" customWidth="1"/>
    <col min="11534" max="11534" width="18.85546875" style="1988" customWidth="1"/>
    <col min="11535" max="11535" width="3.140625" style="1988" customWidth="1"/>
    <col min="11536" max="11536" width="14.85546875" style="1988" bestFit="1" customWidth="1"/>
    <col min="11537" max="11765" width="14.7109375" style="1988"/>
    <col min="11766" max="11766" width="5.7109375" style="1988" customWidth="1"/>
    <col min="11767" max="11767" width="37.140625" style="1988" customWidth="1"/>
    <col min="11768" max="11768" width="8.7109375" style="1988" customWidth="1"/>
    <col min="11769" max="11769" width="1.7109375" style="1988" customWidth="1"/>
    <col min="11770" max="11770" width="9.7109375" style="1988" customWidth="1"/>
    <col min="11771" max="11771" width="2.7109375" style="1988" customWidth="1"/>
    <col min="11772" max="11772" width="12" style="1988" customWidth="1"/>
    <col min="11773" max="11773" width="2.7109375" style="1988" customWidth="1"/>
    <col min="11774" max="11774" width="12.42578125" style="1988" customWidth="1"/>
    <col min="11775" max="11775" width="2.7109375" style="1988" customWidth="1"/>
    <col min="11776" max="11777" width="14.140625" style="1988" customWidth="1"/>
    <col min="11778" max="11779" width="13.28515625" style="1988" customWidth="1"/>
    <col min="11780" max="11780" width="3.5703125" style="1988" customWidth="1"/>
    <col min="11781" max="11781" width="11.7109375" style="1988" customWidth="1"/>
    <col min="11782" max="11782" width="4.5703125" style="1988" bestFit="1" customWidth="1"/>
    <col min="11783" max="11783" width="12.85546875" style="1988" bestFit="1" customWidth="1"/>
    <col min="11784" max="11784" width="2.7109375" style="1988" customWidth="1"/>
    <col min="11785" max="11785" width="12.140625" style="1988" bestFit="1" customWidth="1"/>
    <col min="11786" max="11786" width="16" style="1988" customWidth="1"/>
    <col min="11787" max="11787" width="12.5703125" style="1988" customWidth="1"/>
    <col min="11788" max="11788" width="14.5703125" style="1988" bestFit="1" customWidth="1"/>
    <col min="11789" max="11789" width="17.42578125" style="1988" customWidth="1"/>
    <col min="11790" max="11790" width="18.85546875" style="1988" customWidth="1"/>
    <col min="11791" max="11791" width="3.140625" style="1988" customWidth="1"/>
    <col min="11792" max="11792" width="14.85546875" style="1988" bestFit="1" customWidth="1"/>
    <col min="11793" max="12021" width="14.7109375" style="1988"/>
    <col min="12022" max="12022" width="5.7109375" style="1988" customWidth="1"/>
    <col min="12023" max="12023" width="37.140625" style="1988" customWidth="1"/>
    <col min="12024" max="12024" width="8.7109375" style="1988" customWidth="1"/>
    <col min="12025" max="12025" width="1.7109375" style="1988" customWidth="1"/>
    <col min="12026" max="12026" width="9.7109375" style="1988" customWidth="1"/>
    <col min="12027" max="12027" width="2.7109375" style="1988" customWidth="1"/>
    <col min="12028" max="12028" width="12" style="1988" customWidth="1"/>
    <col min="12029" max="12029" width="2.7109375" style="1988" customWidth="1"/>
    <col min="12030" max="12030" width="12.42578125" style="1988" customWidth="1"/>
    <col min="12031" max="12031" width="2.7109375" style="1988" customWidth="1"/>
    <col min="12032" max="12033" width="14.140625" style="1988" customWidth="1"/>
    <col min="12034" max="12035" width="13.28515625" style="1988" customWidth="1"/>
    <col min="12036" max="12036" width="3.5703125" style="1988" customWidth="1"/>
    <col min="12037" max="12037" width="11.7109375" style="1988" customWidth="1"/>
    <col min="12038" max="12038" width="4.5703125" style="1988" bestFit="1" customWidth="1"/>
    <col min="12039" max="12039" width="12.85546875" style="1988" bestFit="1" customWidth="1"/>
    <col min="12040" max="12040" width="2.7109375" style="1988" customWidth="1"/>
    <col min="12041" max="12041" width="12.140625" style="1988" bestFit="1" customWidth="1"/>
    <col min="12042" max="12042" width="16" style="1988" customWidth="1"/>
    <col min="12043" max="12043" width="12.5703125" style="1988" customWidth="1"/>
    <col min="12044" max="12044" width="14.5703125" style="1988" bestFit="1" customWidth="1"/>
    <col min="12045" max="12045" width="17.42578125" style="1988" customWidth="1"/>
    <col min="12046" max="12046" width="18.85546875" style="1988" customWidth="1"/>
    <col min="12047" max="12047" width="3.140625" style="1988" customWidth="1"/>
    <col min="12048" max="12048" width="14.85546875" style="1988" bestFit="1" customWidth="1"/>
    <col min="12049" max="12277" width="14.7109375" style="1988"/>
    <col min="12278" max="12278" width="5.7109375" style="1988" customWidth="1"/>
    <col min="12279" max="12279" width="37.140625" style="1988" customWidth="1"/>
    <col min="12280" max="12280" width="8.7109375" style="1988" customWidth="1"/>
    <col min="12281" max="12281" width="1.7109375" style="1988" customWidth="1"/>
    <col min="12282" max="12282" width="9.7109375" style="1988" customWidth="1"/>
    <col min="12283" max="12283" width="2.7109375" style="1988" customWidth="1"/>
    <col min="12284" max="12284" width="12" style="1988" customWidth="1"/>
    <col min="12285" max="12285" width="2.7109375" style="1988" customWidth="1"/>
    <col min="12286" max="12286" width="12.42578125" style="1988" customWidth="1"/>
    <col min="12287" max="12287" width="2.7109375" style="1988" customWidth="1"/>
    <col min="12288" max="12289" width="14.140625" style="1988" customWidth="1"/>
    <col min="12290" max="12291" width="13.28515625" style="1988" customWidth="1"/>
    <col min="12292" max="12292" width="3.5703125" style="1988" customWidth="1"/>
    <col min="12293" max="12293" width="11.7109375" style="1988" customWidth="1"/>
    <col min="12294" max="12294" width="4.5703125" style="1988" bestFit="1" customWidth="1"/>
    <col min="12295" max="12295" width="12.85546875" style="1988" bestFit="1" customWidth="1"/>
    <col min="12296" max="12296" width="2.7109375" style="1988" customWidth="1"/>
    <col min="12297" max="12297" width="12.140625" style="1988" bestFit="1" customWidth="1"/>
    <col min="12298" max="12298" width="16" style="1988" customWidth="1"/>
    <col min="12299" max="12299" width="12.5703125" style="1988" customWidth="1"/>
    <col min="12300" max="12300" width="14.5703125" style="1988" bestFit="1" customWidth="1"/>
    <col min="12301" max="12301" width="17.42578125" style="1988" customWidth="1"/>
    <col min="12302" max="12302" width="18.85546875" style="1988" customWidth="1"/>
    <col min="12303" max="12303" width="3.140625" style="1988" customWidth="1"/>
    <col min="12304" max="12304" width="14.85546875" style="1988" bestFit="1" customWidth="1"/>
    <col min="12305" max="12533" width="14.7109375" style="1988"/>
    <col min="12534" max="12534" width="5.7109375" style="1988" customWidth="1"/>
    <col min="12535" max="12535" width="37.140625" style="1988" customWidth="1"/>
    <col min="12536" max="12536" width="8.7109375" style="1988" customWidth="1"/>
    <col min="12537" max="12537" width="1.7109375" style="1988" customWidth="1"/>
    <col min="12538" max="12538" width="9.7109375" style="1988" customWidth="1"/>
    <col min="12539" max="12539" width="2.7109375" style="1988" customWidth="1"/>
    <col min="12540" max="12540" width="12" style="1988" customWidth="1"/>
    <col min="12541" max="12541" width="2.7109375" style="1988" customWidth="1"/>
    <col min="12542" max="12542" width="12.42578125" style="1988" customWidth="1"/>
    <col min="12543" max="12543" width="2.7109375" style="1988" customWidth="1"/>
    <col min="12544" max="12545" width="14.140625" style="1988" customWidth="1"/>
    <col min="12546" max="12547" width="13.28515625" style="1988" customWidth="1"/>
    <col min="12548" max="12548" width="3.5703125" style="1988" customWidth="1"/>
    <col min="12549" max="12549" width="11.7109375" style="1988" customWidth="1"/>
    <col min="12550" max="12550" width="4.5703125" style="1988" bestFit="1" customWidth="1"/>
    <col min="12551" max="12551" width="12.85546875" style="1988" bestFit="1" customWidth="1"/>
    <col min="12552" max="12552" width="2.7109375" style="1988" customWidth="1"/>
    <col min="12553" max="12553" width="12.140625" style="1988" bestFit="1" customWidth="1"/>
    <col min="12554" max="12554" width="16" style="1988" customWidth="1"/>
    <col min="12555" max="12555" width="12.5703125" style="1988" customWidth="1"/>
    <col min="12556" max="12556" width="14.5703125" style="1988" bestFit="1" customWidth="1"/>
    <col min="12557" max="12557" width="17.42578125" style="1988" customWidth="1"/>
    <col min="12558" max="12558" width="18.85546875" style="1988" customWidth="1"/>
    <col min="12559" max="12559" width="3.140625" style="1988" customWidth="1"/>
    <col min="12560" max="12560" width="14.85546875" style="1988" bestFit="1" customWidth="1"/>
    <col min="12561" max="12789" width="14.7109375" style="1988"/>
    <col min="12790" max="12790" width="5.7109375" style="1988" customWidth="1"/>
    <col min="12791" max="12791" width="37.140625" style="1988" customWidth="1"/>
    <col min="12792" max="12792" width="8.7109375" style="1988" customWidth="1"/>
    <col min="12793" max="12793" width="1.7109375" style="1988" customWidth="1"/>
    <col min="12794" max="12794" width="9.7109375" style="1988" customWidth="1"/>
    <col min="12795" max="12795" width="2.7109375" style="1988" customWidth="1"/>
    <col min="12796" max="12796" width="12" style="1988" customWidth="1"/>
    <col min="12797" max="12797" width="2.7109375" style="1988" customWidth="1"/>
    <col min="12798" max="12798" width="12.42578125" style="1988" customWidth="1"/>
    <col min="12799" max="12799" width="2.7109375" style="1988" customWidth="1"/>
    <col min="12800" max="12801" width="14.140625" style="1988" customWidth="1"/>
    <col min="12802" max="12803" width="13.28515625" style="1988" customWidth="1"/>
    <col min="12804" max="12804" width="3.5703125" style="1988" customWidth="1"/>
    <col min="12805" max="12805" width="11.7109375" style="1988" customWidth="1"/>
    <col min="12806" max="12806" width="4.5703125" style="1988" bestFit="1" customWidth="1"/>
    <col min="12807" max="12807" width="12.85546875" style="1988" bestFit="1" customWidth="1"/>
    <col min="12808" max="12808" width="2.7109375" style="1988" customWidth="1"/>
    <col min="12809" max="12809" width="12.140625" style="1988" bestFit="1" customWidth="1"/>
    <col min="12810" max="12810" width="16" style="1988" customWidth="1"/>
    <col min="12811" max="12811" width="12.5703125" style="1988" customWidth="1"/>
    <col min="12812" max="12812" width="14.5703125" style="1988" bestFit="1" customWidth="1"/>
    <col min="12813" max="12813" width="17.42578125" style="1988" customWidth="1"/>
    <col min="12814" max="12814" width="18.85546875" style="1988" customWidth="1"/>
    <col min="12815" max="12815" width="3.140625" style="1988" customWidth="1"/>
    <col min="12816" max="12816" width="14.85546875" style="1988" bestFit="1" customWidth="1"/>
    <col min="12817" max="13045" width="14.7109375" style="1988"/>
    <col min="13046" max="13046" width="5.7109375" style="1988" customWidth="1"/>
    <col min="13047" max="13047" width="37.140625" style="1988" customWidth="1"/>
    <col min="13048" max="13048" width="8.7109375" style="1988" customWidth="1"/>
    <col min="13049" max="13049" width="1.7109375" style="1988" customWidth="1"/>
    <col min="13050" max="13050" width="9.7109375" style="1988" customWidth="1"/>
    <col min="13051" max="13051" width="2.7109375" style="1988" customWidth="1"/>
    <col min="13052" max="13052" width="12" style="1988" customWidth="1"/>
    <col min="13053" max="13053" width="2.7109375" style="1988" customWidth="1"/>
    <col min="13054" max="13054" width="12.42578125" style="1988" customWidth="1"/>
    <col min="13055" max="13055" width="2.7109375" style="1988" customWidth="1"/>
    <col min="13056" max="13057" width="14.140625" style="1988" customWidth="1"/>
    <col min="13058" max="13059" width="13.28515625" style="1988" customWidth="1"/>
    <col min="13060" max="13060" width="3.5703125" style="1988" customWidth="1"/>
    <col min="13061" max="13061" width="11.7109375" style="1988" customWidth="1"/>
    <col min="13062" max="13062" width="4.5703125" style="1988" bestFit="1" customWidth="1"/>
    <col min="13063" max="13063" width="12.85546875" style="1988" bestFit="1" customWidth="1"/>
    <col min="13064" max="13064" width="2.7109375" style="1988" customWidth="1"/>
    <col min="13065" max="13065" width="12.140625" style="1988" bestFit="1" customWidth="1"/>
    <col min="13066" max="13066" width="16" style="1988" customWidth="1"/>
    <col min="13067" max="13067" width="12.5703125" style="1988" customWidth="1"/>
    <col min="13068" max="13068" width="14.5703125" style="1988" bestFit="1" customWidth="1"/>
    <col min="13069" max="13069" width="17.42578125" style="1988" customWidth="1"/>
    <col min="13070" max="13070" width="18.85546875" style="1988" customWidth="1"/>
    <col min="13071" max="13071" width="3.140625" style="1988" customWidth="1"/>
    <col min="13072" max="13072" width="14.85546875" style="1988" bestFit="1" customWidth="1"/>
    <col min="13073" max="13301" width="14.7109375" style="1988"/>
    <col min="13302" max="13302" width="5.7109375" style="1988" customWidth="1"/>
    <col min="13303" max="13303" width="37.140625" style="1988" customWidth="1"/>
    <col min="13304" max="13304" width="8.7109375" style="1988" customWidth="1"/>
    <col min="13305" max="13305" width="1.7109375" style="1988" customWidth="1"/>
    <col min="13306" max="13306" width="9.7109375" style="1988" customWidth="1"/>
    <col min="13307" max="13307" width="2.7109375" style="1988" customWidth="1"/>
    <col min="13308" max="13308" width="12" style="1988" customWidth="1"/>
    <col min="13309" max="13309" width="2.7109375" style="1988" customWidth="1"/>
    <col min="13310" max="13310" width="12.42578125" style="1988" customWidth="1"/>
    <col min="13311" max="13311" width="2.7109375" style="1988" customWidth="1"/>
    <col min="13312" max="13313" width="14.140625" style="1988" customWidth="1"/>
    <col min="13314" max="13315" width="13.28515625" style="1988" customWidth="1"/>
    <col min="13316" max="13316" width="3.5703125" style="1988" customWidth="1"/>
    <col min="13317" max="13317" width="11.7109375" style="1988" customWidth="1"/>
    <col min="13318" max="13318" width="4.5703125" style="1988" bestFit="1" customWidth="1"/>
    <col min="13319" max="13319" width="12.85546875" style="1988" bestFit="1" customWidth="1"/>
    <col min="13320" max="13320" width="2.7109375" style="1988" customWidth="1"/>
    <col min="13321" max="13321" width="12.140625" style="1988" bestFit="1" customWidth="1"/>
    <col min="13322" max="13322" width="16" style="1988" customWidth="1"/>
    <col min="13323" max="13323" width="12.5703125" style="1988" customWidth="1"/>
    <col min="13324" max="13324" width="14.5703125" style="1988" bestFit="1" customWidth="1"/>
    <col min="13325" max="13325" width="17.42578125" style="1988" customWidth="1"/>
    <col min="13326" max="13326" width="18.85546875" style="1988" customWidth="1"/>
    <col min="13327" max="13327" width="3.140625" style="1988" customWidth="1"/>
    <col min="13328" max="13328" width="14.85546875" style="1988" bestFit="1" customWidth="1"/>
    <col min="13329" max="13557" width="14.7109375" style="1988"/>
    <col min="13558" max="13558" width="5.7109375" style="1988" customWidth="1"/>
    <col min="13559" max="13559" width="37.140625" style="1988" customWidth="1"/>
    <col min="13560" max="13560" width="8.7109375" style="1988" customWidth="1"/>
    <col min="13561" max="13561" width="1.7109375" style="1988" customWidth="1"/>
    <col min="13562" max="13562" width="9.7109375" style="1988" customWidth="1"/>
    <col min="13563" max="13563" width="2.7109375" style="1988" customWidth="1"/>
    <col min="13564" max="13564" width="12" style="1988" customWidth="1"/>
    <col min="13565" max="13565" width="2.7109375" style="1988" customWidth="1"/>
    <col min="13566" max="13566" width="12.42578125" style="1988" customWidth="1"/>
    <col min="13567" max="13567" width="2.7109375" style="1988" customWidth="1"/>
    <col min="13568" max="13569" width="14.140625" style="1988" customWidth="1"/>
    <col min="13570" max="13571" width="13.28515625" style="1988" customWidth="1"/>
    <col min="13572" max="13572" width="3.5703125" style="1988" customWidth="1"/>
    <col min="13573" max="13573" width="11.7109375" style="1988" customWidth="1"/>
    <col min="13574" max="13574" width="4.5703125" style="1988" bestFit="1" customWidth="1"/>
    <col min="13575" max="13575" width="12.85546875" style="1988" bestFit="1" customWidth="1"/>
    <col min="13576" max="13576" width="2.7109375" style="1988" customWidth="1"/>
    <col min="13577" max="13577" width="12.140625" style="1988" bestFit="1" customWidth="1"/>
    <col min="13578" max="13578" width="16" style="1988" customWidth="1"/>
    <col min="13579" max="13579" width="12.5703125" style="1988" customWidth="1"/>
    <col min="13580" max="13580" width="14.5703125" style="1988" bestFit="1" customWidth="1"/>
    <col min="13581" max="13581" width="17.42578125" style="1988" customWidth="1"/>
    <col min="13582" max="13582" width="18.85546875" style="1988" customWidth="1"/>
    <col min="13583" max="13583" width="3.140625" style="1988" customWidth="1"/>
    <col min="13584" max="13584" width="14.85546875" style="1988" bestFit="1" customWidth="1"/>
    <col min="13585" max="13813" width="14.7109375" style="1988"/>
    <col min="13814" max="13814" width="5.7109375" style="1988" customWidth="1"/>
    <col min="13815" max="13815" width="37.140625" style="1988" customWidth="1"/>
    <col min="13816" max="13816" width="8.7109375" style="1988" customWidth="1"/>
    <col min="13817" max="13817" width="1.7109375" style="1988" customWidth="1"/>
    <col min="13818" max="13818" width="9.7109375" style="1988" customWidth="1"/>
    <col min="13819" max="13819" width="2.7109375" style="1988" customWidth="1"/>
    <col min="13820" max="13820" width="12" style="1988" customWidth="1"/>
    <col min="13821" max="13821" width="2.7109375" style="1988" customWidth="1"/>
    <col min="13822" max="13822" width="12.42578125" style="1988" customWidth="1"/>
    <col min="13823" max="13823" width="2.7109375" style="1988" customWidth="1"/>
    <col min="13824" max="13825" width="14.140625" style="1988" customWidth="1"/>
    <col min="13826" max="13827" width="13.28515625" style="1988" customWidth="1"/>
    <col min="13828" max="13828" width="3.5703125" style="1988" customWidth="1"/>
    <col min="13829" max="13829" width="11.7109375" style="1988" customWidth="1"/>
    <col min="13830" max="13830" width="4.5703125" style="1988" bestFit="1" customWidth="1"/>
    <col min="13831" max="13831" width="12.85546875" style="1988" bestFit="1" customWidth="1"/>
    <col min="13832" max="13832" width="2.7109375" style="1988" customWidth="1"/>
    <col min="13833" max="13833" width="12.140625" style="1988" bestFit="1" customWidth="1"/>
    <col min="13834" max="13834" width="16" style="1988" customWidth="1"/>
    <col min="13835" max="13835" width="12.5703125" style="1988" customWidth="1"/>
    <col min="13836" max="13836" width="14.5703125" style="1988" bestFit="1" customWidth="1"/>
    <col min="13837" max="13837" width="17.42578125" style="1988" customWidth="1"/>
    <col min="13838" max="13838" width="18.85546875" style="1988" customWidth="1"/>
    <col min="13839" max="13839" width="3.140625" style="1988" customWidth="1"/>
    <col min="13840" max="13840" width="14.85546875" style="1988" bestFit="1" customWidth="1"/>
    <col min="13841" max="14069" width="14.7109375" style="1988"/>
    <col min="14070" max="14070" width="5.7109375" style="1988" customWidth="1"/>
    <col min="14071" max="14071" width="37.140625" style="1988" customWidth="1"/>
    <col min="14072" max="14072" width="8.7109375" style="1988" customWidth="1"/>
    <col min="14073" max="14073" width="1.7109375" style="1988" customWidth="1"/>
    <col min="14074" max="14074" width="9.7109375" style="1988" customWidth="1"/>
    <col min="14075" max="14075" width="2.7109375" style="1988" customWidth="1"/>
    <col min="14076" max="14076" width="12" style="1988" customWidth="1"/>
    <col min="14077" max="14077" width="2.7109375" style="1988" customWidth="1"/>
    <col min="14078" max="14078" width="12.42578125" style="1988" customWidth="1"/>
    <col min="14079" max="14079" width="2.7109375" style="1988" customWidth="1"/>
    <col min="14080" max="14081" width="14.140625" style="1988" customWidth="1"/>
    <col min="14082" max="14083" width="13.28515625" style="1988" customWidth="1"/>
    <col min="14084" max="14084" width="3.5703125" style="1988" customWidth="1"/>
    <col min="14085" max="14085" width="11.7109375" style="1988" customWidth="1"/>
    <col min="14086" max="14086" width="4.5703125" style="1988" bestFit="1" customWidth="1"/>
    <col min="14087" max="14087" width="12.85546875" style="1988" bestFit="1" customWidth="1"/>
    <col min="14088" max="14088" width="2.7109375" style="1988" customWidth="1"/>
    <col min="14089" max="14089" width="12.140625" style="1988" bestFit="1" customWidth="1"/>
    <col min="14090" max="14090" width="16" style="1988" customWidth="1"/>
    <col min="14091" max="14091" width="12.5703125" style="1988" customWidth="1"/>
    <col min="14092" max="14092" width="14.5703125" style="1988" bestFit="1" customWidth="1"/>
    <col min="14093" max="14093" width="17.42578125" style="1988" customWidth="1"/>
    <col min="14094" max="14094" width="18.85546875" style="1988" customWidth="1"/>
    <col min="14095" max="14095" width="3.140625" style="1988" customWidth="1"/>
    <col min="14096" max="14096" width="14.85546875" style="1988" bestFit="1" customWidth="1"/>
    <col min="14097" max="14325" width="14.7109375" style="1988"/>
    <col min="14326" max="14326" width="5.7109375" style="1988" customWidth="1"/>
    <col min="14327" max="14327" width="37.140625" style="1988" customWidth="1"/>
    <col min="14328" max="14328" width="8.7109375" style="1988" customWidth="1"/>
    <col min="14329" max="14329" width="1.7109375" style="1988" customWidth="1"/>
    <col min="14330" max="14330" width="9.7109375" style="1988" customWidth="1"/>
    <col min="14331" max="14331" width="2.7109375" style="1988" customWidth="1"/>
    <col min="14332" max="14332" width="12" style="1988" customWidth="1"/>
    <col min="14333" max="14333" width="2.7109375" style="1988" customWidth="1"/>
    <col min="14334" max="14334" width="12.42578125" style="1988" customWidth="1"/>
    <col min="14335" max="14335" width="2.7109375" style="1988" customWidth="1"/>
    <col min="14336" max="14337" width="14.140625" style="1988" customWidth="1"/>
    <col min="14338" max="14339" width="13.28515625" style="1988" customWidth="1"/>
    <col min="14340" max="14340" width="3.5703125" style="1988" customWidth="1"/>
    <col min="14341" max="14341" width="11.7109375" style="1988" customWidth="1"/>
    <col min="14342" max="14342" width="4.5703125" style="1988" bestFit="1" customWidth="1"/>
    <col min="14343" max="14343" width="12.85546875" style="1988" bestFit="1" customWidth="1"/>
    <col min="14344" max="14344" width="2.7109375" style="1988" customWidth="1"/>
    <col min="14345" max="14345" width="12.140625" style="1988" bestFit="1" customWidth="1"/>
    <col min="14346" max="14346" width="16" style="1988" customWidth="1"/>
    <col min="14347" max="14347" width="12.5703125" style="1988" customWidth="1"/>
    <col min="14348" max="14348" width="14.5703125" style="1988" bestFit="1" customWidth="1"/>
    <col min="14349" max="14349" width="17.42578125" style="1988" customWidth="1"/>
    <col min="14350" max="14350" width="18.85546875" style="1988" customWidth="1"/>
    <col min="14351" max="14351" width="3.140625" style="1988" customWidth="1"/>
    <col min="14352" max="14352" width="14.85546875" style="1988" bestFit="1" customWidth="1"/>
    <col min="14353" max="14581" width="14.7109375" style="1988"/>
    <col min="14582" max="14582" width="5.7109375" style="1988" customWidth="1"/>
    <col min="14583" max="14583" width="37.140625" style="1988" customWidth="1"/>
    <col min="14584" max="14584" width="8.7109375" style="1988" customWidth="1"/>
    <col min="14585" max="14585" width="1.7109375" style="1988" customWidth="1"/>
    <col min="14586" max="14586" width="9.7109375" style="1988" customWidth="1"/>
    <col min="14587" max="14587" width="2.7109375" style="1988" customWidth="1"/>
    <col min="14588" max="14588" width="12" style="1988" customWidth="1"/>
    <col min="14589" max="14589" width="2.7109375" style="1988" customWidth="1"/>
    <col min="14590" max="14590" width="12.42578125" style="1988" customWidth="1"/>
    <col min="14591" max="14591" width="2.7109375" style="1988" customWidth="1"/>
    <col min="14592" max="14593" width="14.140625" style="1988" customWidth="1"/>
    <col min="14594" max="14595" width="13.28515625" style="1988" customWidth="1"/>
    <col min="14596" max="14596" width="3.5703125" style="1988" customWidth="1"/>
    <col min="14597" max="14597" width="11.7109375" style="1988" customWidth="1"/>
    <col min="14598" max="14598" width="4.5703125" style="1988" bestFit="1" customWidth="1"/>
    <col min="14599" max="14599" width="12.85546875" style="1988" bestFit="1" customWidth="1"/>
    <col min="14600" max="14600" width="2.7109375" style="1988" customWidth="1"/>
    <col min="14601" max="14601" width="12.140625" style="1988" bestFit="1" customWidth="1"/>
    <col min="14602" max="14602" width="16" style="1988" customWidth="1"/>
    <col min="14603" max="14603" width="12.5703125" style="1988" customWidth="1"/>
    <col min="14604" max="14604" width="14.5703125" style="1988" bestFit="1" customWidth="1"/>
    <col min="14605" max="14605" width="17.42578125" style="1988" customWidth="1"/>
    <col min="14606" max="14606" width="18.85546875" style="1988" customWidth="1"/>
    <col min="14607" max="14607" width="3.140625" style="1988" customWidth="1"/>
    <col min="14608" max="14608" width="14.85546875" style="1988" bestFit="1" customWidth="1"/>
    <col min="14609" max="14837" width="14.7109375" style="1988"/>
    <col min="14838" max="14838" width="5.7109375" style="1988" customWidth="1"/>
    <col min="14839" max="14839" width="37.140625" style="1988" customWidth="1"/>
    <col min="14840" max="14840" width="8.7109375" style="1988" customWidth="1"/>
    <col min="14841" max="14841" width="1.7109375" style="1988" customWidth="1"/>
    <col min="14842" max="14842" width="9.7109375" style="1988" customWidth="1"/>
    <col min="14843" max="14843" width="2.7109375" style="1988" customWidth="1"/>
    <col min="14844" max="14844" width="12" style="1988" customWidth="1"/>
    <col min="14845" max="14845" width="2.7109375" style="1988" customWidth="1"/>
    <col min="14846" max="14846" width="12.42578125" style="1988" customWidth="1"/>
    <col min="14847" max="14847" width="2.7109375" style="1988" customWidth="1"/>
    <col min="14848" max="14849" width="14.140625" style="1988" customWidth="1"/>
    <col min="14850" max="14851" width="13.28515625" style="1988" customWidth="1"/>
    <col min="14852" max="14852" width="3.5703125" style="1988" customWidth="1"/>
    <col min="14853" max="14853" width="11.7109375" style="1988" customWidth="1"/>
    <col min="14854" max="14854" width="4.5703125" style="1988" bestFit="1" customWidth="1"/>
    <col min="14855" max="14855" width="12.85546875" style="1988" bestFit="1" customWidth="1"/>
    <col min="14856" max="14856" width="2.7109375" style="1988" customWidth="1"/>
    <col min="14857" max="14857" width="12.140625" style="1988" bestFit="1" customWidth="1"/>
    <col min="14858" max="14858" width="16" style="1988" customWidth="1"/>
    <col min="14859" max="14859" width="12.5703125" style="1988" customWidth="1"/>
    <col min="14860" max="14860" width="14.5703125" style="1988" bestFit="1" customWidth="1"/>
    <col min="14861" max="14861" width="17.42578125" style="1988" customWidth="1"/>
    <col min="14862" max="14862" width="18.85546875" style="1988" customWidth="1"/>
    <col min="14863" max="14863" width="3.140625" style="1988" customWidth="1"/>
    <col min="14864" max="14864" width="14.85546875" style="1988" bestFit="1" customWidth="1"/>
    <col min="14865" max="15093" width="14.7109375" style="1988"/>
    <col min="15094" max="15094" width="5.7109375" style="1988" customWidth="1"/>
    <col min="15095" max="15095" width="37.140625" style="1988" customWidth="1"/>
    <col min="15096" max="15096" width="8.7109375" style="1988" customWidth="1"/>
    <col min="15097" max="15097" width="1.7109375" style="1988" customWidth="1"/>
    <col min="15098" max="15098" width="9.7109375" style="1988" customWidth="1"/>
    <col min="15099" max="15099" width="2.7109375" style="1988" customWidth="1"/>
    <col min="15100" max="15100" width="12" style="1988" customWidth="1"/>
    <col min="15101" max="15101" width="2.7109375" style="1988" customWidth="1"/>
    <col min="15102" max="15102" width="12.42578125" style="1988" customWidth="1"/>
    <col min="15103" max="15103" width="2.7109375" style="1988" customWidth="1"/>
    <col min="15104" max="15105" width="14.140625" style="1988" customWidth="1"/>
    <col min="15106" max="15107" width="13.28515625" style="1988" customWidth="1"/>
    <col min="15108" max="15108" width="3.5703125" style="1988" customWidth="1"/>
    <col min="15109" max="15109" width="11.7109375" style="1988" customWidth="1"/>
    <col min="15110" max="15110" width="4.5703125" style="1988" bestFit="1" customWidth="1"/>
    <col min="15111" max="15111" width="12.85546875" style="1988" bestFit="1" customWidth="1"/>
    <col min="15112" max="15112" width="2.7109375" style="1988" customWidth="1"/>
    <col min="15113" max="15113" width="12.140625" style="1988" bestFit="1" customWidth="1"/>
    <col min="15114" max="15114" width="16" style="1988" customWidth="1"/>
    <col min="15115" max="15115" width="12.5703125" style="1988" customWidth="1"/>
    <col min="15116" max="15116" width="14.5703125" style="1988" bestFit="1" customWidth="1"/>
    <col min="15117" max="15117" width="17.42578125" style="1988" customWidth="1"/>
    <col min="15118" max="15118" width="18.85546875" style="1988" customWidth="1"/>
    <col min="15119" max="15119" width="3.140625" style="1988" customWidth="1"/>
    <col min="15120" max="15120" width="14.85546875" style="1988" bestFit="1" customWidth="1"/>
    <col min="15121" max="15349" width="14.7109375" style="1988"/>
    <col min="15350" max="15350" width="5.7109375" style="1988" customWidth="1"/>
    <col min="15351" max="15351" width="37.140625" style="1988" customWidth="1"/>
    <col min="15352" max="15352" width="8.7109375" style="1988" customWidth="1"/>
    <col min="15353" max="15353" width="1.7109375" style="1988" customWidth="1"/>
    <col min="15354" max="15354" width="9.7109375" style="1988" customWidth="1"/>
    <col min="15355" max="15355" width="2.7109375" style="1988" customWidth="1"/>
    <col min="15356" max="15356" width="12" style="1988" customWidth="1"/>
    <col min="15357" max="15357" width="2.7109375" style="1988" customWidth="1"/>
    <col min="15358" max="15358" width="12.42578125" style="1988" customWidth="1"/>
    <col min="15359" max="15359" width="2.7109375" style="1988" customWidth="1"/>
    <col min="15360" max="15361" width="14.140625" style="1988" customWidth="1"/>
    <col min="15362" max="15363" width="13.28515625" style="1988" customWidth="1"/>
    <col min="15364" max="15364" width="3.5703125" style="1988" customWidth="1"/>
    <col min="15365" max="15365" width="11.7109375" style="1988" customWidth="1"/>
    <col min="15366" max="15366" width="4.5703125" style="1988" bestFit="1" customWidth="1"/>
    <col min="15367" max="15367" width="12.85546875" style="1988" bestFit="1" customWidth="1"/>
    <col min="15368" max="15368" width="2.7109375" style="1988" customWidth="1"/>
    <col min="15369" max="15369" width="12.140625" style="1988" bestFit="1" customWidth="1"/>
    <col min="15370" max="15370" width="16" style="1988" customWidth="1"/>
    <col min="15371" max="15371" width="12.5703125" style="1988" customWidth="1"/>
    <col min="15372" max="15372" width="14.5703125" style="1988" bestFit="1" customWidth="1"/>
    <col min="15373" max="15373" width="17.42578125" style="1988" customWidth="1"/>
    <col min="15374" max="15374" width="18.85546875" style="1988" customWidth="1"/>
    <col min="15375" max="15375" width="3.140625" style="1988" customWidth="1"/>
    <col min="15376" max="15376" width="14.85546875" style="1988" bestFit="1" customWidth="1"/>
    <col min="15377" max="15605" width="14.7109375" style="1988"/>
    <col min="15606" max="15606" width="5.7109375" style="1988" customWidth="1"/>
    <col min="15607" max="15607" width="37.140625" style="1988" customWidth="1"/>
    <col min="15608" max="15608" width="8.7109375" style="1988" customWidth="1"/>
    <col min="15609" max="15609" width="1.7109375" style="1988" customWidth="1"/>
    <col min="15610" max="15610" width="9.7109375" style="1988" customWidth="1"/>
    <col min="15611" max="15611" width="2.7109375" style="1988" customWidth="1"/>
    <col min="15612" max="15612" width="12" style="1988" customWidth="1"/>
    <col min="15613" max="15613" width="2.7109375" style="1988" customWidth="1"/>
    <col min="15614" max="15614" width="12.42578125" style="1988" customWidth="1"/>
    <col min="15615" max="15615" width="2.7109375" style="1988" customWidth="1"/>
    <col min="15616" max="15617" width="14.140625" style="1988" customWidth="1"/>
    <col min="15618" max="15619" width="13.28515625" style="1988" customWidth="1"/>
    <col min="15620" max="15620" width="3.5703125" style="1988" customWidth="1"/>
    <col min="15621" max="15621" width="11.7109375" style="1988" customWidth="1"/>
    <col min="15622" max="15622" width="4.5703125" style="1988" bestFit="1" customWidth="1"/>
    <col min="15623" max="15623" width="12.85546875" style="1988" bestFit="1" customWidth="1"/>
    <col min="15624" max="15624" width="2.7109375" style="1988" customWidth="1"/>
    <col min="15625" max="15625" width="12.140625" style="1988" bestFit="1" customWidth="1"/>
    <col min="15626" max="15626" width="16" style="1988" customWidth="1"/>
    <col min="15627" max="15627" width="12.5703125" style="1988" customWidth="1"/>
    <col min="15628" max="15628" width="14.5703125" style="1988" bestFit="1" customWidth="1"/>
    <col min="15629" max="15629" width="17.42578125" style="1988" customWidth="1"/>
    <col min="15630" max="15630" width="18.85546875" style="1988" customWidth="1"/>
    <col min="15631" max="15631" width="3.140625" style="1988" customWidth="1"/>
    <col min="15632" max="15632" width="14.85546875" style="1988" bestFit="1" customWidth="1"/>
    <col min="15633" max="15861" width="14.7109375" style="1988"/>
    <col min="15862" max="15862" width="5.7109375" style="1988" customWidth="1"/>
    <col min="15863" max="15863" width="37.140625" style="1988" customWidth="1"/>
    <col min="15864" max="15864" width="8.7109375" style="1988" customWidth="1"/>
    <col min="15865" max="15865" width="1.7109375" style="1988" customWidth="1"/>
    <col min="15866" max="15866" width="9.7109375" style="1988" customWidth="1"/>
    <col min="15867" max="15867" width="2.7109375" style="1988" customWidth="1"/>
    <col min="15868" max="15868" width="12" style="1988" customWidth="1"/>
    <col min="15869" max="15869" width="2.7109375" style="1988" customWidth="1"/>
    <col min="15870" max="15870" width="12.42578125" style="1988" customWidth="1"/>
    <col min="15871" max="15871" width="2.7109375" style="1988" customWidth="1"/>
    <col min="15872" max="15873" width="14.140625" style="1988" customWidth="1"/>
    <col min="15874" max="15875" width="13.28515625" style="1988" customWidth="1"/>
    <col min="15876" max="15876" width="3.5703125" style="1988" customWidth="1"/>
    <col min="15877" max="15877" width="11.7109375" style="1988" customWidth="1"/>
    <col min="15878" max="15878" width="4.5703125" style="1988" bestFit="1" customWidth="1"/>
    <col min="15879" max="15879" width="12.85546875" style="1988" bestFit="1" customWidth="1"/>
    <col min="15880" max="15880" width="2.7109375" style="1988" customWidth="1"/>
    <col min="15881" max="15881" width="12.140625" style="1988" bestFit="1" customWidth="1"/>
    <col min="15882" max="15882" width="16" style="1988" customWidth="1"/>
    <col min="15883" max="15883" width="12.5703125" style="1988" customWidth="1"/>
    <col min="15884" max="15884" width="14.5703125" style="1988" bestFit="1" customWidth="1"/>
    <col min="15885" max="15885" width="17.42578125" style="1988" customWidth="1"/>
    <col min="15886" max="15886" width="18.85546875" style="1988" customWidth="1"/>
    <col min="15887" max="15887" width="3.140625" style="1988" customWidth="1"/>
    <col min="15888" max="15888" width="14.85546875" style="1988" bestFit="1" customWidth="1"/>
    <col min="15889" max="16117" width="14.7109375" style="1988"/>
    <col min="16118" max="16118" width="5.7109375" style="1988" customWidth="1"/>
    <col min="16119" max="16119" width="37.140625" style="1988" customWidth="1"/>
    <col min="16120" max="16120" width="8.7109375" style="1988" customWidth="1"/>
    <col min="16121" max="16121" width="1.7109375" style="1988" customWidth="1"/>
    <col min="16122" max="16122" width="9.7109375" style="1988" customWidth="1"/>
    <col min="16123" max="16123" width="2.7109375" style="1988" customWidth="1"/>
    <col min="16124" max="16124" width="12" style="1988" customWidth="1"/>
    <col min="16125" max="16125" width="2.7109375" style="1988" customWidth="1"/>
    <col min="16126" max="16126" width="12.42578125" style="1988" customWidth="1"/>
    <col min="16127" max="16127" width="2.7109375" style="1988" customWidth="1"/>
    <col min="16128" max="16129" width="14.140625" style="1988" customWidth="1"/>
    <col min="16130" max="16131" width="13.28515625" style="1988" customWidth="1"/>
    <col min="16132" max="16132" width="3.5703125" style="1988" customWidth="1"/>
    <col min="16133" max="16133" width="11.7109375" style="1988" customWidth="1"/>
    <col min="16134" max="16134" width="4.5703125" style="1988" bestFit="1" customWidth="1"/>
    <col min="16135" max="16135" width="12.85546875" style="1988" bestFit="1" customWidth="1"/>
    <col min="16136" max="16136" width="2.7109375" style="1988" customWidth="1"/>
    <col min="16137" max="16137" width="12.140625" style="1988" bestFit="1" customWidth="1"/>
    <col min="16138" max="16138" width="16" style="1988" customWidth="1"/>
    <col min="16139" max="16139" width="12.5703125" style="1988" customWidth="1"/>
    <col min="16140" max="16140" width="14.5703125" style="1988" bestFit="1" customWidth="1"/>
    <col min="16141" max="16141" width="17.42578125" style="1988" customWidth="1"/>
    <col min="16142" max="16142" width="18.85546875" style="1988" customWidth="1"/>
    <col min="16143" max="16143" width="3.140625" style="1988" customWidth="1"/>
    <col min="16144" max="16144" width="14.85546875" style="1988" bestFit="1" customWidth="1"/>
    <col min="16145" max="16384" width="14.7109375" style="1988"/>
  </cols>
  <sheetData>
    <row r="1" spans="1:20" x14ac:dyDescent="0.2">
      <c r="A1" s="2670" t="s">
        <v>2171</v>
      </c>
      <c r="B1" s="2670"/>
      <c r="C1" s="2670"/>
      <c r="D1" s="2670"/>
      <c r="E1" s="2670"/>
      <c r="F1" s="2670"/>
      <c r="G1" s="2670"/>
      <c r="H1" s="2670"/>
      <c r="I1" s="2670"/>
      <c r="J1" s="2670"/>
      <c r="K1" s="2670"/>
      <c r="L1" s="2670"/>
      <c r="M1" s="2670"/>
      <c r="N1" s="2670"/>
      <c r="O1" s="2670"/>
      <c r="P1" s="2670"/>
      <c r="Q1" s="2670"/>
      <c r="R1" s="2670"/>
      <c r="S1" s="2670"/>
      <c r="T1" s="2670"/>
    </row>
    <row r="2" spans="1:20" x14ac:dyDescent="0.2">
      <c r="A2" s="2670" t="s">
        <v>2083</v>
      </c>
      <c r="B2" s="2670"/>
      <c r="C2" s="2670"/>
      <c r="D2" s="2670"/>
      <c r="E2" s="2670"/>
      <c r="F2" s="2670"/>
      <c r="G2" s="2670"/>
      <c r="H2" s="2670"/>
      <c r="I2" s="2670"/>
      <c r="J2" s="2670"/>
      <c r="K2" s="2670"/>
      <c r="L2" s="2670"/>
      <c r="M2" s="2670"/>
      <c r="N2" s="2670"/>
      <c r="O2" s="2670"/>
      <c r="P2" s="2670"/>
      <c r="Q2" s="2670"/>
      <c r="R2" s="2670"/>
      <c r="S2" s="2670"/>
      <c r="T2" s="2670"/>
    </row>
    <row r="3" spans="1:20" x14ac:dyDescent="0.2">
      <c r="A3" s="2670" t="s">
        <v>1281</v>
      </c>
      <c r="B3" s="2670"/>
      <c r="C3" s="2670"/>
      <c r="D3" s="2670"/>
      <c r="E3" s="2670"/>
      <c r="F3" s="2670"/>
      <c r="G3" s="2670"/>
      <c r="H3" s="2670"/>
      <c r="I3" s="2670"/>
      <c r="J3" s="2670"/>
      <c r="K3" s="2670"/>
      <c r="L3" s="2670"/>
      <c r="M3" s="2670"/>
      <c r="N3" s="2670"/>
      <c r="O3" s="2670"/>
      <c r="P3" s="2670"/>
      <c r="Q3" s="2670"/>
      <c r="R3" s="2670"/>
      <c r="S3" s="2670"/>
      <c r="T3" s="2670"/>
    </row>
    <row r="4" spans="1:20" x14ac:dyDescent="0.2">
      <c r="A4" s="2671" t="s">
        <v>2172</v>
      </c>
      <c r="B4" s="2671"/>
      <c r="C4" s="2671"/>
      <c r="D4" s="2671"/>
      <c r="E4" s="2671"/>
      <c r="F4" s="2671"/>
      <c r="G4" s="2671"/>
      <c r="H4" s="2671"/>
      <c r="I4" s="2671"/>
      <c r="J4" s="2671"/>
      <c r="K4" s="2671"/>
      <c r="L4" s="2671"/>
      <c r="M4" s="2671"/>
      <c r="N4" s="2671"/>
      <c r="O4" s="2671"/>
      <c r="P4" s="2671"/>
      <c r="Q4" s="2671"/>
      <c r="R4" s="2671"/>
      <c r="S4" s="2671"/>
      <c r="T4" s="2671"/>
    </row>
    <row r="5" spans="1:20" x14ac:dyDescent="0.2">
      <c r="A5" s="1989"/>
      <c r="B5" s="1990"/>
      <c r="C5" s="1989"/>
      <c r="D5" s="1989"/>
      <c r="E5" s="1989"/>
      <c r="F5" s="1989"/>
      <c r="G5" s="1991"/>
      <c r="H5" s="1992"/>
      <c r="I5" s="1991"/>
      <c r="J5" s="1993"/>
      <c r="K5" s="2672" t="s">
        <v>2173</v>
      </c>
      <c r="L5" s="2672"/>
      <c r="M5" s="2672"/>
      <c r="N5" s="2672"/>
      <c r="O5" s="1992"/>
      <c r="P5" s="1992"/>
      <c r="Q5" s="1993"/>
      <c r="R5" s="1992"/>
      <c r="S5" s="1992"/>
      <c r="T5" s="1992"/>
    </row>
    <row r="6" spans="1:20" ht="15.95" customHeight="1" x14ac:dyDescent="0.2">
      <c r="A6" s="1993"/>
      <c r="B6" s="1991"/>
      <c r="C6" s="1992"/>
      <c r="D6" s="1992"/>
      <c r="E6" s="1994" t="s">
        <v>2174</v>
      </c>
      <c r="F6" s="1993"/>
      <c r="G6" s="2673" t="s">
        <v>2175</v>
      </c>
      <c r="H6" s="2673"/>
      <c r="I6" s="2673"/>
      <c r="J6" s="1994"/>
      <c r="L6" s="1994" t="str">
        <f>K7</f>
        <v xml:space="preserve">Prior to </v>
      </c>
      <c r="N6" s="1994" t="str">
        <f>M7</f>
        <v>7/01/17</v>
      </c>
      <c r="O6" s="1992"/>
      <c r="P6" s="1992"/>
      <c r="Q6" s="1993"/>
      <c r="R6" s="1992"/>
      <c r="S6" s="1992"/>
      <c r="T6" s="1992"/>
    </row>
    <row r="7" spans="1:20" ht="15.95" customHeight="1" x14ac:dyDescent="0.2">
      <c r="A7" s="1995"/>
      <c r="B7" s="1996"/>
      <c r="C7" s="1995" t="s">
        <v>1326</v>
      </c>
      <c r="D7" s="1997"/>
      <c r="E7" s="1995" t="s">
        <v>2176</v>
      </c>
      <c r="F7" s="1995"/>
      <c r="G7" s="1995" t="s">
        <v>2177</v>
      </c>
      <c r="H7" s="1997"/>
      <c r="I7" s="1998" t="s">
        <v>2178</v>
      </c>
      <c r="J7" s="1995"/>
      <c r="K7" s="1995" t="s">
        <v>2179</v>
      </c>
      <c r="L7" s="1998" t="str">
        <f>K8</f>
        <v>7/01/17</v>
      </c>
      <c r="M7" s="1998" t="str">
        <f>+I7</f>
        <v>7/01/17</v>
      </c>
      <c r="N7" s="1998" t="str">
        <f>M8</f>
        <v>6/30/18</v>
      </c>
      <c r="O7" s="1997"/>
      <c r="P7" s="1995" t="s">
        <v>1323</v>
      </c>
      <c r="Q7" s="1995"/>
      <c r="R7" s="1995" t="s">
        <v>2180</v>
      </c>
      <c r="S7" s="1997"/>
      <c r="T7" s="1996" t="s">
        <v>1231</v>
      </c>
    </row>
    <row r="8" spans="1:20" ht="15" customHeight="1" x14ac:dyDescent="0.2">
      <c r="A8" s="1996" t="s">
        <v>2181</v>
      </c>
      <c r="B8" s="1996"/>
      <c r="C8" s="1995" t="s">
        <v>2182</v>
      </c>
      <c r="D8" s="1997"/>
      <c r="E8" s="1995" t="s">
        <v>2182</v>
      </c>
      <c r="F8" s="1999"/>
      <c r="G8" s="2000" t="s">
        <v>2178</v>
      </c>
      <c r="H8" s="1997"/>
      <c r="I8" s="2000" t="s">
        <v>2183</v>
      </c>
      <c r="J8" s="1999"/>
      <c r="K8" s="2001" t="str">
        <f>+G8</f>
        <v>7/01/17</v>
      </c>
      <c r="L8" s="2001" t="s">
        <v>1664</v>
      </c>
      <c r="M8" s="2001" t="str">
        <f>+I8</f>
        <v>6/30/18</v>
      </c>
      <c r="N8" s="2001" t="s">
        <v>1664</v>
      </c>
      <c r="O8" s="2002"/>
      <c r="P8" s="1999" t="s">
        <v>2184</v>
      </c>
      <c r="Q8" s="1999"/>
      <c r="R8" s="1999" t="s">
        <v>1319</v>
      </c>
      <c r="S8" s="2002"/>
      <c r="T8" s="1999" t="s">
        <v>30</v>
      </c>
    </row>
    <row r="9" spans="1:20" ht="15.95" customHeight="1" x14ac:dyDescent="0.2">
      <c r="A9" s="2003" t="s">
        <v>2185</v>
      </c>
      <c r="B9" s="1997"/>
      <c r="C9" s="2004" t="s">
        <v>2186</v>
      </c>
      <c r="D9" s="2005"/>
      <c r="E9" s="2004" t="s">
        <v>2187</v>
      </c>
      <c r="F9" s="2004"/>
      <c r="G9" s="2006" t="s">
        <v>2188</v>
      </c>
      <c r="H9" s="2007"/>
      <c r="I9" s="2006" t="s">
        <v>2189</v>
      </c>
      <c r="J9" s="2006"/>
      <c r="K9" s="2006" t="s">
        <v>2190</v>
      </c>
      <c r="L9" s="2006" t="s">
        <v>1328</v>
      </c>
      <c r="M9" s="2006" t="s">
        <v>2191</v>
      </c>
      <c r="N9" s="2006" t="s">
        <v>1328</v>
      </c>
      <c r="O9" s="2007"/>
      <c r="P9" s="2006" t="s">
        <v>2192</v>
      </c>
      <c r="Q9" s="2006"/>
      <c r="R9" s="2006" t="s">
        <v>2193</v>
      </c>
      <c r="S9" s="2007"/>
      <c r="T9" s="2006" t="s">
        <v>2194</v>
      </c>
    </row>
    <row r="10" spans="1:20" x14ac:dyDescent="0.2">
      <c r="A10" s="2008"/>
      <c r="B10" s="2002"/>
      <c r="C10" s="2009"/>
      <c r="D10" s="2002"/>
      <c r="E10" s="2009"/>
      <c r="F10" s="1999"/>
      <c r="G10" s="2010"/>
      <c r="H10" s="2011"/>
      <c r="I10" s="2010"/>
      <c r="J10" s="2012"/>
      <c r="K10" s="2010"/>
      <c r="L10" s="2010"/>
      <c r="M10" s="2010"/>
      <c r="N10" s="2010"/>
      <c r="O10" s="2011"/>
      <c r="P10" s="2010"/>
      <c r="Q10" s="2012"/>
      <c r="R10" s="2010"/>
      <c r="S10" s="2011"/>
      <c r="T10" s="2010"/>
    </row>
    <row r="11" spans="1:20" x14ac:dyDescent="0.2">
      <c r="A11" s="2013" t="s">
        <v>2195</v>
      </c>
      <c r="B11" s="2002"/>
      <c r="C11" s="2009"/>
      <c r="D11" s="2002"/>
      <c r="E11" s="2009"/>
      <c r="F11" s="1999"/>
      <c r="G11" s="2010"/>
      <c r="H11" s="2011"/>
      <c r="I11" s="2010"/>
      <c r="J11" s="2012"/>
      <c r="K11" s="2010"/>
      <c r="L11" s="2010"/>
      <c r="M11" s="2010"/>
      <c r="N11" s="2010"/>
      <c r="O11" s="2011"/>
      <c r="P11" s="2010"/>
      <c r="Q11" s="2012"/>
      <c r="R11" s="2010"/>
      <c r="S11" s="2011"/>
      <c r="T11" s="2010"/>
    </row>
    <row r="12" spans="1:20" x14ac:dyDescent="0.2">
      <c r="A12" s="2015" t="s">
        <v>2196</v>
      </c>
      <c r="B12" s="2002"/>
      <c r="C12" s="2009"/>
      <c r="D12" s="2002"/>
      <c r="E12" s="2009"/>
      <c r="F12" s="1999"/>
      <c r="G12" s="2010"/>
      <c r="H12" s="2011"/>
      <c r="I12" s="2016"/>
      <c r="J12" s="2012"/>
      <c r="K12" s="2010"/>
      <c r="L12" s="2010"/>
      <c r="M12" s="2010"/>
      <c r="N12" s="2010"/>
      <c r="O12" s="2011"/>
      <c r="P12" s="2010"/>
      <c r="Q12" s="2012"/>
      <c r="R12" s="2010"/>
      <c r="S12" s="2011"/>
      <c r="T12" s="2010"/>
    </row>
    <row r="13" spans="1:20" x14ac:dyDescent="0.2">
      <c r="A13" s="2017" t="s">
        <v>2197</v>
      </c>
      <c r="B13" s="2002"/>
      <c r="C13" s="2002"/>
      <c r="D13" s="2002"/>
      <c r="E13" s="2002"/>
      <c r="F13" s="1999"/>
      <c r="G13" s="2011"/>
      <c r="H13" s="2011"/>
      <c r="I13" s="2018"/>
      <c r="J13" s="2012"/>
      <c r="K13" s="2011"/>
      <c r="L13" s="2011"/>
      <c r="M13" s="2011"/>
      <c r="N13" s="2011"/>
      <c r="O13" s="2011"/>
      <c r="P13" s="2011"/>
      <c r="Q13" s="2012"/>
      <c r="R13" s="2011"/>
      <c r="S13" s="2011"/>
      <c r="T13" s="2011"/>
    </row>
    <row r="14" spans="1:20" ht="8.25" customHeight="1" x14ac:dyDescent="0.2">
      <c r="A14" s="2019"/>
      <c r="B14" s="2019"/>
      <c r="C14" s="2020"/>
      <c r="D14" s="2021"/>
      <c r="E14" s="2022"/>
      <c r="F14" s="2021"/>
      <c r="G14" s="2023"/>
      <c r="H14" s="2023"/>
      <c r="I14" s="2023"/>
      <c r="J14" s="2023"/>
      <c r="K14" s="2023"/>
      <c r="L14" s="2023"/>
      <c r="M14" s="2023"/>
      <c r="N14" s="2023"/>
      <c r="O14" s="2024"/>
      <c r="P14" s="2023"/>
      <c r="Q14" s="2025"/>
      <c r="R14" s="2023" t="s">
        <v>1231</v>
      </c>
      <c r="S14" s="2024"/>
      <c r="T14" s="2023"/>
    </row>
    <row r="15" spans="1:20" x14ac:dyDescent="0.2">
      <c r="A15" s="2019"/>
      <c r="B15" s="2019" t="s">
        <v>1118</v>
      </c>
      <c r="C15" s="2020">
        <v>10.555</v>
      </c>
      <c r="D15" s="2021"/>
      <c r="E15" s="2026" t="s">
        <v>2198</v>
      </c>
      <c r="F15" s="2021"/>
      <c r="G15" s="2027">
        <v>17996</v>
      </c>
      <c r="H15" s="2027"/>
      <c r="I15" s="2027">
        <v>3753</v>
      </c>
      <c r="J15" s="2028"/>
      <c r="K15" s="2027">
        <v>17996</v>
      </c>
      <c r="L15" s="2027"/>
      <c r="M15" s="2027">
        <v>3753</v>
      </c>
      <c r="N15" s="2027"/>
      <c r="P15" s="2023"/>
      <c r="Q15" s="2025"/>
      <c r="R15" s="2029">
        <f>K15+M15+P15</f>
        <v>21749</v>
      </c>
      <c r="S15" s="2024"/>
      <c r="T15" s="2023" t="s">
        <v>2199</v>
      </c>
    </row>
    <row r="16" spans="1:20" x14ac:dyDescent="0.2">
      <c r="A16" s="2030"/>
      <c r="B16" s="2030" t="s">
        <v>1118</v>
      </c>
      <c r="C16" s="2031">
        <v>10.555</v>
      </c>
      <c r="D16" s="2032"/>
      <c r="E16" s="2026" t="s">
        <v>2200</v>
      </c>
      <c r="F16" s="2032"/>
      <c r="G16" s="2027"/>
      <c r="H16" s="2027"/>
      <c r="I16" s="2027">
        <v>15064.64</v>
      </c>
      <c r="J16" s="2027"/>
      <c r="K16" s="2027"/>
      <c r="L16" s="2027"/>
      <c r="M16" s="2027">
        <v>17270</v>
      </c>
      <c r="N16" s="2027"/>
      <c r="O16" s="2028"/>
      <c r="P16" s="2027"/>
      <c r="Q16" s="2028" t="s">
        <v>1317</v>
      </c>
      <c r="R16" s="2027">
        <f>K16+M16+P16</f>
        <v>17270</v>
      </c>
      <c r="S16" s="2024"/>
      <c r="T16" s="2023" t="s">
        <v>2199</v>
      </c>
    </row>
    <row r="17" spans="1:20" ht="8.25" customHeight="1" x14ac:dyDescent="0.2">
      <c r="A17" s="2030"/>
      <c r="B17" s="2030"/>
      <c r="C17" s="2031"/>
      <c r="D17" s="2032"/>
      <c r="E17" s="2026"/>
      <c r="F17" s="2032"/>
      <c r="G17" s="2023"/>
      <c r="H17" s="2023"/>
      <c r="I17" s="2027"/>
      <c r="J17" s="2027"/>
      <c r="K17" s="2027"/>
      <c r="L17" s="2027"/>
      <c r="M17" s="2027"/>
      <c r="N17" s="2027"/>
      <c r="O17" s="2028"/>
      <c r="P17" s="2027"/>
      <c r="Q17" s="2028"/>
      <c r="R17" s="2027"/>
      <c r="S17" s="2024"/>
      <c r="T17" s="2023"/>
    </row>
    <row r="18" spans="1:20" x14ac:dyDescent="0.2">
      <c r="A18" s="2030"/>
      <c r="B18" s="2030" t="s">
        <v>2201</v>
      </c>
      <c r="C18" s="2031">
        <v>10.553000000000001</v>
      </c>
      <c r="D18" s="2032"/>
      <c r="E18" s="2026" t="s">
        <v>2202</v>
      </c>
      <c r="F18" s="2032"/>
      <c r="G18" s="2027">
        <v>11301</v>
      </c>
      <c r="H18" s="2027"/>
      <c r="I18" s="2027">
        <v>2224</v>
      </c>
      <c r="J18" s="2027">
        <v>0</v>
      </c>
      <c r="K18" s="2027">
        <v>11301</v>
      </c>
      <c r="L18" s="2027">
        <v>0</v>
      </c>
      <c r="M18" s="2027">
        <v>2224</v>
      </c>
      <c r="N18" s="2027">
        <v>0</v>
      </c>
      <c r="O18" s="2028"/>
      <c r="P18" s="2027"/>
      <c r="Q18" s="2028"/>
      <c r="R18" s="2027">
        <f>K18+M18+P18</f>
        <v>13525</v>
      </c>
      <c r="S18" s="2024"/>
      <c r="T18" s="2023" t="s">
        <v>2199</v>
      </c>
    </row>
    <row r="19" spans="1:20" x14ac:dyDescent="0.2">
      <c r="A19" s="2030"/>
      <c r="B19" s="2030" t="s">
        <v>2201</v>
      </c>
      <c r="C19" s="2031">
        <v>10.553000000000001</v>
      </c>
      <c r="D19" s="2032"/>
      <c r="E19" s="2026" t="s">
        <v>2203</v>
      </c>
      <c r="F19" s="2032"/>
      <c r="G19" s="2033">
        <v>0</v>
      </c>
      <c r="H19" s="2027"/>
      <c r="I19" s="2034">
        <v>8795</v>
      </c>
      <c r="J19" s="2027"/>
      <c r="K19" s="2033">
        <v>0</v>
      </c>
      <c r="L19" s="2033">
        <v>0</v>
      </c>
      <c r="M19" s="2034">
        <v>9998</v>
      </c>
      <c r="N19" s="2033">
        <v>0</v>
      </c>
      <c r="O19" s="2028"/>
      <c r="P19" s="2035">
        <v>0</v>
      </c>
      <c r="Q19" s="2028" t="s">
        <v>1317</v>
      </c>
      <c r="R19" s="2034">
        <f>K19+M19+P19</f>
        <v>9998</v>
      </c>
      <c r="S19" s="2024"/>
      <c r="T19" s="2023" t="s">
        <v>2199</v>
      </c>
    </row>
    <row r="20" spans="1:20" ht="6.75" customHeight="1" x14ac:dyDescent="0.2">
      <c r="A20" s="2019"/>
      <c r="B20" s="2019"/>
      <c r="C20" s="2020"/>
      <c r="D20" s="2021"/>
      <c r="E20" s="2019"/>
      <c r="F20" s="2021"/>
      <c r="G20" s="2023"/>
      <c r="H20" s="2023"/>
      <c r="I20" s="2027"/>
      <c r="J20" s="2027"/>
      <c r="K20" s="2027"/>
      <c r="L20" s="2027"/>
      <c r="M20" s="2027"/>
      <c r="N20" s="2027"/>
      <c r="O20" s="2036"/>
      <c r="P20" s="2027"/>
      <c r="Q20" s="2037"/>
      <c r="R20" s="2027"/>
      <c r="S20" s="2038"/>
      <c r="T20" s="2023"/>
    </row>
    <row r="21" spans="1:20" ht="18.75" customHeight="1" x14ac:dyDescent="0.2">
      <c r="A21" s="2039" t="s">
        <v>2204</v>
      </c>
      <c r="B21" s="2040"/>
      <c r="C21" s="2041"/>
      <c r="D21" s="2042"/>
      <c r="E21" s="2040"/>
      <c r="F21" s="2042"/>
      <c r="G21" s="2043">
        <f>SUM(G14:G20)</f>
        <v>29297</v>
      </c>
      <c r="H21" s="2043"/>
      <c r="I21" s="2044">
        <f>SUM(I14:I20)</f>
        <v>29836.639999999999</v>
      </c>
      <c r="J21" s="2044"/>
      <c r="K21" s="2044">
        <f>SUM(K14:K20)</f>
        <v>29297</v>
      </c>
      <c r="L21" s="2045">
        <f>SUM(L14:L20)</f>
        <v>0</v>
      </c>
      <c r="M21" s="2044">
        <f>SUM(M14:M20)</f>
        <v>33245</v>
      </c>
      <c r="N21" s="2045">
        <f>SUM(N14:N20)</f>
        <v>0</v>
      </c>
      <c r="O21" s="2044"/>
      <c r="P21" s="2046">
        <f>SUM(P14:P20)</f>
        <v>0</v>
      </c>
      <c r="Q21" s="2044"/>
      <c r="R21" s="2044">
        <f>SUM(R14:R20)</f>
        <v>62542</v>
      </c>
      <c r="S21" s="2047"/>
      <c r="T21" s="2048"/>
    </row>
    <row r="22" spans="1:20" ht="6" customHeight="1" x14ac:dyDescent="0.2">
      <c r="A22" s="2019"/>
      <c r="B22" s="2019"/>
      <c r="C22" s="2020"/>
      <c r="D22" s="2021"/>
      <c r="E22" s="2019"/>
      <c r="F22" s="2021"/>
      <c r="G22" s="2023"/>
      <c r="H22" s="2023"/>
      <c r="I22" s="2023"/>
      <c r="J22" s="2023"/>
      <c r="K22" s="2023"/>
      <c r="L22" s="2023"/>
      <c r="M22" s="2023"/>
      <c r="N22" s="2023"/>
      <c r="O22" s="2038"/>
      <c r="P22" s="2023"/>
      <c r="Q22" s="2049"/>
      <c r="R22" s="2023"/>
      <c r="S22" s="2038"/>
      <c r="T22" s="2023"/>
    </row>
    <row r="23" spans="1:20" ht="15.95" customHeight="1" x14ac:dyDescent="0.2">
      <c r="A23" s="2013" t="s">
        <v>2205</v>
      </c>
      <c r="B23" s="2019"/>
      <c r="C23" s="2020"/>
      <c r="D23" s="2021"/>
      <c r="E23" s="2019"/>
      <c r="F23" s="2021"/>
      <c r="G23" s="2023"/>
      <c r="H23" s="2023"/>
      <c r="I23" s="2023"/>
      <c r="J23" s="2023"/>
      <c r="K23" s="2023"/>
      <c r="L23" s="2023"/>
      <c r="M23" s="2023"/>
      <c r="N23" s="2023"/>
      <c r="O23" s="2038"/>
      <c r="P23" s="2023"/>
      <c r="Q23" s="2049"/>
      <c r="R23" s="2023"/>
      <c r="S23" s="2038"/>
      <c r="T23" s="2023"/>
    </row>
    <row r="24" spans="1:20" x14ac:dyDescent="0.2">
      <c r="A24" s="2013" t="s">
        <v>2196</v>
      </c>
      <c r="B24" s="2019"/>
      <c r="C24" s="2020"/>
      <c r="D24" s="2021"/>
      <c r="E24" s="2019"/>
      <c r="F24" s="2021"/>
      <c r="G24" s="2023" t="s">
        <v>1231</v>
      </c>
      <c r="H24" s="2023"/>
      <c r="I24" s="2027" t="s">
        <v>1231</v>
      </c>
      <c r="J24" s="2023"/>
      <c r="K24" s="2023" t="s">
        <v>1231</v>
      </c>
      <c r="L24" s="2023"/>
      <c r="M24" s="2023"/>
      <c r="N24" s="2023"/>
      <c r="O24" s="2038"/>
      <c r="P24" s="2023" t="s">
        <v>1231</v>
      </c>
      <c r="Q24" s="2049"/>
      <c r="R24" s="2023"/>
      <c r="S24" s="2038"/>
      <c r="T24" s="2023"/>
    </row>
    <row r="25" spans="1:20" x14ac:dyDescent="0.2">
      <c r="A25" s="2013" t="s">
        <v>2197</v>
      </c>
      <c r="B25" s="2019"/>
      <c r="C25" s="2020"/>
      <c r="D25" s="2021"/>
      <c r="E25" s="2019"/>
      <c r="F25" s="2021"/>
      <c r="G25" s="2023" t="s">
        <v>1231</v>
      </c>
      <c r="H25" s="2023"/>
      <c r="I25" s="2023"/>
      <c r="J25" s="2023"/>
      <c r="K25" s="2023"/>
      <c r="L25" s="2023"/>
      <c r="M25" s="2023" t="s">
        <v>1231</v>
      </c>
      <c r="N25" s="2023"/>
      <c r="O25" s="2038"/>
      <c r="P25" s="2027"/>
      <c r="Q25" s="2049"/>
      <c r="R25" s="2023"/>
      <c r="S25" s="2038"/>
      <c r="T25" s="2023"/>
    </row>
    <row r="26" spans="1:20" ht="5.45" customHeight="1" x14ac:dyDescent="0.2">
      <c r="A26" s="2013"/>
      <c r="B26" s="2019"/>
      <c r="C26" s="2020"/>
      <c r="D26" s="2021"/>
      <c r="E26" s="2030"/>
      <c r="F26" s="2021"/>
      <c r="G26" s="2027"/>
      <c r="H26" s="2027"/>
      <c r="I26" s="2027"/>
      <c r="J26" s="2027"/>
      <c r="K26" s="2027"/>
      <c r="L26" s="2027"/>
      <c r="M26" s="2027"/>
      <c r="N26" s="2027"/>
      <c r="O26" s="2038"/>
      <c r="P26" s="2023"/>
      <c r="Q26" s="2049"/>
      <c r="R26" s="2023"/>
      <c r="S26" s="2038"/>
      <c r="T26" s="2023"/>
    </row>
    <row r="27" spans="1:20" ht="13.5" customHeight="1" x14ac:dyDescent="0.2">
      <c r="A27" s="2050" t="s">
        <v>2206</v>
      </c>
      <c r="B27" s="2040" t="s">
        <v>2207</v>
      </c>
      <c r="C27" s="2041">
        <v>84.173000000000002</v>
      </c>
      <c r="D27" s="2042"/>
      <c r="E27" s="2051" t="s">
        <v>2208</v>
      </c>
      <c r="F27" s="2042"/>
      <c r="G27" s="2052">
        <v>126100</v>
      </c>
      <c r="H27" s="2053"/>
      <c r="I27" s="2052">
        <v>98335</v>
      </c>
      <c r="J27" s="2052"/>
      <c r="K27" s="2027">
        <v>199835</v>
      </c>
      <c r="L27" s="2052"/>
      <c r="M27" s="2052">
        <v>24600</v>
      </c>
      <c r="N27" s="2052"/>
      <c r="O27" s="2047"/>
      <c r="P27" s="2048"/>
      <c r="Q27" s="2054"/>
      <c r="R27" s="2052">
        <f>K27+M27+P27</f>
        <v>224435</v>
      </c>
      <c r="S27" s="2047"/>
      <c r="T27" s="2027">
        <v>233070</v>
      </c>
    </row>
    <row r="28" spans="1:20" hidden="1" x14ac:dyDescent="0.2">
      <c r="A28" s="2055"/>
      <c r="B28" s="2022"/>
      <c r="C28" s="2020"/>
      <c r="D28" s="2021"/>
      <c r="E28" s="2030"/>
      <c r="F28" s="2021"/>
      <c r="G28" s="2027"/>
      <c r="H28" s="2027"/>
      <c r="I28" s="2056"/>
      <c r="J28" s="2027"/>
      <c r="K28" s="2027"/>
      <c r="L28" s="2056"/>
      <c r="M28" s="2056"/>
      <c r="N28" s="2056"/>
      <c r="O28" s="2038"/>
      <c r="P28" s="2023"/>
      <c r="Q28" s="2049"/>
      <c r="R28" s="2023"/>
      <c r="S28" s="2038"/>
      <c r="T28" s="2027"/>
    </row>
    <row r="29" spans="1:20" hidden="1" x14ac:dyDescent="0.2">
      <c r="A29" s="2057"/>
      <c r="B29" s="2019"/>
      <c r="C29" s="2020"/>
      <c r="D29" s="2021"/>
      <c r="E29" s="2051"/>
      <c r="F29" s="2021"/>
      <c r="G29" s="2027">
        <v>0</v>
      </c>
      <c r="H29" s="2058"/>
      <c r="I29" s="2056">
        <v>0</v>
      </c>
      <c r="J29" s="2027"/>
      <c r="K29" s="2027">
        <v>0</v>
      </c>
      <c r="L29" s="2056"/>
      <c r="M29" s="2056">
        <v>0</v>
      </c>
      <c r="N29" s="2056"/>
      <c r="O29" s="2059"/>
      <c r="P29" s="2023"/>
      <c r="Q29" s="2025"/>
      <c r="R29" s="2027">
        <f>K29+M29+P29</f>
        <v>0</v>
      </c>
      <c r="S29" s="2024"/>
      <c r="T29" s="2027">
        <v>0</v>
      </c>
    </row>
    <row r="30" spans="1:20" ht="11.45" hidden="1" customHeight="1" x14ac:dyDescent="0.2">
      <c r="A30" s="2057"/>
      <c r="B30" s="2019"/>
      <c r="C30" s="2020"/>
      <c r="D30" s="2021"/>
      <c r="E30" s="2030"/>
      <c r="F30" s="2021"/>
      <c r="G30" s="2023" t="s">
        <v>1231</v>
      </c>
      <c r="H30" s="2023"/>
      <c r="I30" s="2056"/>
      <c r="J30" s="2023"/>
      <c r="K30" s="2023"/>
      <c r="L30" s="2056"/>
      <c r="M30" s="2056"/>
      <c r="N30" s="2056"/>
      <c r="O30" s="2024"/>
      <c r="P30" s="2023"/>
      <c r="Q30" s="2025"/>
      <c r="R30" s="2023"/>
      <c r="S30" s="2024"/>
      <c r="T30" s="2023"/>
    </row>
    <row r="31" spans="1:20" ht="16.5" customHeight="1" x14ac:dyDescent="0.2">
      <c r="A31" s="2060" t="s">
        <v>2206</v>
      </c>
      <c r="B31" s="2030" t="s">
        <v>2207</v>
      </c>
      <c r="C31" s="2031">
        <v>84.173000000000002</v>
      </c>
      <c r="D31" s="2032"/>
      <c r="E31" s="2051" t="s">
        <v>2209</v>
      </c>
      <c r="F31" s="2032"/>
      <c r="G31" s="2027"/>
      <c r="H31" s="2058"/>
      <c r="I31" s="2027">
        <v>103839</v>
      </c>
      <c r="J31" s="2027"/>
      <c r="K31" s="2027"/>
      <c r="L31" s="2027"/>
      <c r="M31" s="2027">
        <v>148908</v>
      </c>
      <c r="N31" s="2027"/>
      <c r="O31" s="2036"/>
      <c r="P31" s="2027"/>
      <c r="Q31" s="2037"/>
      <c r="R31" s="2027">
        <f>K31+M31+P31</f>
        <v>148908</v>
      </c>
      <c r="S31" s="2036"/>
      <c r="T31" s="2027">
        <v>157330</v>
      </c>
    </row>
    <row r="32" spans="1:20" ht="16.5" hidden="1" customHeight="1" x14ac:dyDescent="0.2">
      <c r="A32" s="2060" t="s">
        <v>2206</v>
      </c>
      <c r="B32" s="2051" t="s">
        <v>2210</v>
      </c>
      <c r="C32" s="2031"/>
      <c r="D32" s="2032"/>
      <c r="E32" s="2030"/>
      <c r="F32" s="2032"/>
      <c r="G32" s="2027"/>
      <c r="H32" s="2027"/>
      <c r="I32" s="2027"/>
      <c r="J32" s="2027"/>
      <c r="K32" s="2027" t="s">
        <v>1231</v>
      </c>
      <c r="L32" s="2027"/>
      <c r="M32" s="2027"/>
      <c r="N32" s="2027"/>
      <c r="O32" s="2036"/>
      <c r="P32" s="2027"/>
      <c r="Q32" s="2037"/>
      <c r="R32" s="2027"/>
      <c r="S32" s="2036"/>
      <c r="T32" s="2027"/>
    </row>
    <row r="33" spans="1:20" hidden="1" x14ac:dyDescent="0.2">
      <c r="A33" s="2060"/>
      <c r="B33" s="2030" t="s">
        <v>2211</v>
      </c>
      <c r="C33" s="2031">
        <v>84.173000000000002</v>
      </c>
      <c r="D33" s="2032"/>
      <c r="E33" s="2026" t="s">
        <v>2212</v>
      </c>
      <c r="F33" s="2032"/>
      <c r="G33" s="2027"/>
      <c r="H33" s="2058"/>
      <c r="I33" s="2027"/>
      <c r="J33" s="2027"/>
      <c r="K33" s="2027" t="s">
        <v>1231</v>
      </c>
      <c r="L33" s="2056"/>
      <c r="M33" s="2056"/>
      <c r="N33" s="2056"/>
      <c r="O33" s="2061" t="s">
        <v>1315</v>
      </c>
      <c r="P33" s="2056"/>
      <c r="Q33" s="2062"/>
      <c r="R33" s="2027">
        <f>K33+M33+P33</f>
        <v>0</v>
      </c>
      <c r="S33" s="2028"/>
      <c r="T33" s="2027"/>
    </row>
    <row r="34" spans="1:20" ht="7.7" customHeight="1" x14ac:dyDescent="0.2">
      <c r="A34" s="2055"/>
      <c r="B34" s="2019"/>
      <c r="C34" s="2020"/>
      <c r="D34" s="2021"/>
      <c r="E34" s="2030"/>
      <c r="F34" s="2021"/>
      <c r="G34" s="2023"/>
      <c r="H34" s="2023"/>
      <c r="I34" s="2027"/>
      <c r="J34" s="2023"/>
      <c r="K34" s="2023"/>
      <c r="L34" s="2027"/>
      <c r="M34" s="2027"/>
      <c r="N34" s="2027"/>
      <c r="O34" s="2028"/>
      <c r="P34" s="2027"/>
      <c r="Q34" s="2025"/>
      <c r="R34" s="2023"/>
      <c r="S34" s="2024"/>
      <c r="T34" s="2023"/>
    </row>
    <row r="35" spans="1:20" x14ac:dyDescent="0.2">
      <c r="A35" s="2060" t="s">
        <v>2206</v>
      </c>
      <c r="B35" s="2051" t="s">
        <v>2213</v>
      </c>
      <c r="C35" s="2031">
        <v>84.027000000000001</v>
      </c>
      <c r="D35" s="2032"/>
      <c r="E35" s="2026" t="s">
        <v>2214</v>
      </c>
      <c r="F35" s="2063"/>
      <c r="G35" s="2027">
        <f>1651301-379554</f>
        <v>1271747</v>
      </c>
      <c r="H35" s="2027"/>
      <c r="I35" s="2027">
        <v>1103001</v>
      </c>
      <c r="J35" s="2028"/>
      <c r="K35" s="2027">
        <f>2288761-107576</f>
        <v>2181185</v>
      </c>
      <c r="L35" s="2027"/>
      <c r="M35" s="2027">
        <v>193563</v>
      </c>
      <c r="N35" s="2027"/>
      <c r="O35" s="2036"/>
      <c r="P35" s="2027"/>
      <c r="Q35" s="2037"/>
      <c r="R35" s="2027">
        <f>K35+M35+P35</f>
        <v>2374748</v>
      </c>
      <c r="S35" s="2038"/>
      <c r="T35" s="2027">
        <f>3506793-109281</f>
        <v>3397512</v>
      </c>
    </row>
    <row r="36" spans="1:20" ht="14.25" customHeight="1" x14ac:dyDescent="0.2">
      <c r="A36" s="2060" t="s">
        <v>2206</v>
      </c>
      <c r="B36" s="2030" t="s">
        <v>2213</v>
      </c>
      <c r="C36" s="2031" t="s">
        <v>1231</v>
      </c>
      <c r="D36" s="2032"/>
      <c r="E36" s="2030" t="s">
        <v>1231</v>
      </c>
      <c r="F36" s="2063"/>
      <c r="G36" s="2027"/>
      <c r="H36" s="2027"/>
      <c r="I36" s="2027"/>
      <c r="J36" s="2036"/>
      <c r="K36" s="2027"/>
      <c r="L36" s="2027"/>
      <c r="M36" s="2027"/>
      <c r="N36" s="2027"/>
      <c r="O36" s="2036"/>
      <c r="P36" s="2027"/>
      <c r="Q36" s="2037"/>
      <c r="R36" s="2027"/>
      <c r="S36" s="2038"/>
      <c r="T36" s="2027"/>
    </row>
    <row r="37" spans="1:20" x14ac:dyDescent="0.2">
      <c r="A37" s="2064"/>
      <c r="B37" s="2065" t="s">
        <v>2215</v>
      </c>
      <c r="C37" s="2066">
        <v>84.027000000000001</v>
      </c>
      <c r="D37" s="2067"/>
      <c r="E37" s="2065" t="s">
        <v>2214</v>
      </c>
      <c r="F37" s="2021"/>
      <c r="G37" s="2052">
        <v>107576</v>
      </c>
      <c r="H37" s="2052"/>
      <c r="I37" s="2052" t="s">
        <v>1231</v>
      </c>
      <c r="J37" s="2068"/>
      <c r="K37" s="2069">
        <v>107576</v>
      </c>
      <c r="L37" s="2052"/>
      <c r="M37" s="2052"/>
      <c r="N37" s="2052"/>
      <c r="O37" s="2061"/>
      <c r="P37" s="2070"/>
      <c r="Q37" s="2049"/>
      <c r="R37" s="2027">
        <f>K37+M37+P37</f>
        <v>107576</v>
      </c>
      <c r="S37" s="2024"/>
      <c r="T37" s="2052">
        <f>107576+1705</f>
        <v>109281</v>
      </c>
    </row>
    <row r="38" spans="1:20" x14ac:dyDescent="0.2">
      <c r="A38" s="2071"/>
      <c r="B38" s="2030" t="s">
        <v>2216</v>
      </c>
      <c r="C38" s="2031"/>
      <c r="D38" s="2032"/>
      <c r="E38" s="2051"/>
      <c r="F38" s="2021"/>
      <c r="G38" s="2052"/>
      <c r="H38" s="2052"/>
      <c r="I38" s="2052"/>
      <c r="J38" s="2068"/>
      <c r="K38" s="2069"/>
      <c r="L38" s="2052">
        <v>107576</v>
      </c>
      <c r="M38" s="2052"/>
      <c r="N38" s="2052"/>
      <c r="O38" s="2061"/>
      <c r="P38" s="2070"/>
      <c r="Q38" s="2049"/>
      <c r="R38" s="2027"/>
      <c r="S38" s="2024"/>
      <c r="T38" s="2052"/>
    </row>
    <row r="39" spans="1:20" ht="8.25" customHeight="1" x14ac:dyDescent="0.2">
      <c r="A39" s="2057"/>
      <c r="B39" s="2019"/>
      <c r="C39" s="2020"/>
      <c r="D39" s="2021"/>
      <c r="E39" s="2030"/>
      <c r="F39" s="2021"/>
      <c r="G39" s="2027"/>
      <c r="H39" s="2023"/>
      <c r="I39" s="2027"/>
      <c r="J39" s="2023"/>
      <c r="K39" s="2023"/>
      <c r="L39" s="2027"/>
      <c r="M39" s="2027"/>
      <c r="N39" s="2027"/>
      <c r="O39" s="2024"/>
      <c r="P39" s="2072"/>
      <c r="Q39" s="2049"/>
      <c r="R39" s="2023"/>
      <c r="S39" s="2024"/>
      <c r="T39" s="2023"/>
    </row>
    <row r="40" spans="1:20" x14ac:dyDescent="0.2">
      <c r="A40" s="2060" t="s">
        <v>2206</v>
      </c>
      <c r="B40" s="2051" t="s">
        <v>2213</v>
      </c>
      <c r="C40" s="2031">
        <v>84.027000000000001</v>
      </c>
      <c r="D40" s="2032"/>
      <c r="E40" s="2026" t="s">
        <v>2217</v>
      </c>
      <c r="F40" s="2027"/>
      <c r="G40" s="2027">
        <v>379554</v>
      </c>
      <c r="H40" s="2058" t="s">
        <v>1316</v>
      </c>
      <c r="I40" s="2027">
        <f>418011+706802+529233-112549</f>
        <v>1541497</v>
      </c>
      <c r="J40" s="2027"/>
      <c r="K40" s="2027" t="s">
        <v>1231</v>
      </c>
      <c r="L40" s="2027"/>
      <c r="M40" s="2027">
        <f>3345934-30266</f>
        <v>3315668</v>
      </c>
      <c r="N40" s="2027"/>
      <c r="O40" s="2036"/>
      <c r="P40" s="2027">
        <f>3658289-3345934-112549</f>
        <v>199806</v>
      </c>
      <c r="Q40" s="2037"/>
      <c r="R40" s="2027">
        <f>K40+M40+P40</f>
        <v>3515474</v>
      </c>
      <c r="S40" s="2036"/>
      <c r="T40" s="2027">
        <v>4284791</v>
      </c>
    </row>
    <row r="41" spans="1:20" x14ac:dyDescent="0.2">
      <c r="A41" s="2060" t="s">
        <v>2206</v>
      </c>
      <c r="B41" s="2030" t="s">
        <v>2213</v>
      </c>
      <c r="C41" s="2031" t="s">
        <v>1231</v>
      </c>
      <c r="D41" s="2032"/>
      <c r="E41" s="2030" t="s">
        <v>1231</v>
      </c>
      <c r="F41" s="2073"/>
      <c r="G41" s="2027"/>
      <c r="H41" s="2027"/>
      <c r="I41" s="2027"/>
      <c r="J41" s="2027"/>
      <c r="K41" s="2027"/>
      <c r="L41" s="2027"/>
      <c r="M41" s="2027"/>
      <c r="N41" s="2027"/>
      <c r="O41" s="2036"/>
      <c r="P41" s="2027"/>
      <c r="Q41" s="2037"/>
      <c r="R41" s="2027"/>
      <c r="S41" s="2036"/>
      <c r="T41" s="2027"/>
    </row>
    <row r="42" spans="1:20" x14ac:dyDescent="0.2">
      <c r="A42" s="2064"/>
      <c r="B42" s="2065" t="s">
        <v>2215</v>
      </c>
      <c r="C42" s="2066">
        <v>84.027000000000001</v>
      </c>
      <c r="D42" s="2067"/>
      <c r="E42" s="2065" t="s">
        <v>2217</v>
      </c>
      <c r="F42" s="2074"/>
      <c r="G42" s="2052"/>
      <c r="H42" s="2053"/>
      <c r="I42" s="2052">
        <v>112549</v>
      </c>
      <c r="J42" s="2052"/>
      <c r="K42" s="2052" t="s">
        <v>1231</v>
      </c>
      <c r="L42" s="2069"/>
      <c r="M42" s="2052">
        <v>112549</v>
      </c>
      <c r="N42" s="2069"/>
      <c r="O42" s="2068"/>
      <c r="P42" s="2052"/>
      <c r="Q42" s="2075"/>
      <c r="R42" s="2052">
        <f>K42+M42+P42</f>
        <v>112549</v>
      </c>
      <c r="S42" s="2076"/>
      <c r="T42" s="2052">
        <v>112549</v>
      </c>
    </row>
    <row r="43" spans="1:20" ht="12.75" customHeight="1" x14ac:dyDescent="0.2">
      <c r="A43" s="2071"/>
      <c r="B43" s="2030" t="s">
        <v>2216</v>
      </c>
      <c r="C43" s="2031"/>
      <c r="D43" s="2032"/>
      <c r="E43" s="2051"/>
      <c r="F43" s="2073"/>
      <c r="G43" s="2027"/>
      <c r="H43" s="2027"/>
      <c r="I43" s="2027"/>
      <c r="J43" s="2027"/>
      <c r="K43" s="2027"/>
      <c r="L43" s="2027"/>
      <c r="M43" s="2027"/>
      <c r="N43" s="2027">
        <v>107573</v>
      </c>
      <c r="O43" s="2036"/>
      <c r="P43" s="2027"/>
      <c r="Q43" s="2037"/>
      <c r="R43" s="2027"/>
      <c r="S43" s="2036"/>
      <c r="T43" s="2027"/>
    </row>
    <row r="44" spans="1:20" x14ac:dyDescent="0.2">
      <c r="A44" s="2055"/>
      <c r="B44" s="2040" t="s">
        <v>2218</v>
      </c>
      <c r="C44" s="2041"/>
      <c r="D44" s="2042"/>
      <c r="E44" s="2065"/>
      <c r="F44" s="2042"/>
      <c r="G44" s="2052"/>
      <c r="H44" s="2053"/>
      <c r="I44" s="2052"/>
      <c r="J44" s="2052"/>
      <c r="K44" s="2052"/>
      <c r="L44" s="2052"/>
      <c r="M44" s="2052"/>
      <c r="N44" s="2052">
        <v>1690</v>
      </c>
      <c r="O44" s="2077"/>
      <c r="P44" s="2052" t="s">
        <v>1231</v>
      </c>
      <c r="Q44" s="2054"/>
      <c r="R44" s="2052">
        <f>K44+M44+P44</f>
        <v>0</v>
      </c>
      <c r="S44" s="2047"/>
      <c r="T44" s="2052"/>
    </row>
    <row r="45" spans="1:20" s="2078" customFormat="1" ht="15.95" customHeight="1" x14ac:dyDescent="0.35">
      <c r="B45" s="2040" t="s">
        <v>2219</v>
      </c>
      <c r="C45" s="2079"/>
      <c r="D45" s="2079"/>
      <c r="E45" s="2079"/>
      <c r="F45" s="1993"/>
      <c r="G45" s="2027"/>
      <c r="H45" s="2080"/>
      <c r="I45" s="2081"/>
      <c r="J45" s="2080"/>
      <c r="K45" s="2082"/>
      <c r="L45" s="2081"/>
      <c r="M45" s="2081"/>
      <c r="N45" s="2027">
        <v>3286</v>
      </c>
      <c r="O45" s="2083"/>
      <c r="P45" s="2081"/>
      <c r="Q45" s="2080"/>
      <c r="R45" s="2084" t="s">
        <v>1231</v>
      </c>
      <c r="S45" s="2085"/>
      <c r="T45" s="2085"/>
    </row>
    <row r="46" spans="1:20" ht="15.95" customHeight="1" x14ac:dyDescent="0.2">
      <c r="A46" s="1988"/>
      <c r="F46" s="1994"/>
      <c r="G46" s="2043"/>
      <c r="H46" s="2086"/>
      <c r="I46" s="2044"/>
      <c r="J46" s="2086"/>
      <c r="K46" s="2043"/>
      <c r="L46" s="2044"/>
      <c r="M46" s="2044"/>
      <c r="N46" s="2044"/>
      <c r="O46" s="2087"/>
      <c r="P46" s="2044"/>
      <c r="Q46" s="2086"/>
      <c r="R46" s="2088"/>
      <c r="S46" s="2089"/>
      <c r="T46" s="2089"/>
    </row>
    <row r="47" spans="1:20" ht="5.45" customHeight="1" x14ac:dyDescent="0.35">
      <c r="A47" s="1988"/>
      <c r="B47" s="2019"/>
      <c r="C47" s="1992"/>
      <c r="D47" s="1992"/>
      <c r="E47" s="1992"/>
      <c r="F47" s="1993"/>
      <c r="G47" s="2082"/>
      <c r="H47" s="2090"/>
      <c r="I47" s="2081"/>
      <c r="J47" s="2090"/>
      <c r="K47" s="2082"/>
      <c r="L47" s="2081"/>
      <c r="M47" s="2081"/>
      <c r="N47" s="2081"/>
      <c r="O47" s="2091"/>
      <c r="P47" s="2081"/>
      <c r="Q47" s="2090"/>
      <c r="R47" s="2084"/>
      <c r="S47" s="2092"/>
      <c r="T47" s="2092"/>
    </row>
    <row r="48" spans="1:20" ht="15.95" hidden="1" customHeight="1" x14ac:dyDescent="0.2">
      <c r="A48" s="1988"/>
      <c r="B48" s="2040" t="s">
        <v>2220</v>
      </c>
      <c r="C48" s="2041">
        <v>84.391000000000005</v>
      </c>
      <c r="D48" s="2042"/>
      <c r="E48" s="2065" t="s">
        <v>2221</v>
      </c>
      <c r="F48" s="1994"/>
      <c r="G48" s="2052"/>
      <c r="H48" s="2087"/>
      <c r="I48" s="2052"/>
      <c r="J48" s="2087"/>
      <c r="K48" s="2052"/>
      <c r="L48" s="2052"/>
      <c r="M48" s="2052"/>
      <c r="N48" s="2052"/>
      <c r="O48" s="2087"/>
      <c r="P48" s="2044"/>
      <c r="Q48" s="2086"/>
      <c r="R48" s="2052">
        <f>K48+M48+P48</f>
        <v>0</v>
      </c>
      <c r="S48" s="2089"/>
      <c r="T48" s="2093"/>
    </row>
    <row r="49" spans="1:20" s="2104" customFormat="1" ht="15.95" hidden="1" customHeight="1" x14ac:dyDescent="0.2">
      <c r="A49" s="2055" t="s">
        <v>2206</v>
      </c>
      <c r="B49" s="2094" t="s">
        <v>2220</v>
      </c>
      <c r="C49" s="2095"/>
      <c r="D49" s="2096"/>
      <c r="E49" s="2097"/>
      <c r="F49" s="2098"/>
      <c r="G49" s="2099"/>
      <c r="H49" s="2100"/>
      <c r="I49" s="2099"/>
      <c r="J49" s="2100"/>
      <c r="K49" s="2099"/>
      <c r="L49" s="2099"/>
      <c r="M49" s="2099"/>
      <c r="N49" s="2099"/>
      <c r="O49" s="2100"/>
      <c r="P49" s="2099"/>
      <c r="Q49" s="2101"/>
      <c r="R49" s="2102"/>
      <c r="S49" s="2103"/>
      <c r="T49" s="2103"/>
    </row>
    <row r="50" spans="1:20" ht="15.95" hidden="1" customHeight="1" x14ac:dyDescent="0.2">
      <c r="A50" s="1988"/>
      <c r="B50" s="2040" t="s">
        <v>2222</v>
      </c>
      <c r="C50" s="2041">
        <v>84.391000000000005</v>
      </c>
      <c r="D50" s="2042"/>
      <c r="E50" s="2065" t="s">
        <v>2221</v>
      </c>
      <c r="F50" s="1994"/>
      <c r="G50" s="2052"/>
      <c r="H50" s="2087"/>
      <c r="I50" s="2052"/>
      <c r="J50" s="2087"/>
      <c r="K50" s="2052"/>
      <c r="L50" s="2052"/>
      <c r="M50" s="2052"/>
      <c r="N50" s="2052"/>
      <c r="O50" s="2068" t="s">
        <v>1315</v>
      </c>
      <c r="P50" s="2044"/>
      <c r="Q50" s="2086"/>
      <c r="R50" s="2052">
        <f>K50+M50+P50</f>
        <v>0</v>
      </c>
      <c r="S50" s="2089"/>
      <c r="T50" s="2093"/>
    </row>
    <row r="51" spans="1:20" ht="9.75" hidden="1" customHeight="1" x14ac:dyDescent="0.35">
      <c r="A51" s="1988"/>
      <c r="B51" s="2019"/>
      <c r="C51" s="2020"/>
      <c r="D51" s="2021"/>
      <c r="E51" s="2030"/>
      <c r="F51" s="1993"/>
      <c r="G51" s="2023"/>
      <c r="H51" s="2090"/>
      <c r="I51" s="2027"/>
      <c r="J51" s="2090"/>
      <c r="K51" s="2023"/>
      <c r="L51" s="2027"/>
      <c r="M51" s="2027"/>
      <c r="N51" s="2027"/>
      <c r="O51" s="2091"/>
      <c r="P51" s="2081"/>
      <c r="Q51" s="2090"/>
      <c r="R51" s="2027"/>
      <c r="S51" s="2092"/>
      <c r="T51" s="2092"/>
    </row>
    <row r="52" spans="1:20" hidden="1" x14ac:dyDescent="0.2">
      <c r="A52" s="2055" t="s">
        <v>2206</v>
      </c>
      <c r="B52" s="2040" t="s">
        <v>2220</v>
      </c>
      <c r="C52" s="2041">
        <v>84.391000000000005</v>
      </c>
      <c r="D52" s="2042"/>
      <c r="E52" s="2105" t="s">
        <v>2223</v>
      </c>
      <c r="F52" s="2052"/>
      <c r="G52" s="2106"/>
      <c r="H52" s="2053"/>
      <c r="I52" s="2052"/>
      <c r="J52" s="2048"/>
      <c r="K52" s="2106"/>
      <c r="L52" s="2052"/>
      <c r="M52" s="2052"/>
      <c r="N52" s="2052"/>
      <c r="O52" s="2076"/>
      <c r="P52" s="2052"/>
      <c r="Q52" s="2054"/>
      <c r="R52" s="2052">
        <f>K52+M52+P52</f>
        <v>0</v>
      </c>
      <c r="S52" s="2047"/>
      <c r="T52" s="2106"/>
    </row>
    <row r="53" spans="1:20" hidden="1" x14ac:dyDescent="0.2">
      <c r="A53" s="2055" t="s">
        <v>2206</v>
      </c>
      <c r="B53" s="2040" t="s">
        <v>2220</v>
      </c>
      <c r="C53" s="2041"/>
      <c r="D53" s="2042"/>
      <c r="E53" s="2065"/>
      <c r="F53" s="2042"/>
      <c r="G53" s="2052"/>
      <c r="H53" s="2053"/>
      <c r="I53" s="2052"/>
      <c r="J53" s="2048"/>
      <c r="K53" s="2048"/>
      <c r="L53" s="2052"/>
      <c r="M53" s="2052"/>
      <c r="N53" s="2052"/>
      <c r="O53" s="2076"/>
      <c r="P53" s="2052"/>
      <c r="Q53" s="2054"/>
      <c r="R53" s="2052"/>
      <c r="S53" s="2047"/>
      <c r="T53" s="2052"/>
    </row>
    <row r="54" spans="1:20" hidden="1" x14ac:dyDescent="0.2">
      <c r="A54" s="2107"/>
      <c r="B54" s="2040" t="s">
        <v>2222</v>
      </c>
      <c r="C54" s="2041">
        <v>84.391000000000005</v>
      </c>
      <c r="D54" s="2042"/>
      <c r="E54" s="2105" t="s">
        <v>2223</v>
      </c>
      <c r="F54" s="2052"/>
      <c r="G54" s="2106"/>
      <c r="H54" s="2053"/>
      <c r="I54" s="2052"/>
      <c r="J54" s="2048"/>
      <c r="K54" s="2106"/>
      <c r="L54" s="2106"/>
      <c r="M54" s="2106"/>
      <c r="N54" s="2106"/>
      <c r="O54" s="2068"/>
      <c r="P54" s="2052"/>
      <c r="Q54" s="2054"/>
      <c r="R54" s="2052">
        <f>K54+M54+P54</f>
        <v>0</v>
      </c>
      <c r="S54" s="2047"/>
      <c r="T54" s="2106"/>
    </row>
    <row r="55" spans="1:20" x14ac:dyDescent="0.2">
      <c r="A55" s="2108" t="s">
        <v>2205</v>
      </c>
      <c r="B55" s="1997"/>
      <c r="C55" s="1997"/>
      <c r="D55" s="1997"/>
      <c r="E55" s="1997"/>
      <c r="F55" s="1995"/>
      <c r="G55" s="2089" t="s">
        <v>1231</v>
      </c>
      <c r="H55" s="2089"/>
      <c r="I55" s="2052"/>
      <c r="J55" s="2109"/>
      <c r="K55" s="2089"/>
      <c r="L55" s="2093"/>
      <c r="M55" s="2093"/>
      <c r="N55" s="2093"/>
      <c r="O55" s="2093"/>
      <c r="P55" s="2093"/>
      <c r="Q55" s="2109"/>
      <c r="R55" s="2089"/>
      <c r="S55" s="2089"/>
      <c r="T55" s="2089"/>
    </row>
    <row r="56" spans="1:20" x14ac:dyDescent="0.2">
      <c r="A56" s="2108" t="s">
        <v>2224</v>
      </c>
      <c r="B56" s="1997"/>
      <c r="C56" s="2041"/>
      <c r="D56" s="1997"/>
      <c r="E56" s="1997"/>
      <c r="F56" s="1995"/>
      <c r="G56" s="2089"/>
      <c r="H56" s="2089"/>
      <c r="I56" s="2089"/>
      <c r="J56" s="2109"/>
      <c r="K56" s="2089"/>
      <c r="L56" s="2089"/>
      <c r="M56" s="2089"/>
      <c r="N56" s="2089"/>
      <c r="O56" s="2089"/>
      <c r="P56" s="2089"/>
      <c r="Q56" s="2109"/>
      <c r="R56" s="2089"/>
      <c r="S56" s="2089"/>
      <c r="T56" s="2089" t="s">
        <v>1231</v>
      </c>
    </row>
    <row r="57" spans="1:20" x14ac:dyDescent="0.2">
      <c r="A57" s="2108" t="s">
        <v>2225</v>
      </c>
      <c r="B57" s="1997"/>
      <c r="C57" s="2041"/>
      <c r="D57" s="1997"/>
      <c r="E57" s="1997"/>
      <c r="F57" s="1995"/>
      <c r="G57" s="2089"/>
      <c r="H57" s="2089"/>
      <c r="I57" s="2089"/>
      <c r="J57" s="2109"/>
      <c r="K57" s="2089"/>
      <c r="L57" s="2093"/>
      <c r="M57" s="2093"/>
      <c r="N57" s="2093"/>
      <c r="O57" s="2089"/>
      <c r="P57" s="2089"/>
      <c r="Q57" s="2109"/>
      <c r="R57" s="2089"/>
      <c r="S57" s="2089"/>
      <c r="T57" s="2089"/>
    </row>
    <row r="58" spans="1:20" x14ac:dyDescent="0.2">
      <c r="A58" s="2108" t="s">
        <v>2226</v>
      </c>
      <c r="B58" s="1997" t="s">
        <v>2227</v>
      </c>
      <c r="C58" s="2041">
        <v>84.126000000000005</v>
      </c>
      <c r="D58" s="1997"/>
      <c r="E58" s="2110" t="s">
        <v>2228</v>
      </c>
      <c r="F58" s="1995"/>
      <c r="G58" s="2111">
        <f>6194+9291+6194+12600+6194+12388+3097+8637+3097</f>
        <v>67692</v>
      </c>
      <c r="H58" s="2112"/>
      <c r="I58" s="2111">
        <v>3097</v>
      </c>
      <c r="J58" s="2111"/>
      <c r="K58" s="2111">
        <v>70789</v>
      </c>
      <c r="L58" s="2111"/>
      <c r="M58" s="2093"/>
      <c r="N58" s="2113">
        <v>0</v>
      </c>
      <c r="O58" s="2093"/>
      <c r="P58" s="2093"/>
      <c r="Q58" s="2112"/>
      <c r="R58" s="2114">
        <f>K58+M58+P58</f>
        <v>70789</v>
      </c>
      <c r="S58" s="2093"/>
      <c r="T58" s="2093">
        <v>70789</v>
      </c>
    </row>
    <row r="59" spans="1:20" x14ac:dyDescent="0.2">
      <c r="A59" s="2108"/>
      <c r="B59" s="1997" t="s">
        <v>2229</v>
      </c>
      <c r="C59" s="2041"/>
      <c r="D59" s="1997"/>
      <c r="E59" s="1997"/>
      <c r="F59" s="1995"/>
      <c r="G59" s="2093"/>
      <c r="H59" s="2093"/>
      <c r="I59" s="2093"/>
      <c r="J59" s="2112"/>
      <c r="K59" s="2093"/>
      <c r="L59" s="2093"/>
      <c r="M59" s="2093"/>
      <c r="N59" s="2093"/>
      <c r="O59" s="2093"/>
      <c r="P59" s="2093"/>
      <c r="Q59" s="2112"/>
      <c r="R59" s="2093"/>
      <c r="S59" s="2093"/>
      <c r="T59" s="2093"/>
    </row>
    <row r="60" spans="1:20" x14ac:dyDescent="0.2">
      <c r="A60" s="2108"/>
      <c r="B60" s="2110" t="s">
        <v>2227</v>
      </c>
      <c r="C60" s="2066">
        <v>84.126000000000005</v>
      </c>
      <c r="D60" s="2110"/>
      <c r="E60" s="2110" t="s">
        <v>2230</v>
      </c>
      <c r="F60" s="2115"/>
      <c r="G60" s="2113">
        <v>0</v>
      </c>
      <c r="H60" s="2093"/>
      <c r="I60" s="2111">
        <f>31013-3097</f>
        <v>27916</v>
      </c>
      <c r="J60" s="2112"/>
      <c r="K60" s="2113"/>
      <c r="L60" s="2111"/>
      <c r="M60" s="2111">
        <v>49850</v>
      </c>
      <c r="N60" s="2111"/>
      <c r="O60" s="2093"/>
      <c r="P60" s="2113"/>
      <c r="Q60" s="2112"/>
      <c r="R60" s="2111">
        <f>K60+M60+P60</f>
        <v>49850</v>
      </c>
      <c r="S60" s="2093"/>
      <c r="T60" s="2093">
        <v>70789</v>
      </c>
    </row>
    <row r="61" spans="1:20" x14ac:dyDescent="0.2">
      <c r="A61" s="2108"/>
      <c r="B61" s="1997" t="s">
        <v>2229</v>
      </c>
      <c r="C61" s="2041"/>
      <c r="D61" s="1997"/>
      <c r="E61" s="2110"/>
      <c r="F61" s="2115"/>
      <c r="G61" s="2033">
        <v>0</v>
      </c>
      <c r="H61" s="2093"/>
      <c r="I61" s="2033">
        <v>0</v>
      </c>
      <c r="J61" s="2112"/>
      <c r="K61" s="2033">
        <v>0</v>
      </c>
      <c r="L61" s="2033">
        <v>0</v>
      </c>
      <c r="M61" s="2033">
        <v>0</v>
      </c>
      <c r="N61" s="2033">
        <v>0</v>
      </c>
      <c r="O61" s="2093"/>
      <c r="P61" s="2033">
        <v>0</v>
      </c>
      <c r="Q61" s="2112"/>
      <c r="R61" s="2033">
        <v>0</v>
      </c>
      <c r="S61" s="2093"/>
      <c r="T61" s="2093"/>
    </row>
    <row r="62" spans="1:20" hidden="1" x14ac:dyDescent="0.2">
      <c r="A62" s="2108"/>
      <c r="B62" s="1997"/>
      <c r="C62" s="2041"/>
      <c r="D62" s="1997"/>
      <c r="E62" s="1997"/>
      <c r="F62" s="1995"/>
      <c r="G62" s="2093"/>
      <c r="H62" s="2093"/>
      <c r="I62" s="2093"/>
      <c r="J62" s="2112"/>
      <c r="K62" s="2093"/>
      <c r="L62" s="2093"/>
      <c r="M62" s="2093"/>
      <c r="N62" s="2093"/>
      <c r="O62" s="2093"/>
      <c r="P62" s="2093"/>
      <c r="Q62" s="2112"/>
      <c r="R62" s="2093"/>
      <c r="S62" s="2093"/>
      <c r="T62" s="2093"/>
    </row>
    <row r="63" spans="1:20" hidden="1" x14ac:dyDescent="0.2">
      <c r="A63" s="2108"/>
      <c r="B63" s="2110" t="s">
        <v>2231</v>
      </c>
      <c r="C63" s="2041">
        <v>84.126000000000005</v>
      </c>
      <c r="D63" s="1997"/>
      <c r="E63" s="2110" t="s">
        <v>2232</v>
      </c>
      <c r="F63" s="2115"/>
      <c r="G63" s="2093"/>
      <c r="H63" s="2093"/>
      <c r="I63" s="2093"/>
      <c r="J63" s="2112"/>
      <c r="K63" s="2093"/>
      <c r="L63" s="2093"/>
      <c r="M63" s="2093"/>
      <c r="N63" s="2093"/>
      <c r="O63" s="2093"/>
      <c r="P63" s="2093"/>
      <c r="Q63" s="2112"/>
      <c r="R63" s="2114">
        <f>K63+M63+P63</f>
        <v>0</v>
      </c>
      <c r="S63" s="2093"/>
      <c r="T63" s="2116" t="s">
        <v>2199</v>
      </c>
    </row>
    <row r="64" spans="1:20" hidden="1" x14ac:dyDescent="0.2">
      <c r="A64" s="2108"/>
      <c r="B64" s="2110" t="s">
        <v>2231</v>
      </c>
      <c r="C64" s="2041">
        <v>84.126000000000005</v>
      </c>
      <c r="D64" s="1997"/>
      <c r="E64" s="2110" t="s">
        <v>2233</v>
      </c>
      <c r="F64" s="1995"/>
      <c r="G64" s="2033">
        <v>0</v>
      </c>
      <c r="H64" s="2093"/>
      <c r="I64" s="2117"/>
      <c r="J64" s="2112"/>
      <c r="K64" s="2033">
        <v>0</v>
      </c>
      <c r="L64" s="2117"/>
      <c r="M64" s="2117"/>
      <c r="N64" s="2117"/>
      <c r="O64" s="2093"/>
      <c r="P64" s="2033">
        <v>0</v>
      </c>
      <c r="Q64" s="2112"/>
      <c r="R64" s="2034">
        <f>K64+M64+P64</f>
        <v>0</v>
      </c>
      <c r="S64" s="2093"/>
      <c r="T64" s="2116" t="s">
        <v>2199</v>
      </c>
    </row>
    <row r="65" spans="1:20" ht="11.25" customHeight="1" x14ac:dyDescent="0.2">
      <c r="A65" s="2107"/>
      <c r="B65" s="2040"/>
      <c r="C65" s="2041"/>
      <c r="D65" s="2042"/>
      <c r="E65" s="2065"/>
      <c r="F65" s="2042"/>
      <c r="G65" s="2033"/>
      <c r="H65" s="2043"/>
      <c r="I65" s="2033"/>
      <c r="J65" s="2043"/>
      <c r="K65" s="2033"/>
      <c r="L65" s="2033"/>
      <c r="M65" s="2033"/>
      <c r="N65" s="2033"/>
      <c r="O65" s="2118"/>
      <c r="P65" s="2033"/>
      <c r="Q65" s="2119"/>
      <c r="R65" s="2033"/>
      <c r="S65" s="2047"/>
      <c r="T65" s="2048"/>
    </row>
    <row r="66" spans="1:20" ht="6.75" hidden="1" customHeight="1" x14ac:dyDescent="0.2">
      <c r="A66" s="2107"/>
      <c r="B66" s="2040"/>
      <c r="C66" s="2041"/>
      <c r="D66" s="2042"/>
      <c r="E66" s="2065"/>
      <c r="F66" s="2042"/>
      <c r="G66" s="2120"/>
      <c r="H66" s="2043"/>
      <c r="I66" s="2044"/>
      <c r="J66" s="2043"/>
      <c r="K66" s="2121"/>
      <c r="L66" s="2044"/>
      <c r="M66" s="2044"/>
      <c r="N66" s="2044"/>
      <c r="O66" s="2118"/>
      <c r="P66" s="2044"/>
      <c r="Q66" s="2119"/>
      <c r="R66" s="2044"/>
      <c r="S66" s="2047"/>
      <c r="T66" s="2048"/>
    </row>
    <row r="67" spans="1:20" ht="18" customHeight="1" x14ac:dyDescent="0.2">
      <c r="A67" s="2122" t="s">
        <v>2234</v>
      </c>
      <c r="B67" s="1997"/>
      <c r="C67" s="2041"/>
      <c r="D67" s="1997"/>
      <c r="E67" s="1997"/>
      <c r="F67" s="1995"/>
      <c r="G67" s="2123">
        <f>SUM(G27:G65)</f>
        <v>1952669</v>
      </c>
      <c r="H67" s="2089"/>
      <c r="I67" s="2123">
        <f>SUM(I27:I65)</f>
        <v>2990234</v>
      </c>
      <c r="J67" s="2109"/>
      <c r="K67" s="2123">
        <f>SUM(K27:K65)</f>
        <v>2559385</v>
      </c>
      <c r="L67" s="2123">
        <f>SUM(L27:L65)</f>
        <v>107576</v>
      </c>
      <c r="M67" s="2123">
        <f>SUM(M27:M65)</f>
        <v>3845138</v>
      </c>
      <c r="N67" s="2123">
        <f>SUM(N27:N65)</f>
        <v>112549</v>
      </c>
      <c r="O67" s="2089"/>
      <c r="P67" s="2123">
        <f>SUM(P27:P65)</f>
        <v>199806</v>
      </c>
      <c r="Q67" s="2109"/>
      <c r="R67" s="2123">
        <f>SUM(R27:R65)</f>
        <v>6604329</v>
      </c>
      <c r="S67" s="2089"/>
      <c r="T67" s="2089"/>
    </row>
    <row r="68" spans="1:20" x14ac:dyDescent="0.2">
      <c r="A68" s="2122"/>
      <c r="B68" s="1997"/>
      <c r="C68" s="2041"/>
      <c r="D68" s="1997"/>
      <c r="E68" s="1997"/>
      <c r="F68" s="1995"/>
      <c r="G68" s="2089"/>
      <c r="H68" s="2089"/>
      <c r="I68" s="2089"/>
      <c r="J68" s="2109"/>
      <c r="K68" s="2089"/>
      <c r="L68" s="2089"/>
      <c r="M68" s="2089"/>
      <c r="N68" s="2089"/>
      <c r="O68" s="2089"/>
      <c r="P68" s="2089"/>
      <c r="Q68" s="2109"/>
      <c r="R68" s="2089"/>
      <c r="S68" s="2089"/>
      <c r="T68" s="2089"/>
    </row>
    <row r="69" spans="1:20" hidden="1" x14ac:dyDescent="0.2">
      <c r="A69" s="2108" t="s">
        <v>2235</v>
      </c>
      <c r="B69" s="1997"/>
      <c r="C69" s="2041"/>
      <c r="D69" s="1997"/>
      <c r="E69" s="1997"/>
      <c r="F69" s="1995"/>
      <c r="G69" s="2089"/>
      <c r="H69" s="2089"/>
      <c r="I69" s="2089"/>
      <c r="J69" s="2109"/>
      <c r="K69" s="2089"/>
      <c r="L69" s="2089"/>
      <c r="M69" s="2089"/>
      <c r="N69" s="2089"/>
      <c r="O69" s="2089"/>
      <c r="P69" s="2089"/>
      <c r="Q69" s="2109"/>
      <c r="R69" s="2089"/>
      <c r="S69" s="2089"/>
      <c r="T69" s="2089"/>
    </row>
    <row r="70" spans="1:20" hidden="1" x14ac:dyDescent="0.2">
      <c r="A70" s="2108" t="s">
        <v>2224</v>
      </c>
      <c r="B70" s="1997"/>
      <c r="C70" s="2041"/>
      <c r="D70" s="1997"/>
      <c r="E70" s="1997"/>
      <c r="F70" s="1995"/>
      <c r="G70" s="2089"/>
      <c r="H70" s="2089"/>
      <c r="I70" s="2089"/>
      <c r="J70" s="2109"/>
      <c r="K70" s="2089"/>
      <c r="L70" s="2089"/>
      <c r="M70" s="2089"/>
      <c r="N70" s="2089"/>
      <c r="O70" s="2089"/>
      <c r="P70" s="2089"/>
      <c r="Q70" s="2109"/>
      <c r="R70" s="2089"/>
      <c r="S70" s="2089"/>
      <c r="T70" s="2089"/>
    </row>
    <row r="71" spans="1:20" hidden="1" x14ac:dyDescent="0.2">
      <c r="A71" s="2108" t="s">
        <v>2225</v>
      </c>
      <c r="B71" s="1997"/>
      <c r="C71" s="2041"/>
      <c r="D71" s="1997"/>
      <c r="E71" s="1997"/>
      <c r="F71" s="1995"/>
      <c r="G71" s="2089"/>
      <c r="H71" s="2089"/>
      <c r="I71" s="2089"/>
      <c r="J71" s="2109"/>
      <c r="K71" s="2089"/>
      <c r="L71" s="2089"/>
      <c r="M71" s="2089"/>
      <c r="N71" s="2089"/>
      <c r="O71" s="2089"/>
      <c r="P71" s="2089"/>
      <c r="Q71" s="2109"/>
      <c r="R71" s="2089"/>
      <c r="S71" s="2089"/>
      <c r="T71" s="2089"/>
    </row>
    <row r="72" spans="1:20" hidden="1" x14ac:dyDescent="0.2">
      <c r="A72" s="2108"/>
      <c r="B72" s="1997" t="s">
        <v>2236</v>
      </c>
      <c r="C72" s="2041">
        <v>93.768000000000001</v>
      </c>
      <c r="D72" s="1997"/>
      <c r="E72" s="2110" t="s">
        <v>2237</v>
      </c>
      <c r="F72" s="1995"/>
      <c r="G72" s="2089"/>
      <c r="H72" s="2089"/>
      <c r="I72" s="2093"/>
      <c r="J72" s="2112"/>
      <c r="K72" s="2093"/>
      <c r="L72" s="2093"/>
      <c r="M72" s="2093"/>
      <c r="N72" s="2093"/>
      <c r="O72" s="2089"/>
      <c r="P72" s="2089"/>
      <c r="Q72" s="2109"/>
      <c r="R72" s="2124">
        <f>K72+M72+P72</f>
        <v>0</v>
      </c>
      <c r="S72" s="2089"/>
      <c r="T72" s="2116" t="s">
        <v>2199</v>
      </c>
    </row>
    <row r="73" spans="1:20" hidden="1" x14ac:dyDescent="0.2">
      <c r="A73" s="2108"/>
      <c r="B73" s="1997" t="s">
        <v>2236</v>
      </c>
      <c r="C73" s="2041">
        <v>93.768000000000001</v>
      </c>
      <c r="D73" s="1997"/>
      <c r="E73" s="2110" t="s">
        <v>2232</v>
      </c>
      <c r="F73" s="1995"/>
      <c r="G73" s="2089"/>
      <c r="H73" s="2089"/>
      <c r="I73" s="2125"/>
      <c r="J73" s="2109"/>
      <c r="K73" s="2089"/>
      <c r="L73" s="2125"/>
      <c r="M73" s="2125"/>
      <c r="N73" s="2125"/>
      <c r="O73" s="2089"/>
      <c r="P73" s="2089"/>
      <c r="Q73" s="2109"/>
      <c r="R73" s="2124">
        <f>K73+M73+P73</f>
        <v>0</v>
      </c>
      <c r="S73" s="2089"/>
      <c r="T73" s="2116" t="s">
        <v>2199</v>
      </c>
    </row>
    <row r="74" spans="1:20" hidden="1" x14ac:dyDescent="0.2">
      <c r="A74" s="2108"/>
      <c r="B74" s="1997"/>
      <c r="C74" s="2041"/>
      <c r="D74" s="1997"/>
      <c r="E74" s="1997"/>
      <c r="F74" s="1995"/>
      <c r="G74" s="2089"/>
      <c r="H74" s="2089"/>
      <c r="I74" s="2089"/>
      <c r="J74" s="2109"/>
      <c r="K74" s="2089"/>
      <c r="L74" s="2089"/>
      <c r="M74" s="2089"/>
      <c r="N74" s="2089"/>
      <c r="O74" s="2089"/>
      <c r="P74" s="2089"/>
      <c r="Q74" s="2109"/>
      <c r="R74" s="2089"/>
      <c r="S74" s="2089"/>
      <c r="T74" s="2089"/>
    </row>
    <row r="75" spans="1:20" x14ac:dyDescent="0.2">
      <c r="A75" s="2108" t="s">
        <v>2224</v>
      </c>
      <c r="B75" s="1997"/>
      <c r="C75" s="2041"/>
      <c r="D75" s="1997"/>
      <c r="E75" s="1997"/>
      <c r="F75" s="1995"/>
      <c r="G75" s="2089"/>
      <c r="H75" s="2089"/>
      <c r="I75" s="2089"/>
      <c r="J75" s="2109"/>
      <c r="K75" s="2089"/>
      <c r="L75" s="2089"/>
      <c r="M75" s="2089"/>
      <c r="N75" s="2089"/>
      <c r="O75" s="2089"/>
      <c r="P75" s="2089"/>
      <c r="Q75" s="2109"/>
      <c r="R75" s="2089"/>
      <c r="S75" s="2089"/>
      <c r="T75" s="2089"/>
    </row>
    <row r="76" spans="1:20" x14ac:dyDescent="0.2">
      <c r="A76" s="2108" t="s">
        <v>2238</v>
      </c>
      <c r="B76" s="1997"/>
      <c r="C76" s="2041"/>
      <c r="D76" s="1997"/>
      <c r="E76" s="1997"/>
      <c r="F76" s="1995"/>
      <c r="G76" s="2089"/>
      <c r="H76" s="2089"/>
      <c r="I76" s="2089" t="s">
        <v>1231</v>
      </c>
      <c r="J76" s="2109"/>
      <c r="K76" s="2089"/>
      <c r="L76" s="2089"/>
      <c r="M76" s="2089"/>
      <c r="N76" s="2089"/>
      <c r="O76" s="2089"/>
      <c r="P76" s="2089"/>
      <c r="Q76" s="2109"/>
      <c r="R76" s="2089"/>
      <c r="S76" s="2089"/>
      <c r="T76" s="2089"/>
    </row>
    <row r="77" spans="1:20" x14ac:dyDescent="0.2">
      <c r="A77" s="2108"/>
      <c r="B77" s="1997"/>
      <c r="C77" s="2041"/>
      <c r="D77" s="1997"/>
      <c r="E77" s="1997"/>
      <c r="F77" s="1995"/>
      <c r="G77" s="2089"/>
      <c r="H77" s="2089"/>
      <c r="I77" s="2089"/>
      <c r="J77" s="2109"/>
      <c r="K77" s="2089"/>
      <c r="L77" s="2089"/>
      <c r="M77" s="2089"/>
      <c r="N77" s="2089"/>
      <c r="O77" s="2089"/>
      <c r="P77" s="2089"/>
      <c r="Q77" s="2109"/>
      <c r="R77" s="2089"/>
      <c r="S77" s="2089"/>
      <c r="T77" s="2089"/>
    </row>
    <row r="78" spans="1:20" x14ac:dyDescent="0.2">
      <c r="A78" s="2108"/>
      <c r="B78" s="1997" t="s">
        <v>2239</v>
      </c>
      <c r="C78" s="2041">
        <v>93.778000000000006</v>
      </c>
      <c r="D78" s="1997"/>
      <c r="E78" s="2126" t="s">
        <v>2240</v>
      </c>
      <c r="F78" s="2115"/>
      <c r="G78" s="2111">
        <v>37775</v>
      </c>
      <c r="H78" s="2127"/>
      <c r="I78" s="2111">
        <v>12046</v>
      </c>
      <c r="J78" s="2127">
        <v>0</v>
      </c>
      <c r="K78" s="2111">
        <v>51897</v>
      </c>
      <c r="L78" s="2111">
        <v>0</v>
      </c>
      <c r="M78" s="2111"/>
      <c r="N78" s="2111">
        <v>0</v>
      </c>
      <c r="O78" s="2127"/>
      <c r="P78" s="2111">
        <f>SUM(P68:P76)</f>
        <v>0</v>
      </c>
      <c r="Q78" s="2128"/>
      <c r="R78" s="2124">
        <f>K78+M78+P78</f>
        <v>51897</v>
      </c>
      <c r="S78" s="2089"/>
      <c r="T78" s="2116" t="s">
        <v>2199</v>
      </c>
    </row>
    <row r="79" spans="1:20" ht="15" x14ac:dyDescent="0.2">
      <c r="A79" s="2108"/>
      <c r="B79" s="2110" t="s">
        <v>2239</v>
      </c>
      <c r="C79" s="2066">
        <v>93.778000000000006</v>
      </c>
      <c r="D79" s="2110"/>
      <c r="E79" s="2126" t="s">
        <v>2241</v>
      </c>
      <c r="F79" s="2115"/>
      <c r="G79" s="2129">
        <f>SUM(G75:G77)</f>
        <v>0</v>
      </c>
      <c r="H79" s="2127"/>
      <c r="I79" s="2129">
        <v>33406</v>
      </c>
      <c r="J79" s="2127"/>
      <c r="K79" s="2129">
        <f>SUM(K75:K77)</f>
        <v>0</v>
      </c>
      <c r="L79" s="2129">
        <f>SUM(L75:L77)</f>
        <v>0</v>
      </c>
      <c r="M79" s="2129">
        <v>48826</v>
      </c>
      <c r="N79" s="2129">
        <f>SUM(N75:N77)</f>
        <v>0</v>
      </c>
      <c r="O79" s="2127"/>
      <c r="P79" s="2129">
        <f>SUM(P75:P77)</f>
        <v>0</v>
      </c>
      <c r="Q79" s="2127"/>
      <c r="R79" s="2130">
        <f>K79+M79+P79</f>
        <v>48826</v>
      </c>
      <c r="S79" s="2093"/>
      <c r="T79" s="2116" t="s">
        <v>2199</v>
      </c>
    </row>
    <row r="80" spans="1:20" ht="15" x14ac:dyDescent="0.2">
      <c r="A80" s="1995"/>
      <c r="B80" s="1997"/>
      <c r="C80" s="2041"/>
      <c r="D80" s="1997"/>
      <c r="E80" s="1997"/>
      <c r="F80" s="1995"/>
      <c r="G80" s="2130"/>
      <c r="H80" s="2128"/>
      <c r="I80" s="2130"/>
      <c r="J80" s="2128"/>
      <c r="K80" s="2130"/>
      <c r="L80" s="2130"/>
      <c r="M80" s="2130"/>
      <c r="N80" s="2130"/>
      <c r="O80" s="2128"/>
      <c r="P80" s="2130"/>
      <c r="Q80" s="2128"/>
      <c r="R80" s="2131"/>
      <c r="S80" s="2089"/>
      <c r="T80" s="2116"/>
    </row>
    <row r="81" spans="1:20" ht="17.25" customHeight="1" x14ac:dyDescent="0.2">
      <c r="A81" s="2108" t="s">
        <v>2242</v>
      </c>
      <c r="B81" s="1997"/>
      <c r="C81" s="2041"/>
      <c r="D81" s="1997"/>
      <c r="E81" s="1997"/>
      <c r="F81" s="1995"/>
      <c r="G81" s="2130">
        <f>SUM(G71:G80)</f>
        <v>37775</v>
      </c>
      <c r="H81" s="2128"/>
      <c r="I81" s="2130">
        <f>SUM(I71:I80)</f>
        <v>45452</v>
      </c>
      <c r="J81" s="2128"/>
      <c r="K81" s="2130">
        <f>SUM(K71:K80)</f>
        <v>51897</v>
      </c>
      <c r="L81" s="2130">
        <f>SUM(L71:L80)</f>
        <v>0</v>
      </c>
      <c r="M81" s="2130">
        <f>SUM(M71:M80)</f>
        <v>48826</v>
      </c>
      <c r="N81" s="2130">
        <f>SUM(N71:N80)</f>
        <v>0</v>
      </c>
      <c r="O81" s="2128"/>
      <c r="P81" s="2130">
        <f>SUM(P71:P80)</f>
        <v>0</v>
      </c>
      <c r="Q81" s="2128"/>
      <c r="R81" s="2130">
        <f>SUM(R71:R80)</f>
        <v>100723</v>
      </c>
      <c r="S81" s="2089"/>
      <c r="T81" s="2116"/>
    </row>
    <row r="82" spans="1:20" s="1987" customFormat="1" x14ac:dyDescent="0.2">
      <c r="A82" s="1995"/>
      <c r="B82" s="1997"/>
      <c r="C82" s="1997"/>
      <c r="D82" s="1997"/>
      <c r="E82" s="1997"/>
      <c r="F82" s="1995"/>
      <c r="G82" s="2089"/>
      <c r="H82" s="2089"/>
      <c r="I82" s="2089"/>
      <c r="J82" s="2109"/>
      <c r="K82" s="2089"/>
      <c r="L82" s="2089"/>
      <c r="M82" s="2089"/>
      <c r="N82" s="2089"/>
      <c r="O82" s="2089"/>
      <c r="P82" s="2089"/>
      <c r="Q82" s="2109"/>
      <c r="R82" s="2089"/>
      <c r="S82" s="2089"/>
      <c r="T82" s="2089"/>
    </row>
    <row r="83" spans="1:20" ht="16.5" customHeight="1" x14ac:dyDescent="0.2">
      <c r="A83" s="2132" t="s">
        <v>2243</v>
      </c>
      <c r="B83" s="1997"/>
      <c r="C83" s="2133"/>
      <c r="D83" s="1997"/>
      <c r="E83" s="1997"/>
      <c r="F83" s="1995"/>
      <c r="G83" s="2048">
        <f>+G21+G27+G29+G31+G33+G35+G37+G40+G42+G44+G48+G50+G52+G54</f>
        <v>1914274</v>
      </c>
      <c r="H83" s="2048"/>
      <c r="I83" s="2048">
        <f>SUM(+I21,I27:I54)</f>
        <v>2989057.64</v>
      </c>
      <c r="J83" s="2048"/>
      <c r="K83" s="2048">
        <f>+K21+K27+K29+K31+K33+K35+K37+K40+K42</f>
        <v>2517893</v>
      </c>
      <c r="L83" s="2048">
        <f>+L21+L67-L58-L60</f>
        <v>107576</v>
      </c>
      <c r="M83" s="2048">
        <f>+M21+M67-M58-M60</f>
        <v>3828533</v>
      </c>
      <c r="N83" s="2048">
        <f>+N21+N67-N58-N60</f>
        <v>112549</v>
      </c>
      <c r="O83" s="2048"/>
      <c r="P83" s="2048">
        <f>+P21+P67-P58-P60</f>
        <v>199806</v>
      </c>
      <c r="Q83" s="2048"/>
      <c r="R83" s="2048">
        <f>+R21+R67-R58-R60</f>
        <v>6546232</v>
      </c>
      <c r="S83" s="2088" t="s">
        <v>1231</v>
      </c>
      <c r="T83" s="2088" t="s">
        <v>1231</v>
      </c>
    </row>
    <row r="84" spans="1:20" ht="15" x14ac:dyDescent="0.2">
      <c r="A84" s="2134"/>
      <c r="B84" s="1997"/>
      <c r="C84" s="2133"/>
      <c r="D84" s="1997"/>
      <c r="E84" s="1997"/>
      <c r="F84" s="1995"/>
      <c r="G84" s="2086"/>
      <c r="H84" s="2086"/>
      <c r="I84" s="2086"/>
      <c r="J84" s="2086"/>
      <c r="K84" s="2086"/>
      <c r="L84" s="2086"/>
      <c r="M84" s="2086"/>
      <c r="N84" s="2086"/>
      <c r="O84" s="2086"/>
      <c r="P84" s="2086"/>
      <c r="Q84" s="2086"/>
      <c r="R84" s="2086"/>
      <c r="S84" s="2088"/>
      <c r="T84" s="2088"/>
    </row>
    <row r="85" spans="1:20" ht="16.5" customHeight="1" x14ac:dyDescent="0.2">
      <c r="A85" s="2134" t="s">
        <v>2244</v>
      </c>
      <c r="B85" s="1997"/>
      <c r="C85" s="2133"/>
      <c r="D85" s="1997"/>
      <c r="E85" s="1997"/>
      <c r="F85" s="1995"/>
      <c r="G85" s="2043">
        <f>G58+G60+G81+G63+G64</f>
        <v>105467</v>
      </c>
      <c r="H85" s="2043"/>
      <c r="I85" s="2043">
        <f>I58+I60+I81+I63+I64</f>
        <v>76465</v>
      </c>
      <c r="J85" s="2043"/>
      <c r="K85" s="2043">
        <f>K58+K60+K81+K63+K64</f>
        <v>122686</v>
      </c>
      <c r="L85" s="2043">
        <f>L58+L60+L81+L63+L64</f>
        <v>0</v>
      </c>
      <c r="M85" s="2043">
        <f>M58+M60+M81+M63+M64</f>
        <v>98676</v>
      </c>
      <c r="N85" s="2043">
        <f>N58+N60+N81+N63+N64</f>
        <v>0</v>
      </c>
      <c r="O85" s="2043"/>
      <c r="P85" s="2043">
        <f>P58+P60+P81+P63+P64</f>
        <v>0</v>
      </c>
      <c r="Q85" s="2043"/>
      <c r="R85" s="2043">
        <f>R58+R60+R81</f>
        <v>221362</v>
      </c>
      <c r="S85" s="2088"/>
      <c r="T85" s="2088"/>
    </row>
    <row r="86" spans="1:20" ht="15" x14ac:dyDescent="0.2">
      <c r="A86" s="2134"/>
      <c r="B86" s="1997"/>
      <c r="C86" s="2133"/>
      <c r="D86" s="1997"/>
      <c r="E86" s="1997"/>
      <c r="F86" s="1995"/>
      <c r="G86" s="2086"/>
      <c r="H86" s="2086"/>
      <c r="I86" s="2086"/>
      <c r="J86" s="2086"/>
      <c r="K86" s="2086"/>
      <c r="L86" s="2086"/>
      <c r="M86" s="2086"/>
      <c r="N86" s="2086"/>
      <c r="O86" s="2086"/>
      <c r="P86" s="2086"/>
      <c r="Q86" s="2086"/>
      <c r="R86" s="2086"/>
      <c r="S86" s="2088"/>
      <c r="T86" s="2088"/>
    </row>
    <row r="87" spans="1:20" ht="18.75" customHeight="1" x14ac:dyDescent="0.2">
      <c r="A87" s="2134" t="s">
        <v>2245</v>
      </c>
      <c r="B87" s="1997"/>
      <c r="C87" s="2133"/>
      <c r="D87" s="1997"/>
      <c r="E87" s="1997"/>
      <c r="F87" s="1995"/>
      <c r="G87" s="2135">
        <f>G83+G85</f>
        <v>2019741</v>
      </c>
      <c r="H87" s="2135"/>
      <c r="I87" s="2135">
        <f>I83+I85</f>
        <v>3065522.64</v>
      </c>
      <c r="J87" s="2135"/>
      <c r="K87" s="2135">
        <f t="shared" ref="K87:R87" si="0">K83+K85</f>
        <v>2640579</v>
      </c>
      <c r="L87" s="2135">
        <f>L83+L85</f>
        <v>107576</v>
      </c>
      <c r="M87" s="2135">
        <f t="shared" si="0"/>
        <v>3927209</v>
      </c>
      <c r="N87" s="2135">
        <f t="shared" si="0"/>
        <v>112549</v>
      </c>
      <c r="O87" s="2135"/>
      <c r="P87" s="2135">
        <f t="shared" si="0"/>
        <v>199806</v>
      </c>
      <c r="Q87" s="2135"/>
      <c r="R87" s="2135">
        <f t="shared" si="0"/>
        <v>6767594</v>
      </c>
      <c r="S87" s="2088"/>
      <c r="T87" s="2088"/>
    </row>
    <row r="88" spans="1:20" ht="15" customHeight="1" x14ac:dyDescent="0.2">
      <c r="A88" s="1997" t="s">
        <v>2246</v>
      </c>
      <c r="B88" s="2002"/>
      <c r="C88" s="2002"/>
      <c r="D88" s="2002"/>
      <c r="E88" s="2002"/>
      <c r="F88" s="1999"/>
      <c r="G88" s="2092"/>
      <c r="H88" s="2092"/>
      <c r="I88" s="2092"/>
      <c r="J88" s="2136"/>
      <c r="K88" s="2092"/>
      <c r="L88" s="2092"/>
      <c r="M88" s="2092"/>
      <c r="N88" s="2092"/>
      <c r="O88" s="2092"/>
      <c r="P88" s="2092"/>
      <c r="Q88" s="2136"/>
      <c r="R88" s="2092"/>
      <c r="S88" s="2092"/>
      <c r="T88" s="2092"/>
    </row>
    <row r="89" spans="1:20" ht="15" customHeight="1" x14ac:dyDescent="0.2">
      <c r="A89" s="2137" t="s">
        <v>2247</v>
      </c>
      <c r="B89" s="2002"/>
      <c r="C89" s="2002"/>
      <c r="D89" s="2002"/>
      <c r="E89" s="2002"/>
      <c r="F89" s="1999"/>
      <c r="G89" s="2092"/>
      <c r="H89" s="2092"/>
      <c r="I89" s="2092"/>
      <c r="J89" s="2136"/>
      <c r="K89" s="2092"/>
      <c r="L89" s="2092"/>
      <c r="M89" s="2092"/>
      <c r="N89" s="2092"/>
      <c r="O89" s="2092"/>
      <c r="P89" s="2092"/>
      <c r="Q89" s="2136"/>
      <c r="R89" s="2092"/>
      <c r="S89" s="2092"/>
      <c r="T89" s="2092"/>
    </row>
    <row r="90" spans="1:20" ht="15" customHeight="1" x14ac:dyDescent="0.2">
      <c r="A90" s="2040" t="s">
        <v>2248</v>
      </c>
      <c r="B90" s="2138"/>
      <c r="C90" s="2002"/>
      <c r="D90" s="2002"/>
      <c r="E90" s="2002"/>
      <c r="F90" s="1999"/>
      <c r="G90" s="2092"/>
      <c r="H90" s="2092"/>
      <c r="I90" s="2092"/>
      <c r="J90" s="2136"/>
      <c r="K90" s="2092" t="s">
        <v>1231</v>
      </c>
      <c r="L90" s="2092"/>
      <c r="M90" s="2139"/>
      <c r="N90" s="2139"/>
      <c r="O90" s="2139"/>
      <c r="P90" s="2092"/>
      <c r="Q90" s="2136"/>
      <c r="R90" s="2092"/>
      <c r="S90" s="2092"/>
      <c r="T90" s="2092"/>
    </row>
    <row r="91" spans="1:20" ht="15" customHeight="1" x14ac:dyDescent="0.35">
      <c r="A91" s="2040"/>
      <c r="B91" s="2002"/>
      <c r="C91" s="2002"/>
      <c r="D91" s="2002"/>
      <c r="E91" s="2002"/>
      <c r="F91" s="1999"/>
      <c r="G91" s="2141" t="s">
        <v>1231</v>
      </c>
      <c r="H91" s="2092"/>
      <c r="I91" s="2141" t="s">
        <v>1231</v>
      </c>
      <c r="J91" s="2136"/>
      <c r="K91" s="2141" t="s">
        <v>1231</v>
      </c>
      <c r="L91" s="2092"/>
      <c r="M91" s="2142"/>
      <c r="N91" s="2142"/>
      <c r="O91" s="2139"/>
      <c r="P91" s="2141" t="s">
        <v>1231</v>
      </c>
      <c r="Q91" s="2136"/>
      <c r="R91" s="2141" t="s">
        <v>1231</v>
      </c>
      <c r="S91" s="2092"/>
      <c r="T91" s="2141" t="s">
        <v>1231</v>
      </c>
    </row>
    <row r="92" spans="1:20" ht="15" customHeight="1" x14ac:dyDescent="0.2">
      <c r="A92" s="1996"/>
      <c r="C92" s="2143"/>
      <c r="G92" s="2144"/>
      <c r="H92" s="2144"/>
      <c r="I92" s="2144" t="s">
        <v>1231</v>
      </c>
      <c r="J92" s="2145"/>
      <c r="K92" s="2144"/>
      <c r="L92" s="2144"/>
      <c r="M92" s="2146"/>
      <c r="N92" s="2146"/>
      <c r="O92" s="2146"/>
      <c r="P92" s="2144"/>
      <c r="Q92" s="2145"/>
      <c r="R92" s="2144"/>
      <c r="S92" s="2144"/>
      <c r="T92" s="2144"/>
    </row>
    <row r="93" spans="1:20" x14ac:dyDescent="0.2">
      <c r="A93" s="2147"/>
      <c r="C93" s="2143"/>
      <c r="G93" s="2144"/>
      <c r="H93" s="2144"/>
      <c r="I93" s="2148"/>
      <c r="J93" s="2145"/>
      <c r="K93" s="2144"/>
      <c r="L93" s="2144"/>
      <c r="M93" s="2146"/>
      <c r="N93" s="2146"/>
      <c r="O93" s="2146"/>
      <c r="P93" s="2144"/>
      <c r="Q93" s="2145"/>
      <c r="R93" s="2144"/>
      <c r="S93" s="2144"/>
      <c r="T93" s="2144"/>
    </row>
    <row r="94" spans="1:20" x14ac:dyDescent="0.2">
      <c r="C94" s="2143"/>
      <c r="G94" s="2144"/>
      <c r="H94" s="2144"/>
      <c r="I94" s="2144"/>
      <c r="J94" s="2145"/>
      <c r="K94" s="2144"/>
      <c r="L94" s="2144"/>
      <c r="M94" s="2144"/>
      <c r="N94" s="2144"/>
      <c r="O94" s="2144"/>
      <c r="P94" s="2144"/>
      <c r="Q94" s="2145"/>
      <c r="R94" s="2144"/>
      <c r="S94" s="2144"/>
      <c r="T94" s="2144"/>
    </row>
    <row r="95" spans="1:20" x14ac:dyDescent="0.2">
      <c r="C95" s="2143"/>
      <c r="G95" s="2144"/>
      <c r="H95" s="2144"/>
      <c r="I95" s="2144"/>
      <c r="J95" s="2145"/>
      <c r="K95" s="2144"/>
      <c r="L95" s="2144"/>
      <c r="M95" s="2144"/>
      <c r="N95" s="2144"/>
      <c r="O95" s="2144"/>
      <c r="P95" s="2144"/>
      <c r="Q95" s="2145"/>
      <c r="R95" s="2144"/>
      <c r="S95" s="2144"/>
      <c r="T95" s="2144"/>
    </row>
    <row r="96" spans="1:20" s="2150" customFormat="1" x14ac:dyDescent="0.2">
      <c r="A96" s="2149"/>
      <c r="C96" s="2151"/>
      <c r="F96" s="2152"/>
      <c r="G96" s="2153"/>
      <c r="H96" s="2153"/>
      <c r="I96" s="2153"/>
      <c r="J96" s="2154"/>
      <c r="K96" s="2153"/>
      <c r="L96" s="2153"/>
      <c r="M96" s="2153"/>
      <c r="N96" s="2153"/>
      <c r="O96" s="2153"/>
      <c r="P96" s="2153"/>
      <c r="Q96" s="2154"/>
      <c r="R96" s="2153"/>
      <c r="S96" s="2153"/>
      <c r="T96" s="2153"/>
    </row>
    <row r="97" spans="1:14" s="2156" customFormat="1" ht="13.5" customHeight="1" x14ac:dyDescent="0.2">
      <c r="A97" s="2668" t="s">
        <v>1231</v>
      </c>
      <c r="B97" s="2668"/>
      <c r="C97" s="2668"/>
      <c r="D97" s="2668"/>
      <c r="E97" s="2668"/>
      <c r="F97" s="2668"/>
      <c r="G97" s="2668"/>
      <c r="H97" s="2668"/>
      <c r="I97" s="2668"/>
      <c r="J97" s="2668"/>
      <c r="K97" s="2668"/>
      <c r="L97" s="2668"/>
      <c r="M97" s="2668"/>
      <c r="N97" s="2155"/>
    </row>
    <row r="98" spans="1:14" s="2156" customFormat="1" ht="13.5" customHeight="1" x14ac:dyDescent="0.2">
      <c r="A98" s="2669" t="s">
        <v>1231</v>
      </c>
      <c r="B98" s="2669"/>
      <c r="C98" s="2669"/>
      <c r="D98" s="2669"/>
      <c r="E98" s="2669"/>
      <c r="F98" s="2669"/>
      <c r="G98" s="2669"/>
      <c r="H98" s="2669"/>
      <c r="I98" s="2669"/>
      <c r="J98" s="2669"/>
      <c r="K98" s="2669"/>
      <c r="L98" s="2669"/>
      <c r="M98" s="2669"/>
      <c r="N98" s="2157"/>
    </row>
    <row r="99" spans="1:14" s="2156" customFormat="1" ht="13.5" customHeight="1" x14ac:dyDescent="0.2">
      <c r="A99" s="2668" t="s">
        <v>1231</v>
      </c>
      <c r="B99" s="2668"/>
      <c r="C99" s="2668"/>
      <c r="D99" s="2668"/>
      <c r="E99" s="2668"/>
      <c r="F99" s="2668"/>
      <c r="G99" s="2668"/>
      <c r="H99" s="2668"/>
      <c r="I99" s="2668"/>
      <c r="J99" s="2668"/>
      <c r="K99" s="2668"/>
      <c r="L99" s="2668"/>
      <c r="M99" s="2668"/>
      <c r="N99" s="2155"/>
    </row>
    <row r="100" spans="1:14" s="2156" customFormat="1" ht="13.5" customHeight="1" x14ac:dyDescent="0.2">
      <c r="A100" s="2158" t="s">
        <v>1231</v>
      </c>
      <c r="B100" s="2158"/>
      <c r="C100" s="2158"/>
      <c r="D100" s="2158"/>
      <c r="E100" s="2158"/>
      <c r="F100" s="2158"/>
      <c r="G100" s="2158"/>
      <c r="H100" s="2158"/>
      <c r="I100" s="2158"/>
      <c r="J100" s="2158"/>
      <c r="K100" s="2158"/>
      <c r="L100" s="2158"/>
      <c r="M100" s="2158"/>
      <c r="N100" s="2158"/>
    </row>
    <row r="101" spans="1:14" s="2156" customFormat="1" ht="13.5" customHeight="1" x14ac:dyDescent="0.2">
      <c r="A101" s="2159" t="s">
        <v>1231</v>
      </c>
      <c r="B101" s="2160"/>
      <c r="C101" s="2161"/>
      <c r="D101" s="2162"/>
      <c r="E101" s="2162"/>
      <c r="F101" s="2162"/>
      <c r="G101" s="2162"/>
      <c r="H101" s="2162"/>
      <c r="I101" s="2162"/>
      <c r="J101" s="2162"/>
    </row>
    <row r="102" spans="1:14" s="2156" customFormat="1" ht="13.5" customHeight="1" x14ac:dyDescent="0.2">
      <c r="A102" s="2159" t="s">
        <v>1231</v>
      </c>
      <c r="B102" s="2160"/>
      <c r="C102" s="2161"/>
      <c r="D102" s="2162"/>
      <c r="E102" s="2162"/>
      <c r="F102" s="2162"/>
      <c r="G102" s="2162"/>
      <c r="H102" s="2162"/>
      <c r="I102" s="2162"/>
      <c r="J102" s="2162"/>
    </row>
    <row r="103" spans="1:14" s="2156" customFormat="1" ht="13.5" customHeight="1" x14ac:dyDescent="0.2">
      <c r="A103" s="2162" t="s">
        <v>1231</v>
      </c>
      <c r="B103" s="2163"/>
      <c r="C103" s="2164"/>
    </row>
    <row r="104" spans="1:14" s="2156" customFormat="1" ht="13.5" customHeight="1" x14ac:dyDescent="0.2">
      <c r="A104" s="2162" t="s">
        <v>1231</v>
      </c>
      <c r="B104" s="2163"/>
      <c r="C104" s="2164"/>
    </row>
    <row r="105" spans="1:14" s="2156" customFormat="1" ht="13.5" customHeight="1" x14ac:dyDescent="0.2">
      <c r="A105" s="2162" t="s">
        <v>1231</v>
      </c>
      <c r="B105" s="2163"/>
      <c r="C105" s="2164"/>
    </row>
    <row r="106" spans="1:14" s="2165" customFormat="1" ht="13.5" customHeight="1" x14ac:dyDescent="0.15">
      <c r="B106" s="2166"/>
      <c r="C106" s="2167"/>
      <c r="F106" s="2168"/>
      <c r="G106" s="2168"/>
      <c r="H106" s="2168"/>
      <c r="I106" s="2168"/>
      <c r="J106" s="2169"/>
    </row>
  </sheetData>
  <mergeCells count="9">
    <mergeCell ref="A97:M97"/>
    <mergeCell ref="A98:M98"/>
    <mergeCell ref="A99:M99"/>
    <mergeCell ref="A1:T1"/>
    <mergeCell ref="A2:T2"/>
    <mergeCell ref="A3:T3"/>
    <mergeCell ref="A4:T4"/>
    <mergeCell ref="K5:N5"/>
    <mergeCell ref="G6:I6"/>
  </mergeCells>
  <printOptions horizontalCentered="1" gridLinesSet="0"/>
  <pageMargins left="0.5" right="0.5" top="0.5" bottom="0.25" header="0.5" footer="0.25"/>
  <pageSetup scale="70" fitToHeight="2" orientation="landscape" r:id="rId1"/>
  <headerFooter alignWithMargins="0">
    <oddFooter>&amp;L&amp;"Garamond,Regular"See the accompanying notes to the Schedule of Expenditures of Federal Awards.</oddFooter>
  </headerFooter>
  <rowBreaks count="1" manualBreakCount="1">
    <brk id="67"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topLeftCell="A89" colorId="8" zoomScale="110" zoomScaleNormal="110" workbookViewId="0"/>
  </sheetViews>
  <sheetFormatPr defaultColWidth="9.140625" defaultRowHeight="12.75" x14ac:dyDescent="0.2"/>
  <cols>
    <col min="1" max="1" width="1.5703125" style="202" customWidth="1"/>
    <col min="2" max="2" width="2.71093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83" t="s">
        <v>1230</v>
      </c>
      <c r="B2" s="2283"/>
      <c r="C2" s="2283"/>
      <c r="D2" s="2283"/>
      <c r="E2" s="2283"/>
      <c r="F2" s="2283"/>
      <c r="G2" s="2283"/>
      <c r="H2" s="2283"/>
      <c r="I2" s="2283"/>
      <c r="J2" s="22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t="s">
        <v>2074</v>
      </c>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97" t="s">
        <v>1731</v>
      </c>
      <c r="B35" s="2298"/>
      <c r="C35" s="2298"/>
      <c r="D35" s="2298"/>
      <c r="E35" s="2299"/>
      <c r="F35" s="2299"/>
      <c r="G35" s="2299"/>
      <c r="H35" s="2299"/>
      <c r="I35" s="22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97" t="s">
        <v>331</v>
      </c>
      <c r="B47" s="2300"/>
      <c r="C47" s="2300"/>
      <c r="D47" s="2300"/>
      <c r="E47" s="2301"/>
      <c r="F47" s="2301"/>
      <c r="G47" s="2301"/>
      <c r="H47" s="2301"/>
      <c r="I47" s="23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304" t="s">
        <v>2100</v>
      </c>
      <c r="C57" s="2305"/>
      <c r="D57" s="2305"/>
      <c r="E57" s="2305"/>
      <c r="F57" s="2305"/>
      <c r="G57" s="2305"/>
      <c r="H57" s="2305"/>
      <c r="I57" s="2305"/>
      <c r="J57" s="2306"/>
    </row>
    <row r="58" spans="1:10" s="181" customFormat="1" x14ac:dyDescent="0.2">
      <c r="A58" s="253"/>
      <c r="B58" s="2307"/>
      <c r="C58" s="2308"/>
      <c r="D58" s="2308"/>
      <c r="E58" s="2308"/>
      <c r="F58" s="2308"/>
      <c r="G58" s="2308"/>
      <c r="H58" s="2308"/>
      <c r="I58" s="2308"/>
      <c r="J58" s="2309"/>
    </row>
    <row r="59" spans="1:10" s="181" customFormat="1" x14ac:dyDescent="0.2">
      <c r="A59" s="253"/>
      <c r="B59" s="2307"/>
      <c r="C59" s="2308"/>
      <c r="D59" s="2308"/>
      <c r="E59" s="2308"/>
      <c r="F59" s="2308"/>
      <c r="G59" s="2308"/>
      <c r="H59" s="2308"/>
      <c r="I59" s="2308"/>
      <c r="J59" s="2309"/>
    </row>
    <row r="60" spans="1:10" s="181" customFormat="1" x14ac:dyDescent="0.2">
      <c r="A60" s="253"/>
      <c r="B60" s="2307"/>
      <c r="C60" s="2308"/>
      <c r="D60" s="2308"/>
      <c r="E60" s="2308"/>
      <c r="F60" s="2308"/>
      <c r="G60" s="2308"/>
      <c r="H60" s="2308"/>
      <c r="I60" s="2308"/>
      <c r="J60" s="2309"/>
    </row>
    <row r="61" spans="1:10" s="181" customFormat="1" x14ac:dyDescent="0.2">
      <c r="A61" s="253"/>
      <c r="B61" s="2307"/>
      <c r="C61" s="2308"/>
      <c r="D61" s="2308"/>
      <c r="E61" s="2308"/>
      <c r="F61" s="2308"/>
      <c r="G61" s="2308"/>
      <c r="H61" s="2308"/>
      <c r="I61" s="2308"/>
      <c r="J61" s="2309"/>
    </row>
    <row r="62" spans="1:10" s="181" customFormat="1" x14ac:dyDescent="0.2">
      <c r="A62" s="253"/>
      <c r="B62" s="2307"/>
      <c r="C62" s="2308"/>
      <c r="D62" s="2308"/>
      <c r="E62" s="2308"/>
      <c r="F62" s="2308"/>
      <c r="G62" s="2308"/>
      <c r="H62" s="2308"/>
      <c r="I62" s="2308"/>
      <c r="J62" s="2309"/>
    </row>
    <row r="63" spans="1:10" s="181" customFormat="1" x14ac:dyDescent="0.2">
      <c r="A63" s="253"/>
      <c r="B63" s="2307"/>
      <c r="C63" s="2308"/>
      <c r="D63" s="2308"/>
      <c r="E63" s="2308"/>
      <c r="F63" s="2308"/>
      <c r="G63" s="2308"/>
      <c r="H63" s="2308"/>
      <c r="I63" s="2308"/>
      <c r="J63" s="2309"/>
    </row>
    <row r="64" spans="1:10" s="181" customFormat="1" x14ac:dyDescent="0.2">
      <c r="A64" s="253"/>
      <c r="B64" s="2307"/>
      <c r="C64" s="2308"/>
      <c r="D64" s="2308"/>
      <c r="E64" s="2308"/>
      <c r="F64" s="2308"/>
      <c r="G64" s="2308"/>
      <c r="H64" s="2308"/>
      <c r="I64" s="2308"/>
      <c r="J64" s="2309"/>
    </row>
    <row r="65" spans="1:10" s="181" customFormat="1" x14ac:dyDescent="0.2">
      <c r="A65" s="253"/>
      <c r="B65" s="2307"/>
      <c r="C65" s="2308"/>
      <c r="D65" s="2308"/>
      <c r="E65" s="2308"/>
      <c r="F65" s="2308"/>
      <c r="G65" s="2308"/>
      <c r="H65" s="2308"/>
      <c r="I65" s="2308"/>
      <c r="J65" s="2309"/>
    </row>
    <row r="66" spans="1:10" s="181" customFormat="1" x14ac:dyDescent="0.2">
      <c r="A66" s="253"/>
      <c r="B66" s="2307"/>
      <c r="C66" s="2308"/>
      <c r="D66" s="2308"/>
      <c r="E66" s="2308"/>
      <c r="F66" s="2308"/>
      <c r="G66" s="2308"/>
      <c r="H66" s="2308"/>
      <c r="I66" s="2308"/>
      <c r="J66" s="2309"/>
    </row>
    <row r="67" spans="1:10" s="181" customFormat="1" ht="9.1999999999999993" customHeight="1" x14ac:dyDescent="0.2">
      <c r="A67" s="254"/>
      <c r="B67" s="2310"/>
      <c r="C67" s="2311"/>
      <c r="D67" s="2311"/>
      <c r="E67" s="2311"/>
      <c r="F67" s="2311"/>
      <c r="G67" s="2311"/>
      <c r="H67" s="2311"/>
      <c r="I67" s="2311"/>
      <c r="J67" s="2312"/>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97" t="s">
        <v>1390</v>
      </c>
      <c r="B70" s="2300"/>
      <c r="C70" s="2300"/>
      <c r="D70" s="2300"/>
      <c r="E70" s="2301"/>
      <c r="F70" s="2301"/>
      <c r="G70" s="2301"/>
      <c r="H70" s="2301"/>
      <c r="I70" s="2301"/>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302" t="s">
        <v>1387</v>
      </c>
      <c r="B83" s="2302"/>
      <c r="C83" s="2302"/>
      <c r="D83" s="23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84" t="s">
        <v>2163</v>
      </c>
      <c r="C102" s="2285"/>
      <c r="D102" s="2285"/>
      <c r="E102" s="2285"/>
      <c r="F102" s="2285"/>
      <c r="G102" s="2285"/>
      <c r="H102" s="2285"/>
      <c r="I102" s="2286"/>
    </row>
    <row r="103" spans="1:9" s="181" customFormat="1" ht="11.25" customHeight="1" x14ac:dyDescent="0.2">
      <c r="A103" s="316"/>
      <c r="B103" s="2287"/>
      <c r="C103" s="2288"/>
      <c r="D103" s="2288"/>
      <c r="E103" s="2288"/>
      <c r="F103" s="2288"/>
      <c r="G103" s="2288"/>
      <c r="H103" s="2288"/>
      <c r="I103" s="2289"/>
    </row>
    <row r="104" spans="1:9" s="181" customFormat="1" ht="11.25" customHeight="1" x14ac:dyDescent="0.2">
      <c r="A104" s="316"/>
      <c r="B104" s="2287"/>
      <c r="C104" s="2288"/>
      <c r="D104" s="2288"/>
      <c r="E104" s="2288"/>
      <c r="F104" s="2288"/>
      <c r="G104" s="2288"/>
      <c r="H104" s="2288"/>
      <c r="I104" s="2289"/>
    </row>
    <row r="105" spans="1:9" s="181" customFormat="1" x14ac:dyDescent="0.2">
      <c r="A105" s="316"/>
      <c r="B105" s="2287"/>
      <c r="C105" s="2288"/>
      <c r="D105" s="2288"/>
      <c r="E105" s="2288"/>
      <c r="F105" s="2288"/>
      <c r="G105" s="2288"/>
      <c r="H105" s="2288"/>
      <c r="I105" s="2289"/>
    </row>
    <row r="106" spans="1:9" s="181" customFormat="1" ht="11.25" customHeight="1" x14ac:dyDescent="0.2">
      <c r="A106" s="316"/>
      <c r="B106" s="2287"/>
      <c r="C106" s="2288"/>
      <c r="D106" s="2288"/>
      <c r="E106" s="2288"/>
      <c r="F106" s="2288"/>
      <c r="G106" s="2288"/>
      <c r="H106" s="2288"/>
      <c r="I106" s="2289"/>
    </row>
    <row r="107" spans="1:9" s="181" customFormat="1" ht="11.25" customHeight="1" x14ac:dyDescent="0.2">
      <c r="A107" s="316"/>
      <c r="B107" s="2287"/>
      <c r="C107" s="2288"/>
      <c r="D107" s="2288"/>
      <c r="E107" s="2288"/>
      <c r="F107" s="2288"/>
      <c r="G107" s="2288"/>
      <c r="H107" s="2288"/>
      <c r="I107" s="2289"/>
    </row>
    <row r="108" spans="1:9" s="181" customFormat="1" ht="11.25" customHeight="1" x14ac:dyDescent="0.2">
      <c r="A108" s="316"/>
      <c r="B108" s="2287"/>
      <c r="C108" s="2288"/>
      <c r="D108" s="2288"/>
      <c r="E108" s="2288"/>
      <c r="F108" s="2288"/>
      <c r="G108" s="2288"/>
      <c r="H108" s="2288"/>
      <c r="I108" s="2289"/>
    </row>
    <row r="109" spans="1:9" s="181" customFormat="1" ht="11.25" customHeight="1" x14ac:dyDescent="0.2">
      <c r="A109" s="316"/>
      <c r="B109" s="2287"/>
      <c r="C109" s="2288"/>
      <c r="D109" s="2288"/>
      <c r="E109" s="2288"/>
      <c r="F109" s="2288"/>
      <c r="G109" s="2288"/>
      <c r="H109" s="2288"/>
      <c r="I109" s="2289"/>
    </row>
    <row r="110" spans="1:9" s="181" customFormat="1" ht="11.25" customHeight="1" x14ac:dyDescent="0.2">
      <c r="A110" s="316"/>
      <c r="B110" s="2287"/>
      <c r="C110" s="2288"/>
      <c r="D110" s="2288"/>
      <c r="E110" s="2288"/>
      <c r="F110" s="2288"/>
      <c r="G110" s="2288"/>
      <c r="H110" s="2288"/>
      <c r="I110" s="2289"/>
    </row>
    <row r="111" spans="1:9" s="181" customFormat="1" ht="11.25" customHeight="1" x14ac:dyDescent="0.2">
      <c r="A111" s="316"/>
      <c r="B111" s="2287"/>
      <c r="C111" s="2288"/>
      <c r="D111" s="2288"/>
      <c r="E111" s="2288"/>
      <c r="F111" s="2288"/>
      <c r="G111" s="2288"/>
      <c r="H111" s="2288"/>
      <c r="I111" s="2289"/>
    </row>
    <row r="112" spans="1:9" s="181" customFormat="1" ht="11.25" customHeight="1" x14ac:dyDescent="0.2">
      <c r="A112" s="316"/>
      <c r="B112" s="2290"/>
      <c r="C112" s="2291"/>
      <c r="D112" s="2291"/>
      <c r="E112" s="2291"/>
      <c r="F112" s="2291"/>
      <c r="G112" s="2291"/>
      <c r="H112" s="2291"/>
      <c r="I112" s="22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93" t="s">
        <v>2081</v>
      </c>
      <c r="D114" s="22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94" t="s">
        <v>1397</v>
      </c>
      <c r="D117" s="2295"/>
      <c r="E117" s="2296"/>
      <c r="F117" s="2296"/>
      <c r="G117" s="2296"/>
      <c r="H117" s="2296"/>
      <c r="I117" s="304"/>
    </row>
    <row r="118" spans="1:9" s="181" customFormat="1" ht="24" customHeight="1" x14ac:dyDescent="0.2">
      <c r="A118" s="316"/>
      <c r="B118" s="316"/>
      <c r="C118" s="316"/>
      <c r="D118" s="323" t="s">
        <v>2249</v>
      </c>
      <c r="E118" s="322"/>
      <c r="F118" s="324"/>
      <c r="G118" s="1860"/>
      <c r="H118" s="322"/>
      <c r="I118" s="304"/>
    </row>
    <row r="119" spans="1:9" s="181" customFormat="1" ht="11.25" customHeight="1" x14ac:dyDescent="0.2">
      <c r="A119" s="325"/>
      <c r="B119" s="325"/>
      <c r="C119" s="326"/>
      <c r="D119" s="327" t="s">
        <v>379</v>
      </c>
      <c r="E119" s="310"/>
      <c r="F119" s="1859" t="s">
        <v>2019</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1"/>
  <sheetViews>
    <sheetView showGridLines="0" topLeftCell="A19" zoomScale="120" zoomScaleNormal="120" workbookViewId="0">
      <selection activeCell="D44" sqref="D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675" t="str">
        <f>'Single Audit Cover'!A7</f>
        <v>West Central Illinois Special Education Coop</v>
      </c>
      <c r="B1" s="2675"/>
      <c r="C1" s="2675"/>
      <c r="D1" s="2675"/>
      <c r="E1" s="2675"/>
      <c r="F1" s="2675"/>
    </row>
    <row r="2" spans="1:7" ht="13.5" customHeight="1" x14ac:dyDescent="0.2">
      <c r="A2" s="2665">
        <f>'Single Audit Cover'!E7</f>
        <v>26062000061</v>
      </c>
      <c r="B2" s="2665"/>
      <c r="C2" s="2665"/>
      <c r="D2" s="2665"/>
      <c r="E2" s="2665"/>
      <c r="F2" s="2665"/>
      <c r="G2" s="1272"/>
    </row>
    <row r="3" spans="1:7" ht="15.95" customHeight="1" x14ac:dyDescent="0.2">
      <c r="A3" s="2676" t="s">
        <v>1333</v>
      </c>
      <c r="B3" s="2676"/>
      <c r="C3" s="2676"/>
      <c r="D3" s="2676"/>
      <c r="E3" s="2676"/>
      <c r="F3" s="2676"/>
    </row>
    <row r="4" spans="1:7" ht="13.5" customHeight="1" x14ac:dyDescent="0.2">
      <c r="A4" s="2677" t="str">
        <f>'Single Audit Cover'!A4</f>
        <v>Year Ending June 30, 2018</v>
      </c>
      <c r="B4" s="2677"/>
      <c r="C4" s="2677"/>
      <c r="D4" s="2677"/>
      <c r="E4" s="2677"/>
      <c r="F4" s="2677"/>
    </row>
    <row r="5" spans="1:7" ht="8.25" customHeight="1" x14ac:dyDescent="0.2">
      <c r="C5" s="317"/>
      <c r="D5" s="317"/>
    </row>
    <row r="6" spans="1:7" ht="13.5" customHeight="1" x14ac:dyDescent="0.2">
      <c r="A6" s="1273" t="s">
        <v>1831</v>
      </c>
      <c r="C6" s="317"/>
      <c r="D6" s="317"/>
    </row>
    <row r="7" spans="1:7" ht="61.15" customHeight="1" x14ac:dyDescent="0.2">
      <c r="A7" s="2674" t="s">
        <v>2150</v>
      </c>
      <c r="B7" s="2674"/>
      <c r="C7" s="2674"/>
      <c r="D7" s="2674"/>
      <c r="E7" s="2674"/>
      <c r="F7" s="2674"/>
    </row>
    <row r="8" spans="1:7" ht="12" customHeight="1" x14ac:dyDescent="0.2">
      <c r="A8" s="1273"/>
      <c r="B8" s="1279"/>
      <c r="C8" s="1279"/>
      <c r="D8" s="1279"/>
    </row>
    <row r="9" spans="1:7" ht="15" customHeight="1" x14ac:dyDescent="0.2">
      <c r="A9" s="1274" t="s">
        <v>1832</v>
      </c>
      <c r="B9" s="1277"/>
      <c r="C9" s="1277"/>
      <c r="D9" s="1277"/>
      <c r="E9" s="1275"/>
      <c r="F9" s="1275"/>
      <c r="G9" s="1275"/>
    </row>
    <row r="10" spans="1:7" ht="15" customHeight="1" x14ac:dyDescent="0.2">
      <c r="A10" s="1276" t="s">
        <v>1628</v>
      </c>
      <c r="B10" s="1277"/>
      <c r="C10" s="1278"/>
      <c r="D10" s="1277" t="s">
        <v>1629</v>
      </c>
      <c r="E10" s="1278" t="s">
        <v>2091</v>
      </c>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26.25" customHeight="1" x14ac:dyDescent="0.2">
      <c r="A13" s="2674" t="s">
        <v>2151</v>
      </c>
      <c r="B13" s="2674"/>
      <c r="C13" s="2674"/>
      <c r="D13" s="2674"/>
      <c r="E13" s="2674"/>
      <c r="F13" s="2674"/>
    </row>
    <row r="14" spans="1:7" ht="9.75" customHeight="1" x14ac:dyDescent="0.2">
      <c r="C14" s="1257"/>
      <c r="D14" s="1257"/>
    </row>
    <row r="15" spans="1:7" ht="13.5" customHeight="1" x14ac:dyDescent="0.2">
      <c r="C15" s="1868" t="s">
        <v>1332</v>
      </c>
      <c r="D15" s="2679" t="s">
        <v>1331</v>
      </c>
      <c r="E15" s="2679"/>
      <c r="F15" s="2679"/>
    </row>
    <row r="16" spans="1:7" ht="13.5" customHeight="1" x14ac:dyDescent="0.2">
      <c r="A16" s="1279"/>
      <c r="B16" s="1273" t="s">
        <v>1330</v>
      </c>
      <c r="C16" s="1868" t="s">
        <v>1329</v>
      </c>
      <c r="D16" s="2680" t="s">
        <v>1670</v>
      </c>
      <c r="E16" s="2680"/>
      <c r="F16" s="2680"/>
    </row>
    <row r="17" spans="1:6" ht="20.45" customHeight="1" x14ac:dyDescent="0.2">
      <c r="A17" s="1280"/>
      <c r="B17" s="1281" t="s">
        <v>2120</v>
      </c>
      <c r="C17" s="1282">
        <v>84.027000000000001</v>
      </c>
      <c r="D17" s="2678">
        <v>107573</v>
      </c>
      <c r="E17" s="2678"/>
      <c r="F17" s="2678"/>
    </row>
    <row r="18" spans="1:6" ht="20.65" customHeight="1" x14ac:dyDescent="0.2">
      <c r="A18" s="1280"/>
      <c r="B18" s="1281" t="s">
        <v>2121</v>
      </c>
      <c r="C18" s="1282">
        <v>84.027000000000001</v>
      </c>
      <c r="D18" s="2678">
        <v>1690</v>
      </c>
      <c r="E18" s="2678"/>
      <c r="F18" s="2678"/>
    </row>
    <row r="19" spans="1:6" ht="20.65" customHeight="1" x14ac:dyDescent="0.2">
      <c r="A19" s="1280"/>
      <c r="B19" s="1281" t="s">
        <v>2122</v>
      </c>
      <c r="C19" s="1282">
        <v>84.027000000000001</v>
      </c>
      <c r="D19" s="2678">
        <v>3286</v>
      </c>
      <c r="E19" s="2678"/>
      <c r="F19" s="2678"/>
    </row>
    <row r="20" spans="1:6" ht="20.65" hidden="1" customHeight="1" x14ac:dyDescent="0.2">
      <c r="A20" s="1280"/>
      <c r="B20" s="1281"/>
      <c r="C20" s="1282"/>
      <c r="D20" s="2678"/>
      <c r="E20" s="2678"/>
      <c r="F20" s="2678"/>
    </row>
    <row r="21" spans="1:6" ht="20.65" hidden="1" customHeight="1" x14ac:dyDescent="0.2">
      <c r="A21" s="1280"/>
      <c r="B21" s="1281"/>
      <c r="C21" s="1282"/>
      <c r="D21" s="2678"/>
      <c r="E21" s="2678"/>
      <c r="F21" s="2678"/>
    </row>
    <row r="22" spans="1:6" ht="20.65" hidden="1" customHeight="1" x14ac:dyDescent="0.2">
      <c r="A22" s="1280"/>
      <c r="B22" s="1281"/>
      <c r="C22" s="1282"/>
      <c r="D22" s="2678"/>
      <c r="E22" s="2678"/>
      <c r="F22" s="2678"/>
    </row>
    <row r="23" spans="1:6" ht="20.65" hidden="1" customHeight="1" x14ac:dyDescent="0.2">
      <c r="A23" s="1280"/>
      <c r="B23" s="1281"/>
      <c r="C23" s="1282"/>
      <c r="D23" s="2678"/>
      <c r="E23" s="2678"/>
      <c r="F23" s="2678"/>
    </row>
    <row r="24" spans="1:6" ht="20.65" hidden="1" customHeight="1" x14ac:dyDescent="0.2">
      <c r="A24" s="1280"/>
      <c r="B24" s="1281"/>
      <c r="C24" s="1282"/>
      <c r="D24" s="2678"/>
      <c r="E24" s="2678"/>
      <c r="F24" s="2678"/>
    </row>
    <row r="25" spans="1:6" ht="20.65" hidden="1" customHeight="1" x14ac:dyDescent="0.2">
      <c r="A25" s="1280"/>
      <c r="B25" s="1281"/>
      <c r="C25" s="1282"/>
      <c r="D25" s="2678"/>
      <c r="E25" s="2678"/>
      <c r="F25" s="2678"/>
    </row>
    <row r="26" spans="1:6" ht="20.65" hidden="1" customHeight="1" x14ac:dyDescent="0.2">
      <c r="A26" s="1280"/>
      <c r="B26" s="1281"/>
      <c r="C26" s="1282"/>
      <c r="D26" s="2678"/>
      <c r="E26" s="2678"/>
      <c r="F26" s="2678"/>
    </row>
    <row r="27" spans="1:6" ht="20.65" hidden="1" customHeight="1" x14ac:dyDescent="0.2">
      <c r="A27" s="1280"/>
      <c r="B27" s="1281"/>
      <c r="C27" s="1282"/>
      <c r="D27" s="2678"/>
      <c r="E27" s="2678"/>
      <c r="F27" s="2678"/>
    </row>
    <row r="28" spans="1:6" ht="20.65" hidden="1" customHeight="1" x14ac:dyDescent="0.2">
      <c r="A28" s="1280"/>
      <c r="B28" s="1281"/>
      <c r="C28" s="1282"/>
      <c r="D28" s="2678"/>
      <c r="E28" s="2678"/>
      <c r="F28" s="2678"/>
    </row>
    <row r="29" spans="1:6" ht="20.65" hidden="1" customHeight="1" x14ac:dyDescent="0.2">
      <c r="A29" s="1280"/>
      <c r="B29" s="1281"/>
      <c r="C29" s="1282"/>
      <c r="D29" s="2678"/>
      <c r="E29" s="2678"/>
      <c r="F29" s="2678"/>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682" t="s">
        <v>2152</v>
      </c>
      <c r="B32" s="2682"/>
      <c r="C32" s="2682"/>
      <c r="D32" s="2682"/>
      <c r="E32" s="2682"/>
      <c r="F32" s="2682"/>
    </row>
    <row r="33" spans="1:6" ht="13.5" customHeight="1" x14ac:dyDescent="0.2">
      <c r="A33" s="328" t="s">
        <v>1509</v>
      </c>
      <c r="B33" s="328"/>
      <c r="C33" s="1285">
        <v>0</v>
      </c>
      <c r="D33" s="1925"/>
      <c r="E33" s="1283"/>
    </row>
    <row r="34" spans="1:6" ht="13.5" customHeight="1" x14ac:dyDescent="0.2">
      <c r="A34" s="328" t="s">
        <v>1946</v>
      </c>
      <c r="B34" s="328"/>
      <c r="C34" s="1286">
        <v>0</v>
      </c>
      <c r="D34" s="1925" t="s">
        <v>1671</v>
      </c>
      <c r="E34" s="2683">
        <f>+C33+C34</f>
        <v>0</v>
      </c>
      <c r="F34" s="2684"/>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t="s">
        <v>401</v>
      </c>
      <c r="D38" s="1925"/>
      <c r="E38" s="1283"/>
    </row>
    <row r="39" spans="1:6" ht="14.25" customHeight="1" x14ac:dyDescent="0.2">
      <c r="A39" s="328"/>
      <c r="B39" s="328" t="s">
        <v>1511</v>
      </c>
      <c r="C39" s="1289" t="s">
        <v>401</v>
      </c>
      <c r="D39" s="1925"/>
      <c r="E39" s="1283"/>
    </row>
    <row r="40" spans="1:6" ht="14.25" customHeight="1" x14ac:dyDescent="0.2">
      <c r="A40" s="328"/>
      <c r="B40" s="328" t="s">
        <v>1512</v>
      </c>
      <c r="C40" s="1289" t="s">
        <v>401</v>
      </c>
      <c r="D40" s="1925"/>
      <c r="E40" s="1283"/>
    </row>
    <row r="41" spans="1:6" ht="14.25" customHeight="1" x14ac:dyDescent="0.2">
      <c r="A41" s="328"/>
      <c r="B41" s="328" t="s">
        <v>1513</v>
      </c>
      <c r="C41" s="1289" t="s">
        <v>401</v>
      </c>
      <c r="D41" s="1925"/>
      <c r="E41" s="1283"/>
    </row>
    <row r="42" spans="1:6" ht="14.25" customHeight="1" x14ac:dyDescent="0.2">
      <c r="A42" s="328" t="s">
        <v>1514</v>
      </c>
      <c r="B42" s="328"/>
      <c r="C42" s="1923" t="s">
        <v>401</v>
      </c>
      <c r="D42" s="1925"/>
      <c r="E42" s="1283"/>
    </row>
    <row r="43" spans="1:6" ht="14.25" customHeight="1" x14ac:dyDescent="0.2">
      <c r="A43" s="328" t="s">
        <v>1515</v>
      </c>
      <c r="B43" s="328"/>
      <c r="C43" s="1290" t="s">
        <v>593</v>
      </c>
      <c r="D43" s="1925"/>
      <c r="E43" s="1283"/>
    </row>
    <row r="44" spans="1:6" ht="14.25" customHeight="1" x14ac:dyDescent="0.2">
      <c r="A44" s="328"/>
      <c r="B44" s="328"/>
      <c r="C44" s="1927" t="s">
        <v>1516</v>
      </c>
      <c r="D44" s="1925"/>
      <c r="E44" s="1283"/>
    </row>
    <row r="45" spans="1:6" ht="13.5" customHeight="1" x14ac:dyDescent="0.2">
      <c r="B45" s="322"/>
      <c r="C45" s="1291"/>
      <c r="D45" s="1291"/>
    </row>
    <row r="46" spans="1:6" ht="13.5" customHeight="1" x14ac:dyDescent="0.2">
      <c r="A46" s="1273" t="s">
        <v>2153</v>
      </c>
      <c r="B46" s="322"/>
      <c r="C46" s="1291"/>
      <c r="D46" s="1291"/>
    </row>
    <row r="47" spans="1:6" s="1279" customFormat="1" ht="13.5" customHeight="1" x14ac:dyDescent="0.2">
      <c r="A47" s="1279" t="s">
        <v>2159</v>
      </c>
      <c r="B47" s="328"/>
      <c r="C47" s="1284"/>
      <c r="D47" s="1284"/>
    </row>
    <row r="48" spans="1:6" s="1279" customFormat="1" ht="13.5" customHeight="1" x14ac:dyDescent="0.2">
      <c r="B48" s="328"/>
      <c r="C48" s="1284"/>
      <c r="D48" s="1284"/>
    </row>
    <row r="49" spans="1:6" s="1279" customFormat="1" ht="13.5" customHeight="1" x14ac:dyDescent="0.2">
      <c r="A49" s="1273" t="s">
        <v>2154</v>
      </c>
      <c r="B49" s="328"/>
      <c r="C49" s="1284"/>
      <c r="D49" s="1284"/>
    </row>
    <row r="50" spans="1:6" s="1279" customFormat="1" ht="13.5" customHeight="1" x14ac:dyDescent="0.2">
      <c r="A50" s="1279" t="s">
        <v>2155</v>
      </c>
      <c r="B50" s="328"/>
      <c r="C50" s="1284"/>
      <c r="D50" s="1284"/>
    </row>
    <row r="51" spans="1:6" s="1279" customFormat="1" ht="13.5" customHeight="1" x14ac:dyDescent="0.2">
      <c r="A51" s="1279" t="s">
        <v>2156</v>
      </c>
      <c r="B51" s="328"/>
      <c r="C51" s="1284"/>
      <c r="D51" s="1284"/>
    </row>
    <row r="52" spans="1:6" s="1279" customFormat="1" ht="13.5" customHeight="1" x14ac:dyDescent="0.2">
      <c r="A52" s="1279" t="s">
        <v>2157</v>
      </c>
      <c r="B52" s="328"/>
      <c r="C52" s="1284"/>
      <c r="D52" s="1284"/>
    </row>
    <row r="53" spans="1:6" s="1279" customFormat="1" ht="13.5" customHeight="1" x14ac:dyDescent="0.2">
      <c r="A53" s="1279" t="s">
        <v>2158</v>
      </c>
      <c r="B53" s="328"/>
      <c r="C53" s="1284"/>
      <c r="D53" s="1284"/>
    </row>
    <row r="54" spans="1:6" s="1279" customFormat="1" ht="13.5" customHeight="1" x14ac:dyDescent="0.2">
      <c r="B54" s="328"/>
      <c r="C54" s="1284"/>
      <c r="D54" s="1284"/>
    </row>
    <row r="55" spans="1:6" x14ac:dyDescent="0.2">
      <c r="A55" s="1292" t="s">
        <v>1833</v>
      </c>
      <c r="C55" s="317"/>
      <c r="D55" s="317"/>
    </row>
    <row r="56" spans="1:6" s="322" customFormat="1" ht="11.25" customHeight="1" x14ac:dyDescent="0.2">
      <c r="A56" s="1293"/>
      <c r="B56" s="1294"/>
      <c r="C56" s="1294"/>
      <c r="D56" s="1294"/>
      <c r="E56" s="1294"/>
      <c r="F56" s="1294"/>
    </row>
    <row r="57" spans="1:6" s="322" customFormat="1" ht="6" customHeight="1" x14ac:dyDescent="0.2">
      <c r="A57" s="1295"/>
    </row>
    <row r="58" spans="1:6" s="1297" customFormat="1" ht="23.45" customHeight="1" x14ac:dyDescent="0.2">
      <c r="A58" s="1296">
        <v>5</v>
      </c>
      <c r="B58" s="2685" t="s">
        <v>1672</v>
      </c>
      <c r="C58" s="2685"/>
      <c r="D58" s="2685"/>
      <c r="E58" s="1396"/>
    </row>
    <row r="59" spans="1:6" s="1297" customFormat="1" ht="3.75" customHeight="1" x14ac:dyDescent="0.2">
      <c r="A59" s="1296"/>
      <c r="B59" s="1867"/>
      <c r="C59" s="1867"/>
      <c r="D59" s="1867"/>
      <c r="E59" s="1396"/>
    </row>
    <row r="60" spans="1:6" s="1297" customFormat="1" ht="20.25" customHeight="1" x14ac:dyDescent="0.2">
      <c r="A60" s="1298">
        <v>6</v>
      </c>
      <c r="B60" s="2681" t="s">
        <v>1632</v>
      </c>
      <c r="C60" s="2681"/>
      <c r="D60" s="2681"/>
    </row>
    <row r="61" spans="1:6" ht="14.25" customHeight="1" x14ac:dyDescent="0.2">
      <c r="A61" s="1298"/>
      <c r="B61" s="2681"/>
      <c r="C61" s="2681"/>
      <c r="D61" s="2681"/>
    </row>
  </sheetData>
  <mergeCells count="26">
    <mergeCell ref="B60:D60"/>
    <mergeCell ref="B61:D61"/>
    <mergeCell ref="D27:F27"/>
    <mergeCell ref="D28:F28"/>
    <mergeCell ref="D29:F29"/>
    <mergeCell ref="A32:F32"/>
    <mergeCell ref="E34:F34"/>
    <mergeCell ref="B58:D58"/>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90" t="str">
        <f>'Single Audit Cover'!A7</f>
        <v>West Central Illinois Special Education Coop</v>
      </c>
      <c r="C1" s="2691"/>
      <c r="D1" s="2691"/>
      <c r="E1" s="2691"/>
      <c r="F1" s="2691"/>
      <c r="G1" s="2691"/>
      <c r="H1" s="2691"/>
      <c r="I1" s="2691"/>
      <c r="J1" s="1419"/>
    </row>
    <row r="2" spans="2:10" s="317" customFormat="1" ht="12.75" customHeight="1" x14ac:dyDescent="0.2">
      <c r="B2" s="2692">
        <f>'Single Audit Cover'!E7</f>
        <v>26062000061</v>
      </c>
      <c r="C2" s="2693"/>
      <c r="D2" s="2693"/>
      <c r="E2" s="2693"/>
      <c r="F2" s="2693"/>
      <c r="G2" s="2693"/>
      <c r="H2" s="2693"/>
      <c r="I2" s="2693"/>
      <c r="J2" s="1419"/>
    </row>
    <row r="3" spans="2:10" s="317" customFormat="1" ht="12.75" customHeight="1" x14ac:dyDescent="0.2">
      <c r="B3" s="2694" t="s">
        <v>1347</v>
      </c>
      <c r="C3" s="2695"/>
      <c r="D3" s="2695"/>
      <c r="E3" s="2695"/>
      <c r="F3" s="2695"/>
      <c r="G3" s="2695"/>
      <c r="H3" s="2695"/>
      <c r="I3" s="2695"/>
      <c r="J3" s="1420"/>
    </row>
    <row r="4" spans="2:10" s="317" customFormat="1" ht="12.75" customHeight="1" x14ac:dyDescent="0.2">
      <c r="B4" s="2694" t="str">
        <f>'Single Audit Cover'!A4</f>
        <v>Year Ending June 30, 2018</v>
      </c>
      <c r="C4" s="2695"/>
      <c r="D4" s="2695"/>
      <c r="E4" s="2695"/>
      <c r="F4" s="2695"/>
      <c r="G4" s="2695"/>
      <c r="H4" s="2695"/>
      <c r="I4" s="2695"/>
    </row>
    <row r="5" spans="2:10" s="317" customFormat="1" ht="6.4" customHeight="1" x14ac:dyDescent="0.2">
      <c r="B5" s="1421" t="s">
        <v>1231</v>
      </c>
      <c r="C5" s="1291"/>
      <c r="D5" s="1291"/>
      <c r="E5" s="1380"/>
      <c r="F5" s="322"/>
      <c r="G5" s="322"/>
      <c r="H5" s="322"/>
      <c r="I5" s="322"/>
    </row>
    <row r="6" spans="2:10" s="317" customFormat="1" ht="6.4" customHeight="1" x14ac:dyDescent="0.2">
      <c r="B6" s="1422"/>
      <c r="C6" s="1376"/>
      <c r="D6" s="1376"/>
      <c r="E6" s="1377"/>
      <c r="F6" s="1376"/>
      <c r="G6" s="1376"/>
      <c r="H6" s="1376"/>
      <c r="I6" s="1376"/>
    </row>
    <row r="7" spans="2:10" s="317" customFormat="1" ht="13.5" customHeight="1" x14ac:dyDescent="0.2">
      <c r="B7" s="2694" t="s">
        <v>1346</v>
      </c>
      <c r="C7" s="2695"/>
      <c r="D7" s="2695"/>
      <c r="E7" s="2695"/>
      <c r="F7" s="2695"/>
      <c r="G7" s="2695"/>
      <c r="H7" s="2695"/>
      <c r="I7" s="2695"/>
    </row>
    <row r="8" spans="2:10" s="317" customFormat="1" ht="6.4" customHeight="1" x14ac:dyDescent="0.2">
      <c r="B8" s="1423" t="s">
        <v>1231</v>
      </c>
      <c r="C8" s="1424"/>
      <c r="D8" s="1424"/>
      <c r="E8" s="1425"/>
      <c r="F8" s="1424"/>
      <c r="G8" s="1424"/>
      <c r="H8" s="1424"/>
      <c r="I8" s="1424"/>
    </row>
    <row r="9" spans="2:10" s="317" customFormat="1" ht="9.1999999999999993"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696" t="s">
        <v>1226</v>
      </c>
      <c r="D11" s="2696"/>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t="s">
        <v>2091</v>
      </c>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t="s">
        <v>2091</v>
      </c>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t="s">
        <v>2091</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t="s">
        <v>2091</v>
      </c>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t="s">
        <v>2091</v>
      </c>
      <c r="H27" s="1297" t="s">
        <v>1338</v>
      </c>
      <c r="I27" s="1297"/>
    </row>
    <row r="28" spans="2:9" s="317" customFormat="1" ht="12.75" customHeight="1" x14ac:dyDescent="0.2">
      <c r="B28" s="1365"/>
      <c r="C28" s="1279"/>
      <c r="E28" s="1255"/>
    </row>
    <row r="29" spans="2:9" s="317" customFormat="1" ht="12.75" customHeight="1" x14ac:dyDescent="0.2">
      <c r="B29" s="1365" t="s">
        <v>1337</v>
      </c>
      <c r="C29" s="1279"/>
      <c r="D29" s="2697" t="s">
        <v>2131</v>
      </c>
      <c r="E29" s="2697"/>
      <c r="F29" s="2697"/>
      <c r="G29" s="2697"/>
      <c r="H29" s="2697"/>
      <c r="I29" s="2697"/>
    </row>
    <row r="30" spans="2:9" s="317" customFormat="1" x14ac:dyDescent="0.2">
      <c r="B30" s="1365"/>
      <c r="C30" s="322"/>
      <c r="D30" s="1430" t="s">
        <v>1848</v>
      </c>
      <c r="E30" s="1431"/>
      <c r="F30" s="1431"/>
      <c r="G30" s="1431"/>
      <c r="H30" s="1431"/>
      <c r="I30" s="1431"/>
    </row>
    <row r="31" spans="2:9" s="317" customFormat="1" ht="10.15" customHeight="1" x14ac:dyDescent="0.2">
      <c r="B31" s="1365"/>
      <c r="E31" s="1255"/>
    </row>
    <row r="32" spans="2:9" s="317" customFormat="1" x14ac:dyDescent="0.2">
      <c r="B32" s="1365" t="s">
        <v>1336</v>
      </c>
      <c r="C32" s="1279"/>
      <c r="E32" s="1255"/>
    </row>
    <row r="33" spans="2:9" ht="13.5" customHeight="1" x14ac:dyDescent="0.2">
      <c r="B33" s="1365" t="s">
        <v>1633</v>
      </c>
      <c r="C33" s="1279"/>
      <c r="E33" s="1435" t="s">
        <v>2091</v>
      </c>
      <c r="F33" s="1297" t="s">
        <v>940</v>
      </c>
      <c r="G33" s="1435"/>
      <c r="H33" s="1297" t="s">
        <v>101</v>
      </c>
    </row>
    <row r="35" spans="2:9" x14ac:dyDescent="0.2">
      <c r="B35" s="1438" t="s">
        <v>1849</v>
      </c>
      <c r="C35" s="1439"/>
      <c r="D35" s="1264"/>
    </row>
    <row r="36" spans="2:9" ht="6" customHeight="1" x14ac:dyDescent="0.2">
      <c r="B36" s="1438"/>
      <c r="C36" s="1439"/>
      <c r="D36" s="1264"/>
    </row>
    <row r="37" spans="2:9" ht="17.25" customHeight="1" x14ac:dyDescent="0.2">
      <c r="B37" s="1440" t="s">
        <v>1850</v>
      </c>
      <c r="C37" s="2698" t="s">
        <v>1851</v>
      </c>
      <c r="D37" s="2699"/>
      <c r="E37" s="2699"/>
      <c r="F37" s="2700"/>
      <c r="G37" s="2698" t="s">
        <v>1674</v>
      </c>
      <c r="H37" s="2699"/>
      <c r="I37" s="2700"/>
    </row>
    <row r="38" spans="2:9" ht="16.5" customHeight="1" x14ac:dyDescent="0.2">
      <c r="B38" s="1441" t="s">
        <v>2132</v>
      </c>
      <c r="C38" s="2686" t="s">
        <v>2133</v>
      </c>
      <c r="D38" s="2687"/>
      <c r="E38" s="2687"/>
      <c r="F38" s="2688"/>
      <c r="G38" s="2701">
        <v>3795288</v>
      </c>
      <c r="H38" s="2702"/>
      <c r="I38" s="2703"/>
    </row>
    <row r="39" spans="2:9" ht="16.5" customHeight="1" x14ac:dyDescent="0.2">
      <c r="B39" s="1441"/>
      <c r="C39" s="2686"/>
      <c r="D39" s="2687"/>
      <c r="E39" s="2687"/>
      <c r="F39" s="2688"/>
      <c r="G39" s="2689"/>
      <c r="H39" s="2689"/>
      <c r="I39" s="2689"/>
    </row>
    <row r="40" spans="2:9" ht="16.5" hidden="1" customHeight="1" x14ac:dyDescent="0.2">
      <c r="B40" s="1441"/>
      <c r="C40" s="2686"/>
      <c r="D40" s="2687"/>
      <c r="E40" s="2687"/>
      <c r="F40" s="2688"/>
      <c r="G40" s="2689"/>
      <c r="H40" s="2689"/>
      <c r="I40" s="2689"/>
    </row>
    <row r="41" spans="2:9" ht="16.5" hidden="1" customHeight="1" x14ac:dyDescent="0.2">
      <c r="B41" s="1441"/>
      <c r="C41" s="2686"/>
      <c r="D41" s="2687"/>
      <c r="E41" s="2687"/>
      <c r="F41" s="2688"/>
      <c r="G41" s="2689"/>
      <c r="H41" s="2689"/>
      <c r="I41" s="2689"/>
    </row>
    <row r="42" spans="2:9" ht="16.5" customHeight="1" x14ac:dyDescent="0.2">
      <c r="B42" s="1441"/>
      <c r="C42" s="2686"/>
      <c r="D42" s="2687"/>
      <c r="E42" s="2687"/>
      <c r="F42" s="2688"/>
      <c r="G42" s="2689"/>
      <c r="H42" s="2689"/>
      <c r="I42" s="2689"/>
    </row>
    <row r="43" spans="2:9" ht="16.5" customHeight="1" x14ac:dyDescent="0.2">
      <c r="B43" s="1441"/>
      <c r="C43" s="2704" t="s">
        <v>1675</v>
      </c>
      <c r="D43" s="2705"/>
      <c r="E43" s="2705"/>
      <c r="F43" s="2706"/>
      <c r="G43" s="2707">
        <f>SUM(G38:I42)</f>
        <v>3795288</v>
      </c>
      <c r="H43" s="2707"/>
      <c r="I43" s="2707"/>
    </row>
    <row r="44" spans="2:9" ht="12.75" customHeight="1" x14ac:dyDescent="0.2"/>
    <row r="45" spans="2:9" ht="12.75" customHeight="1" x14ac:dyDescent="0.2">
      <c r="B45" s="1432" t="s">
        <v>1949</v>
      </c>
      <c r="D45" s="2708">
        <v>3927209</v>
      </c>
      <c r="E45" s="2709"/>
    </row>
    <row r="46" spans="2:9" ht="5.45" customHeight="1" x14ac:dyDescent="0.2">
      <c r="B46" s="1442"/>
      <c r="D46" s="1443"/>
      <c r="E46" s="1444"/>
    </row>
    <row r="47" spans="2:9" ht="12.75" customHeight="1" x14ac:dyDescent="0.2">
      <c r="B47" s="1297" t="s">
        <v>1676</v>
      </c>
      <c r="C47" s="1297"/>
      <c r="D47" s="1445">
        <f>+G43/D45</f>
        <v>0.96640845954467913</v>
      </c>
      <c r="E47" s="1446"/>
      <c r="F47" s="1447"/>
      <c r="I47" s="1448"/>
    </row>
    <row r="48" spans="2:9" ht="10.15" customHeight="1" x14ac:dyDescent="0.2"/>
    <row r="49" spans="1:9" x14ac:dyDescent="0.2">
      <c r="B49" s="1365" t="s">
        <v>1335</v>
      </c>
      <c r="C49" s="1279"/>
      <c r="D49" s="1279"/>
      <c r="E49" s="2710">
        <v>750000</v>
      </c>
      <c r="F49" s="2710"/>
      <c r="G49" s="2710"/>
      <c r="H49" s="322"/>
    </row>
    <row r="51" spans="1:9" ht="13.5" customHeight="1" x14ac:dyDescent="0.2">
      <c r="B51" s="1365" t="s">
        <v>1334</v>
      </c>
      <c r="C51" s="1279"/>
      <c r="E51" s="1435"/>
      <c r="F51" s="1297" t="s">
        <v>940</v>
      </c>
      <c r="G51" s="1435" t="s">
        <v>2091</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1852</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4.3499999999999996" customHeight="1" x14ac:dyDescent="0.2">
      <c r="A57" s="1455"/>
      <c r="B57" s="1459"/>
      <c r="C57" s="1455"/>
      <c r="D57" s="1455"/>
    </row>
    <row r="58" spans="1:9" s="1458" customFormat="1" ht="13.5" customHeight="1" x14ac:dyDescent="0.2">
      <c r="A58" s="1455"/>
      <c r="B58" s="1460" t="s">
        <v>1853</v>
      </c>
      <c r="C58" s="1461"/>
      <c r="D58" s="1461"/>
    </row>
    <row r="59" spans="1:9" s="1458" customFormat="1" ht="4.3499999999999996" customHeight="1" x14ac:dyDescent="0.2">
      <c r="A59" s="1455"/>
      <c r="B59" s="1460"/>
      <c r="C59" s="1461"/>
      <c r="D59" s="1461"/>
    </row>
    <row r="60" spans="1:9" s="1458" customFormat="1" ht="13.5" customHeight="1" x14ac:dyDescent="0.2">
      <c r="A60" s="1455"/>
      <c r="B60" s="1460" t="s">
        <v>1854</v>
      </c>
      <c r="C60" s="1461"/>
      <c r="D60" s="1461"/>
    </row>
    <row r="61" spans="1:9" s="1458" customFormat="1" ht="4.3499999999999996" customHeight="1" x14ac:dyDescent="0.2">
      <c r="A61" s="1455"/>
      <c r="B61" s="1460"/>
      <c r="C61" s="1461"/>
      <c r="D61" s="1461"/>
    </row>
    <row r="62" spans="1:9" s="1458" customFormat="1" ht="12.75" customHeight="1" x14ac:dyDescent="0.2">
      <c r="A62" s="1455"/>
      <c r="B62" s="1460" t="s">
        <v>1855</v>
      </c>
      <c r="C62" s="1461"/>
      <c r="D62" s="1461"/>
    </row>
    <row r="63" spans="1:9" s="1458" customFormat="1" ht="13.5" customHeight="1" x14ac:dyDescent="0.2">
      <c r="A63" s="1455"/>
      <c r="B63" s="1459" t="s">
        <v>1679</v>
      </c>
      <c r="C63" s="1455"/>
      <c r="D63" s="145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90" t="str">
        <f>'Single Audit Cover'!A7</f>
        <v>West Central Illinois Special Education Coop</v>
      </c>
      <c r="C1" s="2690"/>
      <c r="D1" s="2690"/>
      <c r="E1" s="2690"/>
      <c r="F1" s="2690"/>
      <c r="G1" s="2690"/>
      <c r="H1" s="2690"/>
      <c r="I1" s="2690"/>
      <c r="J1" s="2690"/>
      <c r="K1" s="2690"/>
      <c r="L1" s="1371"/>
      <c r="M1" s="1371"/>
    </row>
    <row r="2" spans="1:13" ht="12" customHeight="1" x14ac:dyDescent="0.2">
      <c r="B2" s="2692">
        <f>'Single Audit Cover'!E7</f>
        <v>26062000061</v>
      </c>
      <c r="C2" s="2692"/>
      <c r="D2" s="2692"/>
      <c r="E2" s="2692"/>
      <c r="F2" s="2692"/>
      <c r="G2" s="2692"/>
      <c r="H2" s="2692"/>
      <c r="I2" s="2692"/>
      <c r="J2" s="2692"/>
      <c r="K2" s="2692"/>
      <c r="L2" s="1372"/>
      <c r="M2" s="1373"/>
    </row>
    <row r="3" spans="1:13" ht="10.35" customHeight="1" x14ac:dyDescent="0.2">
      <c r="B3" s="2713" t="s">
        <v>1347</v>
      </c>
      <c r="C3" s="2713"/>
      <c r="D3" s="2713"/>
      <c r="E3" s="2713"/>
      <c r="F3" s="2713"/>
      <c r="G3" s="2713"/>
      <c r="H3" s="2713"/>
      <c r="I3" s="2713"/>
      <c r="J3" s="2713"/>
      <c r="K3" s="2713"/>
      <c r="L3" s="1374"/>
      <c r="M3" s="1374"/>
    </row>
    <row r="4" spans="1:13" ht="14.25" customHeight="1" x14ac:dyDescent="0.2">
      <c r="B4" s="2714" t="str">
        <f>'Single Audit Cover'!A4</f>
        <v>Year Ending June 30, 2018</v>
      </c>
      <c r="C4" s="2714"/>
      <c r="D4" s="2714"/>
      <c r="E4" s="2714"/>
      <c r="F4" s="2714"/>
      <c r="G4" s="2714"/>
      <c r="H4" s="2714"/>
      <c r="I4" s="2714"/>
      <c r="J4" s="2714"/>
      <c r="K4" s="2714"/>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714" t="s">
        <v>1363</v>
      </c>
      <c r="C7" s="2714"/>
      <c r="D7" s="2715"/>
      <c r="E7" s="2715"/>
      <c r="F7" s="2715"/>
      <c r="G7" s="2715"/>
      <c r="H7" s="2715"/>
      <c r="I7" s="2715"/>
      <c r="J7" s="2715"/>
      <c r="K7" s="271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1950</v>
      </c>
      <c r="D10" s="1383">
        <v>1</v>
      </c>
      <c r="E10" s="322"/>
      <c r="F10" s="1384" t="s">
        <v>1362</v>
      </c>
      <c r="G10" s="1385" t="s">
        <v>2074</v>
      </c>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712" t="s">
        <v>2111</v>
      </c>
      <c r="C14" s="2712"/>
      <c r="D14" s="2712"/>
      <c r="E14" s="2712"/>
      <c r="F14" s="2712"/>
      <c r="G14" s="2712"/>
      <c r="H14" s="2712"/>
      <c r="I14" s="2712"/>
      <c r="J14" s="2712"/>
      <c r="K14" s="271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712" t="s">
        <v>2112</v>
      </c>
      <c r="C17" s="2712"/>
      <c r="D17" s="2712"/>
      <c r="E17" s="2712"/>
      <c r="F17" s="2712"/>
      <c r="G17" s="2712"/>
      <c r="H17" s="2712"/>
      <c r="I17" s="2712"/>
      <c r="J17" s="2712"/>
      <c r="K17" s="2712"/>
      <c r="L17" s="1378"/>
    </row>
    <row r="18" spans="2:12" ht="4.5" customHeight="1" x14ac:dyDescent="0.2">
      <c r="B18" s="1395"/>
      <c r="C18" s="1395"/>
      <c r="L18" s="1378"/>
    </row>
    <row r="19" spans="2:12" s="1279" customFormat="1" ht="13.5" customHeight="1" x14ac:dyDescent="0.2">
      <c r="B19" s="1390" t="s">
        <v>1843</v>
      </c>
      <c r="C19" s="1390"/>
      <c r="D19" s="1391"/>
      <c r="E19" s="1391"/>
      <c r="F19" s="1391"/>
      <c r="G19" s="1392"/>
      <c r="H19" s="1391"/>
      <c r="I19" s="1392"/>
      <c r="J19" s="1391"/>
      <c r="K19" s="1391"/>
      <c r="L19" s="1393"/>
    </row>
    <row r="20" spans="2:12" ht="45.75" customHeight="1" x14ac:dyDescent="0.2">
      <c r="B20" s="2716" t="s">
        <v>2113</v>
      </c>
      <c r="C20" s="2716"/>
      <c r="D20" s="2712"/>
      <c r="E20" s="2712"/>
      <c r="F20" s="2712"/>
      <c r="G20" s="2712"/>
      <c r="H20" s="2712"/>
      <c r="I20" s="2712"/>
      <c r="J20" s="2712"/>
      <c r="K20" s="2712"/>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2" customHeight="1" x14ac:dyDescent="0.2">
      <c r="B23" s="2712" t="s">
        <v>2114</v>
      </c>
      <c r="C23" s="2712"/>
      <c r="D23" s="2712"/>
      <c r="E23" s="2712"/>
      <c r="F23" s="2712"/>
      <c r="G23" s="2712"/>
      <c r="H23" s="2712"/>
      <c r="I23" s="2712"/>
      <c r="J23" s="2712"/>
      <c r="K23" s="2712"/>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712" t="s">
        <v>2115</v>
      </c>
      <c r="C26" s="2712"/>
      <c r="D26" s="2712"/>
      <c r="E26" s="2712"/>
      <c r="F26" s="2712"/>
      <c r="G26" s="2712"/>
      <c r="H26" s="2712"/>
      <c r="I26" s="2712"/>
      <c r="J26" s="2712"/>
      <c r="K26" s="2712"/>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711" t="s">
        <v>2116</v>
      </c>
      <c r="C29" s="2711"/>
      <c r="D29" s="2712"/>
      <c r="E29" s="2712"/>
      <c r="F29" s="2712"/>
      <c r="G29" s="2712"/>
      <c r="H29" s="2712"/>
      <c r="I29" s="2712"/>
      <c r="J29" s="2712"/>
      <c r="K29" s="271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44.25" customHeight="1" x14ac:dyDescent="0.2">
      <c r="B32" s="2711" t="s">
        <v>2123</v>
      </c>
      <c r="C32" s="2711"/>
      <c r="D32" s="2712"/>
      <c r="E32" s="2712"/>
      <c r="F32" s="2712"/>
      <c r="G32" s="2712"/>
      <c r="H32" s="2712"/>
      <c r="I32" s="2712"/>
      <c r="J32" s="2712"/>
      <c r="K32" s="2712"/>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1951</v>
      </c>
      <c r="C36" s="1297"/>
      <c r="L36" s="1378"/>
    </row>
    <row r="37" spans="1:13" ht="9.6" customHeight="1" x14ac:dyDescent="0.2">
      <c r="B37" s="1297" t="s">
        <v>1952</v>
      </c>
      <c r="C37" s="1297"/>
    </row>
    <row r="38" spans="1:13" ht="11.85" customHeight="1" x14ac:dyDescent="0.2">
      <c r="B38" s="1417" t="s">
        <v>1846</v>
      </c>
      <c r="C38" s="1417"/>
    </row>
    <row r="39" spans="1:13" ht="9.6" customHeight="1" x14ac:dyDescent="0.2">
      <c r="B39" s="1297" t="s">
        <v>1348</v>
      </c>
      <c r="C39" s="1297"/>
      <c r="M39" s="1418"/>
    </row>
    <row r="40" spans="1:13" ht="12.75" customHeight="1" x14ac:dyDescent="0.2">
      <c r="B40" s="1417" t="s">
        <v>1847</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717" t="str">
        <f>'Single Audit Cover'!A7</f>
        <v>West Central Illinois Special Education Coop</v>
      </c>
      <c r="C1" s="2717"/>
      <c r="D1" s="2717"/>
      <c r="E1" s="2717"/>
      <c r="F1" s="2717"/>
      <c r="G1" s="2717"/>
      <c r="H1" s="2717"/>
      <c r="I1" s="2717"/>
      <c r="J1" s="2717"/>
      <c r="K1" s="2717"/>
      <c r="L1" s="1462"/>
    </row>
    <row r="2" spans="1:12" ht="12.75" customHeight="1" x14ac:dyDescent="0.2">
      <c r="B2" s="2718">
        <f>'Single Audit Cover'!E7</f>
        <v>26062000061</v>
      </c>
      <c r="C2" s="2718"/>
      <c r="D2" s="2718"/>
      <c r="E2" s="2718"/>
      <c r="F2" s="2718"/>
      <c r="G2" s="2718"/>
      <c r="H2" s="2718"/>
      <c r="I2" s="2718"/>
      <c r="J2" s="2718"/>
      <c r="K2" s="2718"/>
      <c r="L2" s="1463"/>
    </row>
    <row r="3" spans="1:12" ht="12.75" customHeight="1" x14ac:dyDescent="0.2">
      <c r="B3" s="2713" t="s">
        <v>1347</v>
      </c>
      <c r="C3" s="2713"/>
      <c r="D3" s="2713"/>
      <c r="E3" s="2713"/>
      <c r="F3" s="2713"/>
      <c r="G3" s="2713"/>
      <c r="H3" s="2713"/>
      <c r="I3" s="2713"/>
      <c r="J3" s="2713"/>
      <c r="K3" s="2713"/>
      <c r="L3" s="1374"/>
    </row>
    <row r="4" spans="1:12" ht="12.75" customHeight="1" x14ac:dyDescent="0.2">
      <c r="B4" s="2713" t="str">
        <f>'Single Audit Cover'!A4</f>
        <v>Year Ending June 30, 2018</v>
      </c>
      <c r="C4" s="2713"/>
      <c r="D4" s="2713"/>
      <c r="E4" s="2713"/>
      <c r="F4" s="2713"/>
      <c r="G4" s="2713"/>
      <c r="H4" s="2713"/>
      <c r="I4" s="2713"/>
      <c r="J4" s="2713"/>
      <c r="K4" s="2713"/>
      <c r="L4" s="1374"/>
    </row>
    <row r="5" spans="1:12" ht="5.45" customHeight="1" x14ac:dyDescent="0.2">
      <c r="B5" s="1257" t="s">
        <v>1231</v>
      </c>
      <c r="C5" s="1257"/>
      <c r="L5" s="322"/>
    </row>
    <row r="6" spans="1:12" ht="30.75" customHeight="1" x14ac:dyDescent="0.2">
      <c r="A6" s="322"/>
      <c r="B6" s="2719" t="s">
        <v>1375</v>
      </c>
      <c r="C6" s="2719"/>
      <c r="D6" s="2719"/>
      <c r="E6" s="2719"/>
      <c r="F6" s="2719"/>
      <c r="G6" s="2719"/>
      <c r="H6" s="2719"/>
      <c r="I6" s="2719"/>
      <c r="J6" s="2719"/>
      <c r="K6" s="2719"/>
      <c r="L6" s="322"/>
    </row>
    <row r="7" spans="1:12" ht="4.5" customHeight="1" x14ac:dyDescent="0.2">
      <c r="B7" s="1376"/>
      <c r="C7" s="1376"/>
      <c r="D7" s="1376"/>
      <c r="E7" s="1376"/>
      <c r="F7" s="1376"/>
      <c r="G7" s="1377"/>
      <c r="H7" s="1376"/>
      <c r="I7" s="1377"/>
      <c r="J7" s="1376"/>
      <c r="K7" s="1376"/>
      <c r="L7" s="322"/>
    </row>
    <row r="8" spans="1:12" ht="13.5" customHeight="1" x14ac:dyDescent="0.2">
      <c r="B8" s="1384" t="s">
        <v>1856</v>
      </c>
      <c r="C8" s="1464" t="s">
        <v>1950</v>
      </c>
      <c r="D8" s="1465">
        <v>2</v>
      </c>
      <c r="E8" s="322"/>
      <c r="F8" s="1381" t="s">
        <v>1362</v>
      </c>
      <c r="G8" s="1466" t="s">
        <v>2074</v>
      </c>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4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697" t="s">
        <v>2101</v>
      </c>
      <c r="G12" s="2697"/>
      <c r="H12" s="2697"/>
      <c r="I12" s="2697"/>
      <c r="J12" s="2697"/>
      <c r="K12" s="2697"/>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720" t="s">
        <v>2102</v>
      </c>
      <c r="E14" s="2720"/>
      <c r="F14" s="2720"/>
      <c r="H14" s="1472" t="s">
        <v>1370</v>
      </c>
      <c r="I14" s="2721">
        <v>84.027000000000001</v>
      </c>
      <c r="J14" s="2721"/>
      <c r="K14" s="2721"/>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721" t="s">
        <v>2103</v>
      </c>
      <c r="E16" s="2721"/>
      <c r="F16" s="2721"/>
      <c r="G16" s="2721"/>
      <c r="H16" s="2721"/>
      <c r="I16" s="2721"/>
      <c r="J16" s="2721"/>
      <c r="K16" s="2721"/>
      <c r="L16" s="322"/>
    </row>
    <row r="17" spans="2:12" ht="13.5" customHeight="1" x14ac:dyDescent="0.2">
      <c r="B17" s="1384" t="s">
        <v>1368</v>
      </c>
      <c r="C17" s="1384"/>
      <c r="D17" s="2722" t="s">
        <v>2104</v>
      </c>
      <c r="E17" s="2722"/>
      <c r="F17" s="2722"/>
      <c r="G17" s="2722"/>
      <c r="H17" s="2722"/>
      <c r="I17" s="2722"/>
      <c r="J17" s="2722"/>
      <c r="K17" s="2722"/>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712" t="s">
        <v>2105</v>
      </c>
      <c r="C20" s="2712"/>
      <c r="D20" s="2712"/>
      <c r="E20" s="2712"/>
      <c r="F20" s="2712"/>
      <c r="G20" s="2712"/>
      <c r="H20" s="2712"/>
      <c r="I20" s="2712"/>
      <c r="J20" s="2712"/>
      <c r="K20" s="2712"/>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1857</v>
      </c>
      <c r="C22" s="1474"/>
      <c r="D22" s="322"/>
      <c r="E22" s="322"/>
      <c r="F22" s="322"/>
      <c r="G22" s="1380"/>
      <c r="H22" s="322"/>
      <c r="I22" s="1380"/>
      <c r="J22" s="322"/>
      <c r="K22" s="322"/>
      <c r="L22" s="322"/>
    </row>
    <row r="23" spans="2:12" ht="37.700000000000003" customHeight="1" x14ac:dyDescent="0.2">
      <c r="B23" s="2712" t="s">
        <v>2124</v>
      </c>
      <c r="C23" s="2712"/>
      <c r="D23" s="2712"/>
      <c r="E23" s="2712"/>
      <c r="F23" s="2712"/>
      <c r="G23" s="2712"/>
      <c r="H23" s="2712"/>
      <c r="I23" s="2712"/>
      <c r="J23" s="2712"/>
      <c r="K23" s="2712"/>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1858</v>
      </c>
      <c r="C25" s="1474"/>
      <c r="D25" s="322"/>
      <c r="E25" s="322"/>
      <c r="F25" s="322"/>
      <c r="G25" s="1380"/>
      <c r="H25" s="322"/>
      <c r="I25" s="1380"/>
      <c r="J25" s="322"/>
      <c r="K25" s="322"/>
      <c r="L25" s="322"/>
    </row>
    <row r="26" spans="2:12" x14ac:dyDescent="0.2">
      <c r="B26" s="2712" t="s">
        <v>2106</v>
      </c>
      <c r="C26" s="2712"/>
      <c r="D26" s="2712"/>
      <c r="E26" s="2712"/>
      <c r="F26" s="2712"/>
      <c r="G26" s="2712"/>
      <c r="H26" s="2712"/>
      <c r="I26" s="2712"/>
      <c r="J26" s="2712"/>
      <c r="K26" s="2712"/>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1859</v>
      </c>
      <c r="C28" s="1474"/>
      <c r="D28" s="322"/>
      <c r="E28" s="322"/>
      <c r="F28" s="322"/>
      <c r="G28" s="1380"/>
      <c r="H28" s="322"/>
      <c r="I28" s="1380"/>
      <c r="J28" s="322"/>
      <c r="K28" s="322"/>
      <c r="L28" s="322"/>
    </row>
    <row r="29" spans="2:12" ht="37.700000000000003" customHeight="1" x14ac:dyDescent="0.2">
      <c r="B29" s="2712" t="s">
        <v>2125</v>
      </c>
      <c r="C29" s="2712"/>
      <c r="D29" s="2712"/>
      <c r="E29" s="2712"/>
      <c r="F29" s="2712"/>
      <c r="G29" s="2712"/>
      <c r="H29" s="2712"/>
      <c r="I29" s="2712"/>
      <c r="J29" s="2712"/>
      <c r="K29" s="2712"/>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x14ac:dyDescent="0.2">
      <c r="B32" s="2712" t="s">
        <v>2107</v>
      </c>
      <c r="C32" s="2712"/>
      <c r="D32" s="2712"/>
      <c r="E32" s="2712"/>
      <c r="F32" s="2712"/>
      <c r="G32" s="2712"/>
      <c r="H32" s="2712"/>
      <c r="I32" s="2712"/>
      <c r="J32" s="2712"/>
      <c r="K32" s="2712"/>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25.15" customHeight="1" x14ac:dyDescent="0.2">
      <c r="B35" s="2712" t="s">
        <v>2126</v>
      </c>
      <c r="C35" s="2712"/>
      <c r="D35" s="2712"/>
      <c r="E35" s="2712"/>
      <c r="F35" s="2712"/>
      <c r="G35" s="2712"/>
      <c r="H35" s="2712"/>
      <c r="I35" s="2712"/>
      <c r="J35" s="2712"/>
      <c r="K35" s="2712"/>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19.7" customHeight="1" x14ac:dyDescent="0.2">
      <c r="B38" s="2712" t="s">
        <v>2108</v>
      </c>
      <c r="C38" s="2712"/>
      <c r="D38" s="2712"/>
      <c r="E38" s="2712"/>
      <c r="F38" s="2712"/>
      <c r="G38" s="2712"/>
      <c r="H38" s="2712"/>
      <c r="I38" s="2712"/>
      <c r="J38" s="2712"/>
      <c r="K38" s="271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1860</v>
      </c>
      <c r="C40" s="1400"/>
      <c r="D40" s="1375"/>
      <c r="E40" s="1376"/>
      <c r="F40" s="1376"/>
      <c r="G40" s="1377"/>
      <c r="H40" s="1376"/>
      <c r="I40" s="1377"/>
      <c r="J40" s="1376"/>
      <c r="K40" s="1376"/>
    </row>
    <row r="41" spans="2:12" s="322" customFormat="1" ht="26.25" customHeight="1" x14ac:dyDescent="0.2">
      <c r="B41" s="2712" t="s">
        <v>2109</v>
      </c>
      <c r="C41" s="2712"/>
      <c r="D41" s="2712"/>
      <c r="E41" s="2712"/>
      <c r="F41" s="2712"/>
      <c r="G41" s="2712"/>
      <c r="H41" s="2712"/>
      <c r="I41" s="2712"/>
      <c r="J41" s="2712"/>
      <c r="K41" s="2712"/>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1861</v>
      </c>
      <c r="C48" s="1416"/>
      <c r="D48" s="322"/>
      <c r="E48" s="322"/>
      <c r="F48" s="322"/>
    </row>
    <row r="49" spans="2:3" s="317" customFormat="1" ht="10.5" customHeight="1" x14ac:dyDescent="0.2">
      <c r="B49" s="1417" t="s">
        <v>1862</v>
      </c>
      <c r="C49" s="1417"/>
    </row>
    <row r="50" spans="2:3" s="317" customFormat="1" ht="11.1" customHeight="1" x14ac:dyDescent="0.2">
      <c r="B50" s="1417" t="s">
        <v>1863</v>
      </c>
      <c r="C50" s="1417"/>
    </row>
    <row r="51" spans="2:3" s="317" customFormat="1" ht="11.1" customHeight="1" x14ac:dyDescent="0.2">
      <c r="B51" s="1417" t="s">
        <v>1864</v>
      </c>
      <c r="C51" s="1417"/>
    </row>
    <row r="52" spans="2:3" s="317" customFormat="1" ht="11.1" customHeight="1" x14ac:dyDescent="0.2">
      <c r="B52" s="1417" t="s">
        <v>1865</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717" t="str">
        <f>'Single Audit Cover'!A7</f>
        <v>West Central Illinois Special Education Coop</v>
      </c>
      <c r="C1" s="2717"/>
      <c r="D1" s="2717"/>
      <c r="E1" s="2717"/>
      <c r="F1" s="2717"/>
      <c r="G1" s="2717"/>
      <c r="H1" s="2717"/>
      <c r="I1" s="2717"/>
      <c r="J1" s="2717"/>
      <c r="K1" s="2717"/>
      <c r="L1" s="1462"/>
    </row>
    <row r="2" spans="1:12" ht="12.75" customHeight="1" x14ac:dyDescent="0.2">
      <c r="B2" s="2718">
        <f>'Single Audit Cover'!E7</f>
        <v>26062000061</v>
      </c>
      <c r="C2" s="2718"/>
      <c r="D2" s="2718"/>
      <c r="E2" s="2718"/>
      <c r="F2" s="2718"/>
      <c r="G2" s="2718"/>
      <c r="H2" s="2718"/>
      <c r="I2" s="2718"/>
      <c r="J2" s="2718"/>
      <c r="K2" s="2718"/>
      <c r="L2" s="1463"/>
    </row>
    <row r="3" spans="1:12" ht="12.75" customHeight="1" x14ac:dyDescent="0.2">
      <c r="B3" s="2713" t="s">
        <v>1347</v>
      </c>
      <c r="C3" s="2713"/>
      <c r="D3" s="2713"/>
      <c r="E3" s="2713"/>
      <c r="F3" s="2713"/>
      <c r="G3" s="2713"/>
      <c r="H3" s="2713"/>
      <c r="I3" s="2713"/>
      <c r="J3" s="2713"/>
      <c r="K3" s="2713"/>
      <c r="L3" s="1953"/>
    </row>
    <row r="4" spans="1:12" ht="12.75" customHeight="1" x14ac:dyDescent="0.2">
      <c r="B4" s="2713" t="str">
        <f>'Single Audit Cover'!A4</f>
        <v>Year Ending June 30, 2018</v>
      </c>
      <c r="C4" s="2713"/>
      <c r="D4" s="2713"/>
      <c r="E4" s="2713"/>
      <c r="F4" s="2713"/>
      <c r="G4" s="2713"/>
      <c r="H4" s="2713"/>
      <c r="I4" s="2713"/>
      <c r="J4" s="2713"/>
      <c r="K4" s="2713"/>
      <c r="L4" s="1953"/>
    </row>
    <row r="5" spans="1:12" ht="5.45" customHeight="1" x14ac:dyDescent="0.2">
      <c r="B5" s="1257" t="s">
        <v>1231</v>
      </c>
      <c r="C5" s="1257"/>
      <c r="L5" s="322"/>
    </row>
    <row r="6" spans="1:12" ht="30.75" customHeight="1" x14ac:dyDescent="0.2">
      <c r="A6" s="322"/>
      <c r="B6" s="2719" t="s">
        <v>1375</v>
      </c>
      <c r="C6" s="2719"/>
      <c r="D6" s="2719"/>
      <c r="E6" s="2719"/>
      <c r="F6" s="2719"/>
      <c r="G6" s="2719"/>
      <c r="H6" s="2719"/>
      <c r="I6" s="2719"/>
      <c r="J6" s="2719"/>
      <c r="K6" s="2719"/>
      <c r="L6" s="322"/>
    </row>
    <row r="7" spans="1:12" ht="4.5" customHeight="1" x14ac:dyDescent="0.2">
      <c r="B7" s="1376"/>
      <c r="C7" s="1376"/>
      <c r="D7" s="1376"/>
      <c r="E7" s="1376"/>
      <c r="F7" s="1376"/>
      <c r="G7" s="1377"/>
      <c r="H7" s="1376"/>
      <c r="I7" s="1377"/>
      <c r="J7" s="1376"/>
      <c r="K7" s="1376"/>
      <c r="L7" s="322"/>
    </row>
    <row r="8" spans="1:12" ht="13.5" customHeight="1" x14ac:dyDescent="0.2">
      <c r="B8" s="1384" t="s">
        <v>1856</v>
      </c>
      <c r="C8" s="1464" t="s">
        <v>1950</v>
      </c>
      <c r="D8" s="1465">
        <v>3</v>
      </c>
      <c r="E8" s="322"/>
      <c r="F8" s="1381" t="s">
        <v>1362</v>
      </c>
      <c r="G8" s="1466" t="s">
        <v>2074</v>
      </c>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4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697" t="s">
        <v>2101</v>
      </c>
      <c r="G12" s="2697"/>
      <c r="H12" s="2697"/>
      <c r="I12" s="2697"/>
      <c r="J12" s="2697"/>
      <c r="K12" s="2697"/>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720" t="s">
        <v>2117</v>
      </c>
      <c r="E14" s="2720"/>
      <c r="F14" s="2720"/>
      <c r="H14" s="1472" t="s">
        <v>1370</v>
      </c>
      <c r="I14" s="2721">
        <v>84.027000000000001</v>
      </c>
      <c r="J14" s="2721"/>
      <c r="K14" s="2721"/>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721" t="s">
        <v>2103</v>
      </c>
      <c r="E16" s="2721"/>
      <c r="F16" s="2721"/>
      <c r="G16" s="2721"/>
      <c r="H16" s="2721"/>
      <c r="I16" s="2721"/>
      <c r="J16" s="2721"/>
      <c r="K16" s="2721"/>
      <c r="L16" s="322"/>
    </row>
    <row r="17" spans="2:12" ht="13.5" customHeight="1" x14ac:dyDescent="0.2">
      <c r="B17" s="1384" t="s">
        <v>1368</v>
      </c>
      <c r="C17" s="1384"/>
      <c r="D17" s="2722" t="s">
        <v>2104</v>
      </c>
      <c r="E17" s="2722"/>
      <c r="F17" s="2722"/>
      <c r="G17" s="2722"/>
      <c r="H17" s="2722"/>
      <c r="I17" s="2722"/>
      <c r="J17" s="2722"/>
      <c r="K17" s="2722"/>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0.75" customHeight="1" x14ac:dyDescent="0.2">
      <c r="B20" s="2712" t="s">
        <v>2127</v>
      </c>
      <c r="C20" s="2712"/>
      <c r="D20" s="2712"/>
      <c r="E20" s="2712"/>
      <c r="F20" s="2712"/>
      <c r="G20" s="2712"/>
      <c r="H20" s="2712"/>
      <c r="I20" s="2712"/>
      <c r="J20" s="2712"/>
      <c r="K20" s="2712"/>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1857</v>
      </c>
      <c r="C22" s="1474"/>
      <c r="D22" s="322"/>
      <c r="E22" s="322"/>
      <c r="F22" s="322"/>
      <c r="G22" s="1380"/>
      <c r="H22" s="322"/>
      <c r="I22" s="1380"/>
      <c r="J22" s="322"/>
      <c r="K22" s="322"/>
      <c r="L22" s="322"/>
    </row>
    <row r="23" spans="2:12" ht="33.4" customHeight="1" x14ac:dyDescent="0.2">
      <c r="B23" s="2712" t="s">
        <v>2128</v>
      </c>
      <c r="C23" s="2712"/>
      <c r="D23" s="2712"/>
      <c r="E23" s="2712"/>
      <c r="F23" s="2712"/>
      <c r="G23" s="2712"/>
      <c r="H23" s="2712"/>
      <c r="I23" s="2712"/>
      <c r="J23" s="2712"/>
      <c r="K23" s="2712"/>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1858</v>
      </c>
      <c r="C25" s="1474"/>
      <c r="D25" s="322"/>
      <c r="E25" s="322"/>
      <c r="F25" s="322"/>
      <c r="G25" s="1380"/>
      <c r="H25" s="322"/>
      <c r="I25" s="1380"/>
      <c r="J25" s="322"/>
      <c r="K25" s="322"/>
      <c r="L25" s="322"/>
    </row>
    <row r="26" spans="2:12" ht="21.95" customHeight="1" x14ac:dyDescent="0.2">
      <c r="B26" s="2723">
        <v>30266</v>
      </c>
      <c r="C26" s="2712"/>
      <c r="D26" s="2712"/>
      <c r="E26" s="2712"/>
      <c r="F26" s="2712"/>
      <c r="G26" s="2712"/>
      <c r="H26" s="2712"/>
      <c r="I26" s="2712"/>
      <c r="J26" s="2712"/>
      <c r="K26" s="2712"/>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1859</v>
      </c>
      <c r="C28" s="1474"/>
      <c r="D28" s="322"/>
      <c r="E28" s="322"/>
      <c r="F28" s="322"/>
      <c r="G28" s="1380"/>
      <c r="H28" s="322"/>
      <c r="I28" s="1380"/>
      <c r="J28" s="322"/>
      <c r="K28" s="322"/>
      <c r="L28" s="322"/>
    </row>
    <row r="29" spans="2:12" ht="37.700000000000003" customHeight="1" x14ac:dyDescent="0.2">
      <c r="B29" s="2712" t="s">
        <v>2129</v>
      </c>
      <c r="C29" s="2712"/>
      <c r="D29" s="2712"/>
      <c r="E29" s="2712"/>
      <c r="F29" s="2712"/>
      <c r="G29" s="2712"/>
      <c r="H29" s="2712"/>
      <c r="I29" s="2712"/>
      <c r="J29" s="2712"/>
      <c r="K29" s="2712"/>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27" customHeight="1" x14ac:dyDescent="0.2">
      <c r="B32" s="2712" t="s">
        <v>2118</v>
      </c>
      <c r="C32" s="2712"/>
      <c r="D32" s="2712"/>
      <c r="E32" s="2712"/>
      <c r="F32" s="2712"/>
      <c r="G32" s="2712"/>
      <c r="H32" s="2712"/>
      <c r="I32" s="2712"/>
      <c r="J32" s="2712"/>
      <c r="K32" s="2712"/>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0" customHeight="1" x14ac:dyDescent="0.2">
      <c r="B35" s="2712" t="s">
        <v>2130</v>
      </c>
      <c r="C35" s="2712"/>
      <c r="D35" s="2712"/>
      <c r="E35" s="2712"/>
      <c r="F35" s="2712"/>
      <c r="G35" s="2712"/>
      <c r="H35" s="2712"/>
      <c r="I35" s="2712"/>
      <c r="J35" s="2712"/>
      <c r="K35" s="2712"/>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712" t="s">
        <v>2108</v>
      </c>
      <c r="C38" s="2712"/>
      <c r="D38" s="2712"/>
      <c r="E38" s="2712"/>
      <c r="F38" s="2712"/>
      <c r="G38" s="2712"/>
      <c r="H38" s="2712"/>
      <c r="I38" s="2712"/>
      <c r="J38" s="2712"/>
      <c r="K38" s="271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1860</v>
      </c>
      <c r="C40" s="1400"/>
      <c r="D40" s="1375"/>
      <c r="E40" s="1376"/>
      <c r="F40" s="1376"/>
      <c r="G40" s="1377"/>
      <c r="H40" s="1376"/>
      <c r="I40" s="1377"/>
      <c r="J40" s="1376"/>
      <c r="K40" s="1376"/>
    </row>
    <row r="41" spans="2:12" s="322" customFormat="1" ht="33.950000000000003" customHeight="1" x14ac:dyDescent="0.2">
      <c r="B41" s="2712" t="s">
        <v>2109</v>
      </c>
      <c r="C41" s="2712"/>
      <c r="D41" s="2712"/>
      <c r="E41" s="2712"/>
      <c r="F41" s="2712"/>
      <c r="G41" s="2712"/>
      <c r="H41" s="2712"/>
      <c r="I41" s="2712"/>
      <c r="J41" s="2712"/>
      <c r="K41" s="2712"/>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1861</v>
      </c>
      <c r="C48" s="1416"/>
      <c r="D48" s="322"/>
      <c r="E48" s="322"/>
      <c r="F48" s="322"/>
    </row>
    <row r="49" spans="2:3" s="317" customFormat="1" ht="10.5" customHeight="1" x14ac:dyDescent="0.2">
      <c r="B49" s="1417" t="s">
        <v>1862</v>
      </c>
      <c r="C49" s="1417"/>
    </row>
    <row r="50" spans="2:3" s="317" customFormat="1" ht="11.1" customHeight="1" x14ac:dyDescent="0.2">
      <c r="B50" s="1417" t="s">
        <v>1863</v>
      </c>
      <c r="C50" s="1417"/>
    </row>
    <row r="51" spans="2:3" s="317" customFormat="1" ht="11.1" customHeight="1" x14ac:dyDescent="0.2">
      <c r="B51" s="1417" t="s">
        <v>1864</v>
      </c>
      <c r="C51" s="1417"/>
    </row>
    <row r="52" spans="2:3" s="317" customFormat="1" ht="11.1" customHeight="1" x14ac:dyDescent="0.2">
      <c r="B52" s="1417" t="s">
        <v>1865</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690" t="str">
        <f>'Single Audit Cover'!A7</f>
        <v>West Central Illinois Special Education Coop</v>
      </c>
      <c r="C1" s="2690"/>
      <c r="D1" s="2690"/>
      <c r="E1" s="1488"/>
    </row>
    <row r="2" spans="2:5" s="1279" customFormat="1" ht="12.75" customHeight="1" x14ac:dyDescent="0.2">
      <c r="B2" s="2692">
        <f>'Single Audit Cover'!E7</f>
        <v>26062000061</v>
      </c>
      <c r="C2" s="2692"/>
      <c r="D2" s="2692"/>
      <c r="E2" s="1489"/>
    </row>
    <row r="3" spans="2:5" ht="12.75" customHeight="1" x14ac:dyDescent="0.2">
      <c r="B3" s="2713" t="s">
        <v>1866</v>
      </c>
      <c r="C3" s="2713"/>
      <c r="D3" s="2713"/>
      <c r="E3" s="1271"/>
    </row>
    <row r="4" spans="2:5" s="1279" customFormat="1" ht="12.75" customHeight="1" x14ac:dyDescent="0.2">
      <c r="B4" s="2724" t="str">
        <f>'Single Audit Cover'!A4</f>
        <v>Year Ending June 30, 2018</v>
      </c>
      <c r="C4" s="2724"/>
      <c r="D4" s="2724"/>
      <c r="E4" s="1490"/>
    </row>
    <row r="5" spans="2:5" s="1279" customFormat="1" ht="40.35" hidden="1" customHeight="1" x14ac:dyDescent="0.2">
      <c r="B5" s="1491" t="s">
        <v>1867</v>
      </c>
      <c r="C5" s="328"/>
      <c r="D5" s="328"/>
      <c r="E5" s="328"/>
    </row>
    <row r="6" spans="2:5" s="1279" customFormat="1" ht="13.5" customHeight="1" x14ac:dyDescent="0.2">
      <c r="B6" s="1492" t="s">
        <v>1382</v>
      </c>
      <c r="C6" s="1492" t="s">
        <v>1381</v>
      </c>
      <c r="D6" s="1492" t="s">
        <v>1868</v>
      </c>
    </row>
    <row r="7" spans="2:5" ht="13.5" customHeight="1" x14ac:dyDescent="0.2">
      <c r="B7" s="1493" t="s">
        <v>2097</v>
      </c>
      <c r="C7" s="324" t="s">
        <v>2098</v>
      </c>
      <c r="D7" s="1982" t="s">
        <v>2110</v>
      </c>
      <c r="E7" s="324"/>
    </row>
    <row r="8" spans="2:5" ht="13.5" customHeight="1" x14ac:dyDescent="0.2">
      <c r="B8" s="1493"/>
      <c r="C8" s="324" t="s">
        <v>2099</v>
      </c>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1869</v>
      </c>
    </row>
    <row r="46" spans="2:5" ht="12.2" customHeight="1" x14ac:dyDescent="0.2">
      <c r="B46" s="1502" t="s">
        <v>1870</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5" customWidth="1"/>
    <col min="2" max="2" width="11.28515625" style="1955" customWidth="1"/>
    <col min="3" max="3" width="6.42578125" style="1955" customWidth="1"/>
    <col min="4" max="4" width="5.42578125" style="1955" customWidth="1"/>
    <col min="5" max="5" width="74.7109375" style="1955" customWidth="1"/>
    <col min="6" max="6" width="1.5703125" style="1955" customWidth="1"/>
    <col min="7" max="8" width="2.42578125" style="1955" customWidth="1"/>
    <col min="9" max="9" width="9.28515625" style="1955" customWidth="1"/>
    <col min="10" max="10" width="14.42578125" style="1955" customWidth="1"/>
    <col min="11" max="11" width="7.28515625" style="1955" customWidth="1"/>
    <col min="12" max="12" width="3.140625" style="1955" customWidth="1"/>
    <col min="13" max="16384" width="9.140625" style="1955"/>
  </cols>
  <sheetData>
    <row r="1" spans="2:12" ht="13.5" customHeight="1" x14ac:dyDescent="0.2">
      <c r="B1" s="2727" t="s">
        <v>2134</v>
      </c>
      <c r="C1" s="2727"/>
      <c r="D1" s="2727"/>
      <c r="E1" s="2727"/>
      <c r="F1" s="1954"/>
      <c r="G1" s="1954"/>
      <c r="H1" s="1954"/>
      <c r="I1" s="1954"/>
      <c r="J1" s="1954"/>
      <c r="K1" s="1954"/>
      <c r="L1" s="1954"/>
    </row>
    <row r="2" spans="2:12" ht="13.5" customHeight="1" x14ac:dyDescent="0.2">
      <c r="B2" s="2728" t="s">
        <v>2083</v>
      </c>
      <c r="C2" s="2728"/>
      <c r="D2" s="2728"/>
      <c r="E2" s="2728"/>
      <c r="F2" s="1956"/>
      <c r="G2" s="1956"/>
      <c r="H2" s="1956"/>
      <c r="I2" s="1956"/>
      <c r="J2" s="1956"/>
      <c r="K2" s="1956"/>
      <c r="L2" s="1956"/>
    </row>
    <row r="3" spans="2:12" ht="13.5" customHeight="1" x14ac:dyDescent="0.2">
      <c r="B3" s="2729" t="s">
        <v>2135</v>
      </c>
      <c r="C3" s="2729"/>
      <c r="D3" s="2729"/>
      <c r="E3" s="2729"/>
      <c r="F3" s="1957"/>
      <c r="G3" s="1957"/>
      <c r="H3" s="1957"/>
      <c r="I3" s="1957"/>
      <c r="J3" s="1957"/>
      <c r="K3" s="1957"/>
      <c r="L3" s="1957"/>
    </row>
    <row r="4" spans="2:12" ht="13.5" customHeight="1" x14ac:dyDescent="0.2">
      <c r="B4" s="2730" t="s">
        <v>1799</v>
      </c>
      <c r="C4" s="2731"/>
      <c r="D4" s="2731"/>
      <c r="E4" s="2731"/>
      <c r="F4" s="1958"/>
      <c r="G4" s="1958"/>
      <c r="H4" s="1958"/>
      <c r="I4" s="1958"/>
      <c r="J4" s="1958"/>
      <c r="K4" s="1958"/>
      <c r="L4" s="1958"/>
    </row>
    <row r="5" spans="2:12" ht="29.85" customHeight="1" x14ac:dyDescent="0.2">
      <c r="B5" s="1959"/>
      <c r="C5" s="1959"/>
      <c r="D5" s="1959"/>
      <c r="E5" s="1959"/>
      <c r="F5" s="1959"/>
      <c r="G5" s="1959"/>
      <c r="H5" s="1959"/>
      <c r="I5" s="1959"/>
    </row>
    <row r="6" spans="2:12" ht="13.5" customHeight="1" x14ac:dyDescent="0.2">
      <c r="B6" s="1960" t="s">
        <v>2136</v>
      </c>
      <c r="C6" s="1960"/>
      <c r="D6" s="1961"/>
      <c r="E6" s="1962"/>
      <c r="F6" s="1962"/>
      <c r="G6" s="1963"/>
      <c r="H6" s="1963"/>
      <c r="I6" s="1963"/>
    </row>
    <row r="7" spans="2:12" ht="13.5" customHeight="1" x14ac:dyDescent="0.2">
      <c r="B7" s="1959" t="s">
        <v>1231</v>
      </c>
      <c r="C7" s="1959"/>
      <c r="D7" s="1959"/>
      <c r="E7" s="1959"/>
      <c r="F7" s="1959"/>
      <c r="G7" s="1959"/>
      <c r="H7" s="1959"/>
      <c r="I7" s="1959"/>
    </row>
    <row r="8" spans="2:12" ht="13.5" customHeight="1" x14ac:dyDescent="0.2">
      <c r="B8" s="1964" t="s">
        <v>2137</v>
      </c>
      <c r="C8" s="1965" t="s">
        <v>1950</v>
      </c>
      <c r="D8" s="1966">
        <v>1</v>
      </c>
      <c r="E8" s="1959"/>
      <c r="F8" s="1959"/>
      <c r="G8" s="1959"/>
      <c r="H8" s="1959"/>
      <c r="I8" s="1959"/>
    </row>
    <row r="9" spans="2:12" ht="13.5" customHeight="1" x14ac:dyDescent="0.2">
      <c r="B9" s="1967"/>
      <c r="C9" s="1967"/>
      <c r="D9" s="1967"/>
    </row>
    <row r="10" spans="2:12" ht="13.5" customHeight="1" x14ac:dyDescent="0.2">
      <c r="B10" s="1964" t="s">
        <v>2138</v>
      </c>
      <c r="C10" s="1964"/>
      <c r="D10" s="1959"/>
    </row>
    <row r="11" spans="2:12" ht="66.75" customHeight="1" x14ac:dyDescent="0.2">
      <c r="B11" s="2725" t="s">
        <v>2139</v>
      </c>
      <c r="C11" s="2725"/>
      <c r="D11" s="2726"/>
      <c r="E11" s="2726"/>
    </row>
    <row r="12" spans="2:12" ht="13.5" customHeight="1" x14ac:dyDescent="0.2">
      <c r="B12" s="1959"/>
      <c r="C12" s="1959"/>
      <c r="D12" s="1959"/>
    </row>
    <row r="13" spans="2:12" ht="13.5" customHeight="1" x14ac:dyDescent="0.2">
      <c r="B13" s="1964" t="s">
        <v>2140</v>
      </c>
      <c r="C13" s="1964"/>
      <c r="D13" s="1959"/>
    </row>
    <row r="14" spans="2:12" ht="76.5" customHeight="1" x14ac:dyDescent="0.2">
      <c r="B14" s="2725" t="s">
        <v>2160</v>
      </c>
      <c r="C14" s="2725"/>
      <c r="D14" s="2726"/>
      <c r="E14" s="2726"/>
    </row>
    <row r="15" spans="2:12" ht="13.5" customHeight="1" x14ac:dyDescent="0.2">
      <c r="B15" s="1959"/>
      <c r="C15" s="1959"/>
      <c r="D15" s="1959"/>
    </row>
    <row r="16" spans="2:12" ht="13.5" customHeight="1" x14ac:dyDescent="0.2">
      <c r="B16" s="1964" t="s">
        <v>2141</v>
      </c>
      <c r="C16" s="1964"/>
      <c r="D16" s="1959"/>
      <c r="E16" s="1968">
        <v>43646</v>
      </c>
    </row>
    <row r="17" spans="2:5" ht="13.5" customHeight="1" x14ac:dyDescent="0.2">
      <c r="B17" s="1959"/>
      <c r="C17" s="1959"/>
      <c r="D17" s="1959"/>
    </row>
    <row r="18" spans="2:5" ht="13.5" customHeight="1" x14ac:dyDescent="0.2">
      <c r="B18" s="1964" t="s">
        <v>2142</v>
      </c>
      <c r="C18" s="1964"/>
      <c r="D18" s="1959"/>
      <c r="E18" s="1969" t="s">
        <v>2143</v>
      </c>
    </row>
    <row r="19" spans="2:5" ht="13.5" customHeight="1" x14ac:dyDescent="0.2">
      <c r="B19" s="1959"/>
      <c r="C19" s="1959"/>
      <c r="D19" s="1959"/>
    </row>
    <row r="20" spans="2:5" ht="13.5" customHeight="1" x14ac:dyDescent="0.2">
      <c r="B20" s="1964" t="s">
        <v>2144</v>
      </c>
      <c r="C20" s="1964"/>
      <c r="D20" s="1959"/>
      <c r="E20" s="1969" t="s">
        <v>2161</v>
      </c>
    </row>
    <row r="21" spans="2:5" ht="13.5" customHeight="1" x14ac:dyDescent="0.2">
      <c r="B21" s="1959"/>
      <c r="C21" s="1959"/>
      <c r="D21" s="1959"/>
      <c r="E21" s="1970" t="s">
        <v>2162</v>
      </c>
    </row>
    <row r="22" spans="2:5" ht="13.5" customHeight="1" x14ac:dyDescent="0.2">
      <c r="B22" s="1959"/>
      <c r="C22" s="1959"/>
      <c r="D22" s="1959"/>
      <c r="E22" s="1970"/>
    </row>
    <row r="23" spans="2:5" ht="13.5" customHeight="1" x14ac:dyDescent="0.2">
      <c r="B23" s="1959"/>
      <c r="C23" s="1959"/>
      <c r="D23" s="1959"/>
    </row>
    <row r="24" spans="2:5" ht="13.5" customHeight="1" x14ac:dyDescent="0.2">
      <c r="B24" s="1959"/>
      <c r="C24" s="1959"/>
      <c r="D24" s="1959"/>
    </row>
    <row r="25" spans="2:5" ht="13.5" customHeight="1" x14ac:dyDescent="0.2">
      <c r="B25" s="1971"/>
      <c r="C25" s="1971"/>
      <c r="D25" s="1971"/>
    </row>
    <row r="26" spans="2:5" ht="13.5" customHeight="1" x14ac:dyDescent="0.2">
      <c r="B26" s="1971"/>
      <c r="C26" s="1971"/>
      <c r="D26" s="1971"/>
    </row>
    <row r="27" spans="2:5" ht="13.5" customHeight="1" x14ac:dyDescent="0.2">
      <c r="B27" s="1971"/>
      <c r="C27" s="1971"/>
      <c r="D27" s="197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2"/>
      <c r="C35" s="1972"/>
      <c r="D35" s="1972"/>
    </row>
    <row r="36" spans="2:5" ht="13.5" customHeight="1" x14ac:dyDescent="0.2"/>
    <row r="37" spans="2:5" ht="13.5" customHeight="1" x14ac:dyDescent="0.2">
      <c r="B37" s="1973"/>
      <c r="C37" s="1973"/>
      <c r="D37" s="1973"/>
    </row>
    <row r="38" spans="2:5" ht="13.5" customHeight="1" x14ac:dyDescent="0.2">
      <c r="B38" s="1973"/>
      <c r="C38" s="1973"/>
      <c r="D38" s="1973"/>
    </row>
    <row r="39" spans="2:5" ht="13.5" customHeight="1" x14ac:dyDescent="0.2">
      <c r="B39" s="1973"/>
      <c r="C39" s="1973"/>
      <c r="D39" s="1973"/>
    </row>
    <row r="40" spans="2:5" ht="13.5" customHeight="1" x14ac:dyDescent="0.2">
      <c r="B40" s="1973"/>
      <c r="C40" s="1973"/>
      <c r="D40" s="1973"/>
    </row>
    <row r="41" spans="2:5" ht="13.5" customHeight="1" x14ac:dyDescent="0.2">
      <c r="B41" s="1974"/>
      <c r="C41" s="1974"/>
      <c r="D41" s="1974"/>
      <c r="E41" s="1975"/>
    </row>
    <row r="42" spans="2:5" ht="12.2" customHeight="1" x14ac:dyDescent="0.2">
      <c r="B42" s="1976" t="s">
        <v>2145</v>
      </c>
      <c r="C42" s="1976"/>
      <c r="D42" s="1976"/>
    </row>
    <row r="43" spans="2:5" ht="12.2" customHeight="1" x14ac:dyDescent="0.2">
      <c r="B43" s="1977"/>
      <c r="C43" s="1977"/>
      <c r="D43" s="1977"/>
    </row>
    <row r="44" spans="2:5" ht="12.75" customHeight="1" x14ac:dyDescent="0.2">
      <c r="B44" s="1978"/>
      <c r="C44" s="1978"/>
      <c r="D44" s="1978"/>
    </row>
    <row r="45" spans="2:5" ht="12.75" customHeight="1" x14ac:dyDescent="0.2">
      <c r="B45" s="1978"/>
      <c r="C45" s="1978"/>
      <c r="D45" s="1978"/>
    </row>
    <row r="46" spans="2:5" x14ac:dyDescent="0.2">
      <c r="B46" s="1978"/>
      <c r="C46" s="1978"/>
      <c r="D46" s="1978"/>
    </row>
    <row r="47" spans="2:5" x14ac:dyDescent="0.2">
      <c r="B47" s="1978"/>
      <c r="C47" s="1978"/>
      <c r="D47" s="1978"/>
    </row>
    <row r="51" spans="2:9" x14ac:dyDescent="0.2">
      <c r="B51" s="1979"/>
      <c r="C51" s="1979"/>
      <c r="D51" s="1979"/>
    </row>
    <row r="52" spans="2:9" ht="12.75" customHeight="1" x14ac:dyDescent="0.2"/>
    <row r="53" spans="2:9" ht="12.75" customHeight="1" x14ac:dyDescent="0.2">
      <c r="B53" s="1959"/>
      <c r="C53" s="1959"/>
      <c r="D53" s="1959"/>
      <c r="E53" s="1959"/>
      <c r="F53" s="1959"/>
      <c r="G53" s="1959"/>
      <c r="H53" s="1959"/>
      <c r="I53" s="1959"/>
    </row>
    <row r="54" spans="2:9" ht="12.75" customHeight="1" x14ac:dyDescent="0.2">
      <c r="B54" s="1959"/>
      <c r="C54" s="1959"/>
      <c r="D54" s="1959"/>
      <c r="E54" s="1959"/>
      <c r="F54" s="1959"/>
      <c r="G54" s="1959"/>
      <c r="H54" s="1959"/>
      <c r="I54" s="1959"/>
    </row>
    <row r="55" spans="2:9" ht="12.75" customHeight="1" x14ac:dyDescent="0.2">
      <c r="B55" s="1959"/>
      <c r="C55" s="1959"/>
      <c r="D55" s="1959"/>
      <c r="E55" s="1959"/>
      <c r="F55" s="1959"/>
      <c r="G55" s="1959"/>
      <c r="H55" s="1959"/>
      <c r="I55" s="1959"/>
    </row>
    <row r="56" spans="2:9" ht="12.75" customHeight="1" x14ac:dyDescent="0.2">
      <c r="B56" s="1959"/>
      <c r="C56" s="1959"/>
      <c r="D56" s="1959"/>
      <c r="E56" s="1959"/>
      <c r="F56" s="1959"/>
      <c r="G56" s="1959"/>
      <c r="H56" s="1959"/>
      <c r="I56" s="1959"/>
    </row>
    <row r="57" spans="2:9" ht="12.75" customHeight="1" x14ac:dyDescent="0.2">
      <c r="B57" s="1959"/>
      <c r="C57" s="1959"/>
      <c r="D57" s="1959"/>
      <c r="E57" s="1959"/>
      <c r="F57" s="1959"/>
      <c r="G57" s="1959"/>
      <c r="H57" s="1959"/>
      <c r="I57" s="1959"/>
    </row>
    <row r="58" spans="2:9" ht="12.75" customHeight="1" x14ac:dyDescent="0.2">
      <c r="B58" s="1959"/>
      <c r="C58" s="1959"/>
      <c r="D58" s="1959"/>
      <c r="E58" s="1959"/>
      <c r="F58" s="1959"/>
      <c r="G58" s="1959"/>
      <c r="H58" s="1959"/>
      <c r="I58" s="1959"/>
    </row>
    <row r="59" spans="2:9" ht="12.75" customHeight="1" x14ac:dyDescent="0.2">
      <c r="B59" s="1959"/>
      <c r="C59" s="1959"/>
      <c r="D59" s="1959"/>
      <c r="E59" s="1959"/>
      <c r="F59" s="1959"/>
    </row>
    <row r="60" spans="2:9" ht="12.75" customHeight="1" x14ac:dyDescent="0.2">
      <c r="B60" s="1959"/>
      <c r="C60" s="1959"/>
      <c r="D60" s="1959"/>
      <c r="E60" s="1959"/>
      <c r="F60" s="1959"/>
      <c r="G60" s="1959"/>
      <c r="H60" s="1959"/>
      <c r="I60" s="1959"/>
    </row>
    <row r="64" spans="2:9" x14ac:dyDescent="0.2">
      <c r="B64" s="1980"/>
      <c r="C64" s="1980"/>
      <c r="D64" s="1980"/>
    </row>
    <row r="65" spans="2:4" x14ac:dyDescent="0.2">
      <c r="B65" s="1978"/>
      <c r="C65" s="1978"/>
      <c r="D65" s="1978"/>
    </row>
    <row r="66" spans="2:4" x14ac:dyDescent="0.2">
      <c r="B66" s="1978"/>
      <c r="C66" s="1978"/>
      <c r="D66" s="1978"/>
    </row>
    <row r="67" spans="2:4" x14ac:dyDescent="0.2">
      <c r="B67" s="1981"/>
      <c r="C67" s="1981"/>
      <c r="D67" s="1981"/>
    </row>
    <row r="68" spans="2:4" x14ac:dyDescent="0.2">
      <c r="B68" s="1981"/>
      <c r="C68" s="1981"/>
      <c r="D68" s="1981"/>
    </row>
    <row r="69" spans="2:4" x14ac:dyDescent="0.2">
      <c r="B69" s="1981"/>
      <c r="C69" s="1981"/>
      <c r="D69" s="1981"/>
    </row>
    <row r="70" spans="2:4" x14ac:dyDescent="0.2">
      <c r="B70" s="1978"/>
      <c r="C70" s="1978"/>
      <c r="D70" s="197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5" customWidth="1"/>
    <col min="2" max="2" width="11.28515625" style="1955" customWidth="1"/>
    <col min="3" max="3" width="6.42578125" style="1955" customWidth="1"/>
    <col min="4" max="4" width="5.42578125" style="1955" customWidth="1"/>
    <col min="5" max="5" width="74.7109375" style="1955" customWidth="1"/>
    <col min="6" max="6" width="1.5703125" style="1955" customWidth="1"/>
    <col min="7" max="8" width="2.42578125" style="1955" customWidth="1"/>
    <col min="9" max="9" width="9.28515625" style="1955" customWidth="1"/>
    <col min="10" max="10" width="14.42578125" style="1955" customWidth="1"/>
    <col min="11" max="11" width="7.28515625" style="1955" customWidth="1"/>
    <col min="12" max="12" width="3.140625" style="1955" customWidth="1"/>
    <col min="13" max="16384" width="9.140625" style="1955"/>
  </cols>
  <sheetData>
    <row r="1" spans="2:12" ht="13.5" customHeight="1" x14ac:dyDescent="0.2">
      <c r="B1" s="2727" t="s">
        <v>2134</v>
      </c>
      <c r="C1" s="2727"/>
      <c r="D1" s="2727"/>
      <c r="E1" s="2727"/>
      <c r="F1" s="1954"/>
      <c r="G1" s="1954"/>
      <c r="H1" s="1954"/>
      <c r="I1" s="1954"/>
      <c r="J1" s="1954"/>
      <c r="K1" s="1954"/>
      <c r="L1" s="1954"/>
    </row>
    <row r="2" spans="2:12" ht="13.5" customHeight="1" x14ac:dyDescent="0.2">
      <c r="B2" s="2728" t="s">
        <v>2083</v>
      </c>
      <c r="C2" s="2728"/>
      <c r="D2" s="2728"/>
      <c r="E2" s="2728"/>
      <c r="F2" s="1956"/>
      <c r="G2" s="1956"/>
      <c r="H2" s="1956"/>
      <c r="I2" s="1956"/>
      <c r="J2" s="1956"/>
      <c r="K2" s="1956"/>
      <c r="L2" s="1956"/>
    </row>
    <row r="3" spans="2:12" ht="13.5" customHeight="1" x14ac:dyDescent="0.2">
      <c r="B3" s="2729" t="s">
        <v>2135</v>
      </c>
      <c r="C3" s="2729"/>
      <c r="D3" s="2729"/>
      <c r="E3" s="2729"/>
      <c r="F3" s="1957"/>
      <c r="G3" s="1957"/>
      <c r="H3" s="1957"/>
      <c r="I3" s="1957"/>
      <c r="J3" s="1957"/>
      <c r="K3" s="1957"/>
      <c r="L3" s="1957"/>
    </row>
    <row r="4" spans="2:12" ht="13.5" customHeight="1" x14ac:dyDescent="0.2">
      <c r="B4" s="2730" t="s">
        <v>1799</v>
      </c>
      <c r="C4" s="2731"/>
      <c r="D4" s="2731"/>
      <c r="E4" s="2731"/>
      <c r="F4" s="1958"/>
      <c r="G4" s="1958"/>
      <c r="H4" s="1958"/>
      <c r="I4" s="1958"/>
      <c r="J4" s="1958"/>
      <c r="K4" s="1958"/>
      <c r="L4" s="1958"/>
    </row>
    <row r="5" spans="2:12" ht="29.85" customHeight="1" x14ac:dyDescent="0.2">
      <c r="B5" s="1959"/>
      <c r="C5" s="1959"/>
      <c r="D5" s="1959"/>
      <c r="E5" s="1959"/>
      <c r="F5" s="1959"/>
      <c r="G5" s="1959"/>
      <c r="H5" s="1959"/>
      <c r="I5" s="1959"/>
    </row>
    <row r="6" spans="2:12" ht="13.5" customHeight="1" x14ac:dyDescent="0.2">
      <c r="B6" s="1960" t="s">
        <v>2136</v>
      </c>
      <c r="C6" s="1960"/>
      <c r="D6" s="1961"/>
      <c r="E6" s="1962"/>
      <c r="F6" s="1962"/>
      <c r="G6" s="1963"/>
      <c r="H6" s="1963"/>
      <c r="I6" s="1963"/>
    </row>
    <row r="7" spans="2:12" ht="13.5" customHeight="1" x14ac:dyDescent="0.2">
      <c r="B7" s="1959" t="s">
        <v>1231</v>
      </c>
      <c r="C7" s="1959"/>
      <c r="D7" s="1959"/>
      <c r="E7" s="1959"/>
      <c r="F7" s="1959"/>
      <c r="G7" s="1959"/>
      <c r="H7" s="1959"/>
      <c r="I7" s="1959"/>
    </row>
    <row r="8" spans="2:12" ht="13.5" customHeight="1" x14ac:dyDescent="0.2">
      <c r="B8" s="1964" t="s">
        <v>2137</v>
      </c>
      <c r="C8" s="1965" t="s">
        <v>1950</v>
      </c>
      <c r="D8" s="1966">
        <v>2</v>
      </c>
      <c r="E8" s="1959"/>
      <c r="F8" s="1959"/>
      <c r="G8" s="1959"/>
      <c r="H8" s="1959"/>
      <c r="I8" s="1959"/>
    </row>
    <row r="9" spans="2:12" ht="13.5" customHeight="1" x14ac:dyDescent="0.2">
      <c r="B9" s="1967"/>
      <c r="C9" s="1967"/>
      <c r="D9" s="1967"/>
    </row>
    <row r="10" spans="2:12" ht="13.5" customHeight="1" x14ac:dyDescent="0.2">
      <c r="B10" s="1964" t="s">
        <v>2138</v>
      </c>
      <c r="C10" s="1964"/>
      <c r="D10" s="1959"/>
    </row>
    <row r="11" spans="2:12" ht="66.75" customHeight="1" x14ac:dyDescent="0.2">
      <c r="B11" s="2725" t="s">
        <v>2146</v>
      </c>
      <c r="C11" s="2725"/>
      <c r="D11" s="2726"/>
      <c r="E11" s="2726"/>
    </row>
    <row r="12" spans="2:12" ht="13.5" customHeight="1" x14ac:dyDescent="0.2">
      <c r="B12" s="1959"/>
      <c r="C12" s="1959"/>
      <c r="D12" s="1959"/>
    </row>
    <row r="13" spans="2:12" ht="13.5" customHeight="1" x14ac:dyDescent="0.2">
      <c r="B13" s="1964" t="s">
        <v>2140</v>
      </c>
      <c r="C13" s="1964"/>
      <c r="D13" s="1959"/>
    </row>
    <row r="14" spans="2:12" ht="76.5" customHeight="1" x14ac:dyDescent="0.2">
      <c r="B14" s="2725" t="s">
        <v>2147</v>
      </c>
      <c r="C14" s="2725"/>
      <c r="D14" s="2726"/>
      <c r="E14" s="2726"/>
    </row>
    <row r="15" spans="2:12" ht="13.5" customHeight="1" x14ac:dyDescent="0.2">
      <c r="B15" s="1959"/>
      <c r="C15" s="1959"/>
      <c r="D15" s="1959"/>
    </row>
    <row r="16" spans="2:12" ht="13.5" customHeight="1" x14ac:dyDescent="0.2">
      <c r="B16" s="1964" t="s">
        <v>2141</v>
      </c>
      <c r="C16" s="1964"/>
      <c r="D16" s="1959"/>
      <c r="E16" s="1968">
        <v>43646</v>
      </c>
    </row>
    <row r="17" spans="2:5" ht="13.5" customHeight="1" x14ac:dyDescent="0.2">
      <c r="B17" s="1959"/>
      <c r="C17" s="1959"/>
      <c r="D17" s="1959"/>
    </row>
    <row r="18" spans="2:5" ht="13.5" customHeight="1" x14ac:dyDescent="0.2">
      <c r="B18" s="1964" t="s">
        <v>2142</v>
      </c>
      <c r="C18" s="1964"/>
      <c r="D18" s="1959"/>
      <c r="E18" s="1969" t="s">
        <v>2143</v>
      </c>
    </row>
    <row r="19" spans="2:5" ht="13.5" customHeight="1" x14ac:dyDescent="0.2">
      <c r="B19" s="1959"/>
      <c r="C19" s="1959"/>
      <c r="D19" s="1959"/>
    </row>
    <row r="20" spans="2:5" ht="13.5" customHeight="1" x14ac:dyDescent="0.2">
      <c r="B20" s="1964" t="s">
        <v>2144</v>
      </c>
      <c r="C20" s="1964"/>
      <c r="D20" s="1959"/>
      <c r="E20" s="1969" t="s">
        <v>2109</v>
      </c>
    </row>
    <row r="21" spans="2:5" ht="13.5" customHeight="1" x14ac:dyDescent="0.2">
      <c r="B21" s="1959"/>
      <c r="C21" s="1959"/>
      <c r="D21" s="1959"/>
      <c r="E21" s="1970"/>
    </row>
    <row r="22" spans="2:5" ht="13.5" customHeight="1" x14ac:dyDescent="0.2">
      <c r="B22" s="1959"/>
      <c r="C22" s="1959"/>
      <c r="D22" s="1959"/>
      <c r="E22" s="1970"/>
    </row>
    <row r="23" spans="2:5" ht="13.5" customHeight="1" x14ac:dyDescent="0.2">
      <c r="B23" s="1959"/>
      <c r="C23" s="1959"/>
      <c r="D23" s="1959"/>
    </row>
    <row r="24" spans="2:5" ht="13.5" customHeight="1" x14ac:dyDescent="0.2">
      <c r="B24" s="1959"/>
      <c r="C24" s="1959"/>
      <c r="D24" s="1959"/>
    </row>
    <row r="25" spans="2:5" ht="13.5" customHeight="1" x14ac:dyDescent="0.2">
      <c r="B25" s="1971"/>
      <c r="C25" s="1971"/>
      <c r="D25" s="1971"/>
    </row>
    <row r="26" spans="2:5" ht="13.5" customHeight="1" x14ac:dyDescent="0.2">
      <c r="B26" s="1971"/>
      <c r="C26" s="1971"/>
      <c r="D26" s="1971"/>
    </row>
    <row r="27" spans="2:5" ht="13.5" customHeight="1" x14ac:dyDescent="0.2">
      <c r="B27" s="1971"/>
      <c r="C27" s="1971"/>
      <c r="D27" s="197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2"/>
      <c r="C35" s="1972"/>
      <c r="D35" s="1972"/>
    </row>
    <row r="36" spans="2:5" ht="13.5" customHeight="1" x14ac:dyDescent="0.2"/>
    <row r="37" spans="2:5" ht="13.5" customHeight="1" x14ac:dyDescent="0.2">
      <c r="B37" s="1973"/>
      <c r="C37" s="1973"/>
      <c r="D37" s="1973"/>
    </row>
    <row r="38" spans="2:5" ht="13.5" customHeight="1" x14ac:dyDescent="0.2">
      <c r="B38" s="1973"/>
      <c r="C38" s="1973"/>
      <c r="D38" s="1973"/>
    </row>
    <row r="39" spans="2:5" ht="13.5" customHeight="1" x14ac:dyDescent="0.2">
      <c r="B39" s="1973"/>
      <c r="C39" s="1973"/>
      <c r="D39" s="1973"/>
    </row>
    <row r="40" spans="2:5" ht="13.5" customHeight="1" x14ac:dyDescent="0.2">
      <c r="B40" s="1973"/>
      <c r="C40" s="1973"/>
      <c r="D40" s="1973"/>
    </row>
    <row r="41" spans="2:5" ht="13.5" customHeight="1" x14ac:dyDescent="0.2">
      <c r="B41" s="1974"/>
      <c r="C41" s="1974"/>
      <c r="D41" s="1974"/>
      <c r="E41" s="1975"/>
    </row>
    <row r="42" spans="2:5" ht="12.2" customHeight="1" x14ac:dyDescent="0.2">
      <c r="B42" s="1976" t="s">
        <v>2145</v>
      </c>
      <c r="C42" s="1976"/>
      <c r="D42" s="1976"/>
    </row>
    <row r="43" spans="2:5" ht="12.2" customHeight="1" x14ac:dyDescent="0.2">
      <c r="B43" s="1977"/>
      <c r="C43" s="1977"/>
      <c r="D43" s="1977"/>
    </row>
    <row r="44" spans="2:5" ht="12.75" customHeight="1" x14ac:dyDescent="0.2">
      <c r="B44" s="1978"/>
      <c r="C44" s="1978"/>
      <c r="D44" s="1978"/>
    </row>
    <row r="45" spans="2:5" ht="12.75" customHeight="1" x14ac:dyDescent="0.2">
      <c r="B45" s="1978"/>
      <c r="C45" s="1978"/>
      <c r="D45" s="1978"/>
    </row>
    <row r="46" spans="2:5" x14ac:dyDescent="0.2">
      <c r="B46" s="1978"/>
      <c r="C46" s="1978"/>
      <c r="D46" s="1978"/>
    </row>
    <row r="47" spans="2:5" x14ac:dyDescent="0.2">
      <c r="B47" s="1978"/>
      <c r="C47" s="1978"/>
      <c r="D47" s="1978"/>
    </row>
    <row r="51" spans="2:9" x14ac:dyDescent="0.2">
      <c r="B51" s="1979"/>
      <c r="C51" s="1979"/>
      <c r="D51" s="1979"/>
    </row>
    <row r="52" spans="2:9" ht="12.75" customHeight="1" x14ac:dyDescent="0.2"/>
    <row r="53" spans="2:9" ht="12.75" customHeight="1" x14ac:dyDescent="0.2">
      <c r="B53" s="1959"/>
      <c r="C53" s="1959"/>
      <c r="D53" s="1959"/>
      <c r="E53" s="1959"/>
      <c r="F53" s="1959"/>
      <c r="G53" s="1959"/>
      <c r="H53" s="1959"/>
      <c r="I53" s="1959"/>
    </row>
    <row r="54" spans="2:9" ht="12.75" customHeight="1" x14ac:dyDescent="0.2">
      <c r="B54" s="1959"/>
      <c r="C54" s="1959"/>
      <c r="D54" s="1959"/>
      <c r="E54" s="1959"/>
      <c r="F54" s="1959"/>
      <c r="G54" s="1959"/>
      <c r="H54" s="1959"/>
      <c r="I54" s="1959"/>
    </row>
    <row r="55" spans="2:9" ht="12.75" customHeight="1" x14ac:dyDescent="0.2">
      <c r="B55" s="1959"/>
      <c r="C55" s="1959"/>
      <c r="D55" s="1959"/>
      <c r="E55" s="1959"/>
      <c r="F55" s="1959"/>
      <c r="G55" s="1959"/>
      <c r="H55" s="1959"/>
      <c r="I55" s="1959"/>
    </row>
    <row r="56" spans="2:9" ht="12.75" customHeight="1" x14ac:dyDescent="0.2">
      <c r="B56" s="1959"/>
      <c r="C56" s="1959"/>
      <c r="D56" s="1959"/>
      <c r="E56" s="1959"/>
      <c r="F56" s="1959"/>
      <c r="G56" s="1959"/>
      <c r="H56" s="1959"/>
      <c r="I56" s="1959"/>
    </row>
    <row r="57" spans="2:9" ht="12.75" customHeight="1" x14ac:dyDescent="0.2">
      <c r="B57" s="1959"/>
      <c r="C57" s="1959"/>
      <c r="D57" s="1959"/>
      <c r="E57" s="1959"/>
      <c r="F57" s="1959"/>
      <c r="G57" s="1959"/>
      <c r="H57" s="1959"/>
      <c r="I57" s="1959"/>
    </row>
    <row r="58" spans="2:9" ht="12.75" customHeight="1" x14ac:dyDescent="0.2">
      <c r="B58" s="1959"/>
      <c r="C58" s="1959"/>
      <c r="D58" s="1959"/>
      <c r="E58" s="1959"/>
      <c r="F58" s="1959"/>
      <c r="G58" s="1959"/>
      <c r="H58" s="1959"/>
      <c r="I58" s="1959"/>
    </row>
    <row r="59" spans="2:9" ht="12.75" customHeight="1" x14ac:dyDescent="0.2">
      <c r="B59" s="1959"/>
      <c r="C59" s="1959"/>
      <c r="D59" s="1959"/>
      <c r="E59" s="1959"/>
      <c r="F59" s="1959"/>
    </row>
    <row r="60" spans="2:9" ht="12.75" customHeight="1" x14ac:dyDescent="0.2">
      <c r="B60" s="1959"/>
      <c r="C60" s="1959"/>
      <c r="D60" s="1959"/>
      <c r="E60" s="1959"/>
      <c r="F60" s="1959"/>
      <c r="G60" s="1959"/>
      <c r="H60" s="1959"/>
      <c r="I60" s="1959"/>
    </row>
    <row r="64" spans="2:9" x14ac:dyDescent="0.2">
      <c r="B64" s="1980"/>
      <c r="C64" s="1980"/>
      <c r="D64" s="1980"/>
    </row>
    <row r="65" spans="2:4" x14ac:dyDescent="0.2">
      <c r="B65" s="1978"/>
      <c r="C65" s="1978"/>
      <c r="D65" s="1978"/>
    </row>
    <row r="66" spans="2:4" x14ac:dyDescent="0.2">
      <c r="B66" s="1978"/>
      <c r="C66" s="1978"/>
      <c r="D66" s="1978"/>
    </row>
    <row r="67" spans="2:4" x14ac:dyDescent="0.2">
      <c r="B67" s="1981"/>
      <c r="C67" s="1981"/>
      <c r="D67" s="1981"/>
    </row>
    <row r="68" spans="2:4" x14ac:dyDescent="0.2">
      <c r="B68" s="1981"/>
      <c r="C68" s="1981"/>
      <c r="D68" s="1981"/>
    </row>
    <row r="69" spans="2:4" x14ac:dyDescent="0.2">
      <c r="B69" s="1981"/>
      <c r="C69" s="1981"/>
      <c r="D69" s="1981"/>
    </row>
    <row r="70" spans="2:4" x14ac:dyDescent="0.2">
      <c r="B70" s="1978"/>
      <c r="C70" s="1978"/>
      <c r="D70" s="197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5" customWidth="1"/>
    <col min="2" max="2" width="11.28515625" style="1955" customWidth="1"/>
    <col min="3" max="3" width="6.42578125" style="1955" customWidth="1"/>
    <col min="4" max="4" width="5.42578125" style="1955" customWidth="1"/>
    <col min="5" max="5" width="74.7109375" style="1955" customWidth="1"/>
    <col min="6" max="6" width="1.5703125" style="1955" customWidth="1"/>
    <col min="7" max="8" width="2.42578125" style="1955" customWidth="1"/>
    <col min="9" max="9" width="9.28515625" style="1955" customWidth="1"/>
    <col min="10" max="10" width="14.42578125" style="1955" customWidth="1"/>
    <col min="11" max="11" width="7.28515625" style="1955" customWidth="1"/>
    <col min="12" max="12" width="3.140625" style="1955" customWidth="1"/>
    <col min="13" max="16384" width="9.140625" style="1955"/>
  </cols>
  <sheetData>
    <row r="1" spans="2:12" ht="13.5" customHeight="1" x14ac:dyDescent="0.2">
      <c r="B1" s="2727" t="s">
        <v>2134</v>
      </c>
      <c r="C1" s="2727"/>
      <c r="D1" s="2727"/>
      <c r="E1" s="2727"/>
      <c r="F1" s="1954"/>
      <c r="G1" s="1954"/>
      <c r="H1" s="1954"/>
      <c r="I1" s="1954"/>
      <c r="J1" s="1954"/>
      <c r="K1" s="1954"/>
      <c r="L1" s="1954"/>
    </row>
    <row r="2" spans="2:12" ht="13.5" customHeight="1" x14ac:dyDescent="0.2">
      <c r="B2" s="2728" t="s">
        <v>2083</v>
      </c>
      <c r="C2" s="2728"/>
      <c r="D2" s="2728"/>
      <c r="E2" s="2728"/>
      <c r="F2" s="1956"/>
      <c r="G2" s="1956"/>
      <c r="H2" s="1956"/>
      <c r="I2" s="1956"/>
      <c r="J2" s="1956"/>
      <c r="K2" s="1956"/>
      <c r="L2" s="1956"/>
    </row>
    <row r="3" spans="2:12" ht="13.5" customHeight="1" x14ac:dyDescent="0.2">
      <c r="B3" s="2729" t="s">
        <v>2135</v>
      </c>
      <c r="C3" s="2729"/>
      <c r="D3" s="2729"/>
      <c r="E3" s="2729"/>
      <c r="F3" s="1957"/>
      <c r="G3" s="1957"/>
      <c r="H3" s="1957"/>
      <c r="I3" s="1957"/>
      <c r="J3" s="1957"/>
      <c r="K3" s="1957"/>
      <c r="L3" s="1957"/>
    </row>
    <row r="4" spans="2:12" ht="13.5" customHeight="1" x14ac:dyDescent="0.2">
      <c r="B4" s="2730" t="s">
        <v>1799</v>
      </c>
      <c r="C4" s="2731"/>
      <c r="D4" s="2731"/>
      <c r="E4" s="2731"/>
      <c r="F4" s="1958"/>
      <c r="G4" s="1958"/>
      <c r="H4" s="1958"/>
      <c r="I4" s="1958"/>
      <c r="J4" s="1958"/>
      <c r="K4" s="1958"/>
      <c r="L4" s="1958"/>
    </row>
    <row r="5" spans="2:12" ht="29.85" customHeight="1" x14ac:dyDescent="0.2">
      <c r="B5" s="1959"/>
      <c r="C5" s="1959"/>
      <c r="D5" s="1959"/>
      <c r="E5" s="1959"/>
      <c r="F5" s="1959"/>
      <c r="G5" s="1959"/>
      <c r="H5" s="1959"/>
      <c r="I5" s="1959"/>
    </row>
    <row r="6" spans="2:12" ht="13.5" customHeight="1" x14ac:dyDescent="0.2">
      <c r="B6" s="1960" t="s">
        <v>2136</v>
      </c>
      <c r="C6" s="1960"/>
      <c r="D6" s="1961"/>
      <c r="E6" s="1962"/>
      <c r="F6" s="1962"/>
      <c r="G6" s="1963"/>
      <c r="H6" s="1963"/>
      <c r="I6" s="1963"/>
    </row>
    <row r="7" spans="2:12" ht="13.5" customHeight="1" x14ac:dyDescent="0.2">
      <c r="B7" s="1959" t="s">
        <v>1231</v>
      </c>
      <c r="C7" s="1959"/>
      <c r="D7" s="1959"/>
      <c r="E7" s="1959"/>
      <c r="F7" s="1959"/>
      <c r="G7" s="1959"/>
      <c r="H7" s="1959"/>
      <c r="I7" s="1959"/>
    </row>
    <row r="8" spans="2:12" ht="13.5" customHeight="1" x14ac:dyDescent="0.2">
      <c r="B8" s="1964" t="s">
        <v>2137</v>
      </c>
      <c r="C8" s="1965" t="s">
        <v>1950</v>
      </c>
      <c r="D8" s="1966">
        <v>3</v>
      </c>
      <c r="E8" s="1959"/>
      <c r="F8" s="1959"/>
      <c r="G8" s="1959"/>
      <c r="H8" s="1959"/>
      <c r="I8" s="1959"/>
    </row>
    <row r="9" spans="2:12" ht="13.5" customHeight="1" x14ac:dyDescent="0.2">
      <c r="B9" s="1967"/>
      <c r="C9" s="1967"/>
      <c r="D9" s="1967"/>
    </row>
    <row r="10" spans="2:12" ht="13.5" customHeight="1" x14ac:dyDescent="0.2">
      <c r="B10" s="1964" t="s">
        <v>2138</v>
      </c>
      <c r="C10" s="1964"/>
      <c r="D10" s="1959"/>
    </row>
    <row r="11" spans="2:12" ht="66.75" customHeight="1" x14ac:dyDescent="0.2">
      <c r="B11" s="2725" t="s">
        <v>2148</v>
      </c>
      <c r="C11" s="2725"/>
      <c r="D11" s="2726"/>
      <c r="E11" s="2726"/>
    </row>
    <row r="12" spans="2:12" ht="13.5" customHeight="1" x14ac:dyDescent="0.2">
      <c r="B12" s="1959"/>
      <c r="C12" s="1959"/>
      <c r="D12" s="1959"/>
    </row>
    <row r="13" spans="2:12" ht="13.5" customHeight="1" x14ac:dyDescent="0.2">
      <c r="B13" s="1964" t="s">
        <v>2140</v>
      </c>
      <c r="C13" s="1964"/>
      <c r="D13" s="1959"/>
    </row>
    <row r="14" spans="2:12" ht="76.5" customHeight="1" x14ac:dyDescent="0.2">
      <c r="B14" s="2725" t="s">
        <v>2149</v>
      </c>
      <c r="C14" s="2725"/>
      <c r="D14" s="2726"/>
      <c r="E14" s="2726"/>
    </row>
    <row r="15" spans="2:12" ht="13.5" customHeight="1" x14ac:dyDescent="0.2">
      <c r="B15" s="1959"/>
      <c r="C15" s="1959"/>
      <c r="D15" s="1959"/>
    </row>
    <row r="16" spans="2:12" ht="13.5" customHeight="1" x14ac:dyDescent="0.2">
      <c r="B16" s="1964" t="s">
        <v>2141</v>
      </c>
      <c r="C16" s="1964"/>
      <c r="D16" s="1959"/>
      <c r="E16" s="1968">
        <v>43646</v>
      </c>
    </row>
    <row r="17" spans="2:5" ht="13.5" customHeight="1" x14ac:dyDescent="0.2">
      <c r="B17" s="1959"/>
      <c r="C17" s="1959"/>
      <c r="D17" s="1959"/>
    </row>
    <row r="18" spans="2:5" ht="13.5" customHeight="1" x14ac:dyDescent="0.2">
      <c r="B18" s="1964" t="s">
        <v>2142</v>
      </c>
      <c r="C18" s="1964"/>
      <c r="D18" s="1959"/>
      <c r="E18" s="1969" t="s">
        <v>2143</v>
      </c>
    </row>
    <row r="19" spans="2:5" ht="13.5" customHeight="1" x14ac:dyDescent="0.2">
      <c r="B19" s="1959"/>
      <c r="C19" s="1959"/>
      <c r="D19" s="1959"/>
    </row>
    <row r="20" spans="2:5" ht="13.5" customHeight="1" x14ac:dyDescent="0.2">
      <c r="B20" s="1964" t="s">
        <v>2144</v>
      </c>
      <c r="C20" s="1964"/>
      <c r="D20" s="1959"/>
      <c r="E20" s="1969" t="s">
        <v>2109</v>
      </c>
    </row>
    <row r="21" spans="2:5" ht="13.5" customHeight="1" x14ac:dyDescent="0.2">
      <c r="B21" s="1959"/>
      <c r="C21" s="1959"/>
      <c r="D21" s="1959"/>
      <c r="E21" s="1970"/>
    </row>
    <row r="22" spans="2:5" ht="13.5" customHeight="1" x14ac:dyDescent="0.2">
      <c r="B22" s="1959"/>
      <c r="C22" s="1959"/>
      <c r="D22" s="1959"/>
      <c r="E22" s="1970"/>
    </row>
    <row r="23" spans="2:5" ht="13.5" customHeight="1" x14ac:dyDescent="0.2">
      <c r="B23" s="1959"/>
      <c r="C23" s="1959"/>
      <c r="D23" s="1959"/>
    </row>
    <row r="24" spans="2:5" ht="13.5" customHeight="1" x14ac:dyDescent="0.2">
      <c r="B24" s="1959"/>
      <c r="C24" s="1959"/>
      <c r="D24" s="1959"/>
    </row>
    <row r="25" spans="2:5" ht="13.5" customHeight="1" x14ac:dyDescent="0.2">
      <c r="B25" s="1971"/>
      <c r="C25" s="1971"/>
      <c r="D25" s="1971"/>
    </row>
    <row r="26" spans="2:5" ht="13.5" customHeight="1" x14ac:dyDescent="0.2">
      <c r="B26" s="1971"/>
      <c r="C26" s="1971"/>
      <c r="D26" s="1971"/>
    </row>
    <row r="27" spans="2:5" ht="13.5" customHeight="1" x14ac:dyDescent="0.2">
      <c r="B27" s="1971"/>
      <c r="C27" s="1971"/>
      <c r="D27" s="197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2"/>
      <c r="C35" s="1972"/>
      <c r="D35" s="1972"/>
    </row>
    <row r="36" spans="2:5" ht="13.5" customHeight="1" x14ac:dyDescent="0.2"/>
    <row r="37" spans="2:5" ht="13.5" customHeight="1" x14ac:dyDescent="0.2">
      <c r="B37" s="1973"/>
      <c r="C37" s="1973"/>
      <c r="D37" s="1973"/>
    </row>
    <row r="38" spans="2:5" ht="13.5" customHeight="1" x14ac:dyDescent="0.2">
      <c r="B38" s="1973"/>
      <c r="C38" s="1973"/>
      <c r="D38" s="1973"/>
    </row>
    <row r="39" spans="2:5" ht="13.5" customHeight="1" x14ac:dyDescent="0.2">
      <c r="B39" s="1973"/>
      <c r="C39" s="1973"/>
      <c r="D39" s="1973"/>
    </row>
    <row r="40" spans="2:5" ht="13.5" customHeight="1" x14ac:dyDescent="0.2">
      <c r="B40" s="1973"/>
      <c r="C40" s="1973"/>
      <c r="D40" s="1973"/>
    </row>
    <row r="41" spans="2:5" ht="13.5" customHeight="1" x14ac:dyDescent="0.2">
      <c r="B41" s="1974"/>
      <c r="C41" s="1974"/>
      <c r="D41" s="1974"/>
      <c r="E41" s="1975"/>
    </row>
    <row r="42" spans="2:5" ht="12.2" customHeight="1" x14ac:dyDescent="0.2">
      <c r="B42" s="1976" t="s">
        <v>2145</v>
      </c>
      <c r="C42" s="1976"/>
      <c r="D42" s="1976"/>
    </row>
    <row r="43" spans="2:5" ht="12.2" customHeight="1" x14ac:dyDescent="0.2">
      <c r="B43" s="1977"/>
      <c r="C43" s="1977"/>
      <c r="D43" s="1977"/>
    </row>
    <row r="44" spans="2:5" ht="12.75" customHeight="1" x14ac:dyDescent="0.2">
      <c r="B44" s="1978"/>
      <c r="C44" s="1978"/>
      <c r="D44" s="1978"/>
    </row>
    <row r="45" spans="2:5" ht="12.75" customHeight="1" x14ac:dyDescent="0.2">
      <c r="B45" s="1978"/>
      <c r="C45" s="1978"/>
      <c r="D45" s="1978"/>
    </row>
    <row r="46" spans="2:5" x14ac:dyDescent="0.2">
      <c r="B46" s="1978"/>
      <c r="C46" s="1978"/>
      <c r="D46" s="1978"/>
    </row>
    <row r="47" spans="2:5" x14ac:dyDescent="0.2">
      <c r="B47" s="1978"/>
      <c r="C47" s="1978"/>
      <c r="D47" s="1978"/>
    </row>
    <row r="51" spans="2:9" x14ac:dyDescent="0.2">
      <c r="B51" s="1979"/>
      <c r="C51" s="1979"/>
      <c r="D51" s="1979"/>
    </row>
    <row r="52" spans="2:9" ht="12.75" customHeight="1" x14ac:dyDescent="0.2"/>
    <row r="53" spans="2:9" ht="12.75" customHeight="1" x14ac:dyDescent="0.2">
      <c r="B53" s="1959"/>
      <c r="C53" s="1959"/>
      <c r="D53" s="1959"/>
      <c r="E53" s="1959"/>
      <c r="F53" s="1959"/>
      <c r="G53" s="1959"/>
      <c r="H53" s="1959"/>
      <c r="I53" s="1959"/>
    </row>
    <row r="54" spans="2:9" ht="12.75" customHeight="1" x14ac:dyDescent="0.2">
      <c r="B54" s="1959"/>
      <c r="C54" s="1959"/>
      <c r="D54" s="1959"/>
      <c r="E54" s="1959"/>
      <c r="F54" s="1959"/>
      <c r="G54" s="1959"/>
      <c r="H54" s="1959"/>
      <c r="I54" s="1959"/>
    </row>
    <row r="55" spans="2:9" ht="12.75" customHeight="1" x14ac:dyDescent="0.2">
      <c r="B55" s="1959"/>
      <c r="C55" s="1959"/>
      <c r="D55" s="1959"/>
      <c r="E55" s="1959"/>
      <c r="F55" s="1959"/>
      <c r="G55" s="1959"/>
      <c r="H55" s="1959"/>
      <c r="I55" s="1959"/>
    </row>
    <row r="56" spans="2:9" ht="12.75" customHeight="1" x14ac:dyDescent="0.2">
      <c r="B56" s="1959"/>
      <c r="C56" s="1959"/>
      <c r="D56" s="1959"/>
      <c r="E56" s="1959"/>
      <c r="F56" s="1959"/>
      <c r="G56" s="1959"/>
      <c r="H56" s="1959"/>
      <c r="I56" s="1959"/>
    </row>
    <row r="57" spans="2:9" ht="12.75" customHeight="1" x14ac:dyDescent="0.2">
      <c r="B57" s="1959"/>
      <c r="C57" s="1959"/>
      <c r="D57" s="1959"/>
      <c r="E57" s="1959"/>
      <c r="F57" s="1959"/>
      <c r="G57" s="1959"/>
      <c r="H57" s="1959"/>
      <c r="I57" s="1959"/>
    </row>
    <row r="58" spans="2:9" ht="12.75" customHeight="1" x14ac:dyDescent="0.2">
      <c r="B58" s="1959"/>
      <c r="C58" s="1959"/>
      <c r="D58" s="1959"/>
      <c r="E58" s="1959"/>
      <c r="F58" s="1959"/>
      <c r="G58" s="1959"/>
      <c r="H58" s="1959"/>
      <c r="I58" s="1959"/>
    </row>
    <row r="59" spans="2:9" ht="12.75" customHeight="1" x14ac:dyDescent="0.2">
      <c r="B59" s="1959"/>
      <c r="C59" s="1959"/>
      <c r="D59" s="1959"/>
      <c r="E59" s="1959"/>
      <c r="F59" s="1959"/>
    </row>
    <row r="60" spans="2:9" ht="12.75" customHeight="1" x14ac:dyDescent="0.2">
      <c r="B60" s="1959"/>
      <c r="C60" s="1959"/>
      <c r="D60" s="1959"/>
      <c r="E60" s="1959"/>
      <c r="F60" s="1959"/>
      <c r="G60" s="1959"/>
      <c r="H60" s="1959"/>
      <c r="I60" s="1959"/>
    </row>
    <row r="64" spans="2:9" x14ac:dyDescent="0.2">
      <c r="B64" s="1980"/>
      <c r="C64" s="1980"/>
      <c r="D64" s="1980"/>
    </row>
    <row r="65" spans="2:4" x14ac:dyDescent="0.2">
      <c r="B65" s="1978"/>
      <c r="C65" s="1978"/>
      <c r="D65" s="1978"/>
    </row>
    <row r="66" spans="2:4" x14ac:dyDescent="0.2">
      <c r="B66" s="1978"/>
      <c r="C66" s="1978"/>
      <c r="D66" s="1978"/>
    </row>
    <row r="67" spans="2:4" x14ac:dyDescent="0.2">
      <c r="B67" s="1981"/>
      <c r="C67" s="1981"/>
      <c r="D67" s="1981"/>
    </row>
    <row r="68" spans="2:4" x14ac:dyDescent="0.2">
      <c r="B68" s="1981"/>
      <c r="C68" s="1981"/>
      <c r="D68" s="1981"/>
    </row>
    <row r="69" spans="2:4" x14ac:dyDescent="0.2">
      <c r="B69" s="1981"/>
      <c r="C69" s="1981"/>
      <c r="D69" s="1981"/>
    </row>
    <row r="70" spans="2:4" x14ac:dyDescent="0.2">
      <c r="B70" s="1978"/>
      <c r="C70" s="1978"/>
      <c r="D70" s="197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313" t="s">
        <v>404</v>
      </c>
      <c r="B1" s="2313"/>
      <c r="C1" s="2313"/>
      <c r="D1" s="2313"/>
      <c r="E1" s="2313"/>
      <c r="F1" s="2313"/>
      <c r="G1" s="2313"/>
      <c r="H1" s="2313"/>
      <c r="I1" s="2313"/>
      <c r="J1" s="2313"/>
      <c r="K1" s="2313"/>
      <c r="L1" s="2313"/>
      <c r="M1" s="2313"/>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1">
        <f>ROUND(D10+F10+H10,5)</f>
        <v>0</v>
      </c>
      <c r="K10" s="222"/>
      <c r="L10" s="355"/>
      <c r="M10" s="222"/>
    </row>
    <row r="11" spans="1:14" ht="7.5" customHeight="1" x14ac:dyDescent="0.2">
      <c r="B11" s="222"/>
      <c r="C11" s="222"/>
      <c r="D11" s="2323" t="str">
        <f>IF(SUM(J10)&lt;=0.0999999,"","Enter the Tax Rates by moving the decimal two places to the left.")</f>
        <v/>
      </c>
      <c r="E11" s="2324"/>
      <c r="F11" s="2324"/>
      <c r="G11" s="2324"/>
      <c r="H11" s="2324"/>
      <c r="I11" s="2324"/>
      <c r="J11" s="23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9427434</v>
      </c>
      <c r="E16" s="356"/>
      <c r="F16" s="1752">
        <f>SUM('Acct Summary 7-8'!C17,'Acct Summary 7-8'!D17,'Acct Summary 7-8'!F17)</f>
        <v>9774300</v>
      </c>
      <c r="G16" s="356"/>
      <c r="H16" s="1752">
        <f>SUM(D16-F16)</f>
        <v>-346866</v>
      </c>
      <c r="I16" s="222"/>
      <c r="J16" s="1752">
        <f>SUM('Acct Summary 7-8'!C81,'Acct Summary 7-8'!D81,'Acct Summary 7-8'!F81,'Acct Summary 7-8'!I81)</f>
        <v>1577020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314"/>
      <c r="C54" s="2315"/>
      <c r="D54" s="2315"/>
      <c r="E54" s="2315"/>
      <c r="F54" s="2315"/>
      <c r="G54" s="2315"/>
      <c r="H54" s="2315"/>
      <c r="I54" s="2315"/>
      <c r="J54" s="2315"/>
      <c r="K54" s="2315"/>
      <c r="L54" s="2316"/>
      <c r="M54" s="380"/>
    </row>
    <row r="55" spans="1:13" ht="12.75" customHeight="1" x14ac:dyDescent="0.2">
      <c r="B55" s="2317"/>
      <c r="C55" s="2318"/>
      <c r="D55" s="2318"/>
      <c r="E55" s="2318"/>
      <c r="F55" s="2318"/>
      <c r="G55" s="2318"/>
      <c r="H55" s="2318"/>
      <c r="I55" s="2318"/>
      <c r="J55" s="2318"/>
      <c r="K55" s="2318"/>
      <c r="L55" s="2319"/>
      <c r="M55" s="380"/>
    </row>
    <row r="56" spans="1:13" ht="12.75" customHeight="1" x14ac:dyDescent="0.2">
      <c r="B56" s="2317"/>
      <c r="C56" s="2318"/>
      <c r="D56" s="2318"/>
      <c r="E56" s="2318"/>
      <c r="F56" s="2318"/>
      <c r="G56" s="2318"/>
      <c r="H56" s="2318"/>
      <c r="I56" s="2318"/>
      <c r="J56" s="2318"/>
      <c r="K56" s="2318"/>
      <c r="L56" s="2319"/>
      <c r="M56" s="222"/>
    </row>
    <row r="57" spans="1:13" ht="12.75" customHeight="1" x14ac:dyDescent="0.2">
      <c r="B57" s="2317"/>
      <c r="C57" s="2318"/>
      <c r="D57" s="2318"/>
      <c r="E57" s="2318"/>
      <c r="F57" s="2318"/>
      <c r="G57" s="2318"/>
      <c r="H57" s="2318"/>
      <c r="I57" s="2318"/>
      <c r="J57" s="2318"/>
      <c r="K57" s="2318"/>
      <c r="L57" s="2319"/>
      <c r="M57" s="222"/>
    </row>
    <row r="58" spans="1:13" x14ac:dyDescent="0.2">
      <c r="B58" s="2320"/>
      <c r="C58" s="2321"/>
      <c r="D58" s="2321"/>
      <c r="E58" s="2321"/>
      <c r="F58" s="2321"/>
      <c r="G58" s="2321"/>
      <c r="H58" s="2321"/>
      <c r="I58" s="2321"/>
      <c r="J58" s="2321"/>
      <c r="K58" s="2321"/>
      <c r="L58" s="23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325"/>
      <c r="D61" s="23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140625" style="385"/>
  </cols>
  <sheetData>
    <row r="1" spans="1:18" ht="12.75" x14ac:dyDescent="0.2">
      <c r="A1" s="2328"/>
      <c r="B1" s="2329"/>
      <c r="C1" s="2329"/>
      <c r="D1" s="384"/>
      <c r="E1" s="384"/>
      <c r="F1" s="384"/>
      <c r="G1" s="384"/>
      <c r="H1" s="384"/>
      <c r="I1" s="384"/>
      <c r="J1" s="384"/>
      <c r="K1" s="384"/>
      <c r="L1" s="384"/>
      <c r="M1" s="384"/>
      <c r="N1" s="384"/>
      <c r="O1" s="2328"/>
      <c r="P1" s="2329"/>
      <c r="Q1" s="2329"/>
    </row>
    <row r="2" spans="1:18" ht="15" x14ac:dyDescent="0.2">
      <c r="A2" s="2332" t="s">
        <v>577</v>
      </c>
      <c r="B2" s="2332"/>
      <c r="C2" s="2332"/>
      <c r="D2" s="2332"/>
      <c r="E2" s="2332"/>
      <c r="F2" s="2332"/>
      <c r="G2" s="2332"/>
      <c r="H2" s="2332"/>
      <c r="I2" s="2332"/>
      <c r="J2" s="2332"/>
      <c r="K2" s="2332"/>
      <c r="L2" s="2332"/>
      <c r="M2" s="2332"/>
      <c r="N2" s="2332"/>
      <c r="O2" s="2332"/>
      <c r="P2" s="2332"/>
      <c r="Q2" s="2332"/>
      <c r="R2" s="2332"/>
    </row>
    <row r="3" spans="1:18" ht="12.75" x14ac:dyDescent="0.2">
      <c r="A3" s="2333" t="s">
        <v>1480</v>
      </c>
      <c r="B3" s="2333"/>
      <c r="C3" s="2333"/>
      <c r="D3" s="2333"/>
      <c r="E3" s="2333"/>
      <c r="F3" s="2333"/>
      <c r="G3" s="2333"/>
      <c r="H3" s="2333"/>
      <c r="I3" s="2333"/>
      <c r="J3" s="2333"/>
      <c r="K3" s="2333"/>
      <c r="L3" s="2333"/>
      <c r="M3" s="2333"/>
      <c r="N3" s="2333"/>
      <c r="O3" s="2333"/>
      <c r="P3" s="2333"/>
      <c r="Q3" s="2333"/>
      <c r="R3" s="2333"/>
    </row>
    <row r="4" spans="1:18" x14ac:dyDescent="0.2">
      <c r="A4" s="2334" t="s">
        <v>1635</v>
      </c>
      <c r="B4" s="2334"/>
      <c r="C4" s="2334"/>
      <c r="D4" s="2334"/>
      <c r="E4" s="2334"/>
      <c r="F4" s="2334"/>
      <c r="G4" s="2334"/>
      <c r="H4" s="2334"/>
      <c r="I4" s="2334"/>
      <c r="J4" s="2334"/>
      <c r="K4" s="2334"/>
      <c r="L4" s="2334"/>
      <c r="M4" s="2334"/>
      <c r="N4" s="2334"/>
      <c r="O4" s="2334"/>
      <c r="P4" s="2334"/>
      <c r="Q4" s="2334"/>
      <c r="R4" s="23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West Central Illinois Special Education Coop</v>
      </c>
      <c r="E7" s="391"/>
      <c r="G7" s="252"/>
      <c r="H7" s="387"/>
      <c r="I7" s="387"/>
      <c r="J7" s="387"/>
      <c r="K7" s="387"/>
      <c r="L7" s="329"/>
      <c r="M7" s="329"/>
      <c r="N7" s="329"/>
      <c r="O7" s="329"/>
      <c r="P7" s="329"/>
    </row>
    <row r="8" spans="1:18" ht="12.75" x14ac:dyDescent="0.2">
      <c r="A8" s="329"/>
      <c r="B8" s="329"/>
      <c r="C8" s="389" t="s">
        <v>1187</v>
      </c>
      <c r="D8" s="392">
        <f>COVER!A13</f>
        <v>26062000061</v>
      </c>
      <c r="E8" s="393"/>
      <c r="G8" s="329"/>
      <c r="H8" s="329"/>
      <c r="I8" s="329"/>
      <c r="J8" s="329"/>
      <c r="K8" s="329"/>
      <c r="L8" s="329"/>
      <c r="M8" s="329"/>
      <c r="N8" s="329"/>
      <c r="O8" s="329"/>
      <c r="P8" s="329"/>
    </row>
    <row r="9" spans="1:18" ht="12.75" x14ac:dyDescent="0.2">
      <c r="A9" s="329"/>
      <c r="B9" s="329"/>
      <c r="C9" s="389" t="s">
        <v>737</v>
      </c>
      <c r="D9" s="394" t="str">
        <f>COVER!A15</f>
        <v>McDonough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1577020</v>
      </c>
      <c r="I12" s="404"/>
      <c r="J12" s="404"/>
      <c r="K12" s="405">
        <f>TRUNC((H12/H13*100000),5)/100000</f>
        <v>0.16727987700000002</v>
      </c>
      <c r="L12" s="406"/>
      <c r="M12" s="360" t="s">
        <v>1206</v>
      </c>
      <c r="N12" s="360"/>
      <c r="O12" s="407">
        <v>0.35</v>
      </c>
      <c r="P12" s="218"/>
      <c r="Q12" s="218"/>
    </row>
    <row r="13" spans="1:18" s="408" customFormat="1" ht="12.75" x14ac:dyDescent="0.2">
      <c r="A13" s="218"/>
      <c r="B13" s="401"/>
      <c r="C13" s="2330" t="s">
        <v>1391</v>
      </c>
      <c r="D13" s="2331"/>
      <c r="E13" s="218"/>
      <c r="F13" s="409" t="s">
        <v>826</v>
      </c>
      <c r="G13" s="402"/>
      <c r="H13" s="403">
        <f>SUM('Acct Summary 7-8'!C8+'Acct Summary 7-8'!D8+'Acct Summary 7-8'!F8+'Acct Summary 7-8'!I8)+H14</f>
        <v>9427434</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9774300</v>
      </c>
      <c r="I17" s="404"/>
      <c r="J17" s="416"/>
      <c r="K17" s="405">
        <f>TRUNC((H17/H18*100000),5)/100000</f>
        <v>1.0367932567</v>
      </c>
      <c r="L17" s="406"/>
      <c r="M17" s="417" t="s">
        <v>1233</v>
      </c>
      <c r="O17" s="418" t="str">
        <f>IF(AND(O16="2", J20 &gt; 2),"1",IF(AND(O16 = "1", J20 &gt; 2),"2",IF(AND(O16="1", J20 &gt;1),"1","0")))</f>
        <v>0</v>
      </c>
      <c r="P17" s="218"/>
    </row>
    <row r="18" spans="1:18" s="408" customFormat="1" ht="11.25" x14ac:dyDescent="0.2">
      <c r="A18" s="218"/>
      <c r="B18" s="401"/>
      <c r="C18" s="2330" t="s">
        <v>1384</v>
      </c>
      <c r="D18" s="2331"/>
      <c r="E18" s="218"/>
      <c r="F18" s="419" t="s">
        <v>827</v>
      </c>
      <c r="G18" s="402"/>
      <c r="H18" s="403">
        <f>SUM('Acct Summary 7-8'!C8+'Acct Summary 7-8'!D8+'Acct Summary 7-8'!F8+'Acct Summary 7-8'!I8)+H19</f>
        <v>9427434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1.8285926000000001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327" t="s">
        <v>1479</v>
      </c>
      <c r="D24" s="2327"/>
      <c r="E24" s="218"/>
      <c r="F24" s="218" t="s">
        <v>465</v>
      </c>
      <c r="G24" s="402"/>
      <c r="H24" s="403">
        <f>SUM('Assets-Liab 5-6'!C4+'Assets-Liab 5-6'!D4+'Assets-Liab 5-6'!F4+'Assets-Liab 5-6'!I4+'Assets-Liab 5-6'!C5+'Assets-Liab 5-6'!D5+'Assets-Liab 5-6'!F5+'Assets-Liab 5-6'!I5)</f>
        <v>1553801</v>
      </c>
      <c r="I24" s="422"/>
      <c r="J24" s="422"/>
      <c r="K24" s="423">
        <f>TRUNC(((H24/H25*100000)/100000),2)</f>
        <v>57.22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27150.833330000001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3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3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337" t="s">
        <v>1030</v>
      </c>
      <c r="B3" s="2338"/>
      <c r="C3" s="1578"/>
      <c r="D3" s="1579"/>
      <c r="E3" s="1579"/>
      <c r="F3" s="1579"/>
      <c r="G3" s="1579"/>
      <c r="H3" s="1579"/>
      <c r="I3" s="1579"/>
      <c r="J3" s="1579"/>
      <c r="K3" s="1579"/>
      <c r="L3" s="1579"/>
      <c r="M3" s="1580"/>
      <c r="N3" s="1581"/>
    </row>
    <row r="4" spans="1:14" ht="13.5" customHeight="1" x14ac:dyDescent="0.2">
      <c r="A4" s="463" t="s">
        <v>1750</v>
      </c>
      <c r="B4" s="464"/>
      <c r="C4" s="465">
        <v>1553801</v>
      </c>
      <c r="D4" s="465">
        <v>0</v>
      </c>
      <c r="E4" s="466">
        <v>0</v>
      </c>
      <c r="F4" s="466">
        <v>0</v>
      </c>
      <c r="G4" s="466">
        <v>0</v>
      </c>
      <c r="H4" s="466">
        <v>0</v>
      </c>
      <c r="I4" s="466">
        <v>0</v>
      </c>
      <c r="J4" s="467">
        <v>0</v>
      </c>
      <c r="K4" s="466">
        <v>0</v>
      </c>
      <c r="L4" s="466">
        <v>33168</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16969</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6250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1577020</v>
      </c>
      <c r="D13" s="1756">
        <f t="shared" ref="D13:L13" si="0">SUM(D4:D12)</f>
        <v>0</v>
      </c>
      <c r="E13" s="1756">
        <f t="shared" si="0"/>
        <v>0</v>
      </c>
      <c r="F13" s="1756">
        <f t="shared" si="0"/>
        <v>0</v>
      </c>
      <c r="G13" s="1756">
        <f t="shared" si="0"/>
        <v>0</v>
      </c>
      <c r="H13" s="1756">
        <f t="shared" si="0"/>
        <v>0</v>
      </c>
      <c r="I13" s="1756">
        <f t="shared" si="0"/>
        <v>0</v>
      </c>
      <c r="J13" s="1756">
        <f t="shared" si="0"/>
        <v>0</v>
      </c>
      <c r="K13" s="1756">
        <f t="shared" si="0"/>
        <v>0</v>
      </c>
      <c r="L13" s="1756">
        <f t="shared" si="0"/>
        <v>33168</v>
      </c>
      <c r="M13" s="468"/>
      <c r="N13" s="469"/>
    </row>
    <row r="14" spans="1:14" ht="18" customHeight="1" thickTop="1" x14ac:dyDescent="0.2">
      <c r="A14" s="2339" t="s">
        <v>149</v>
      </c>
      <c r="B14" s="2340"/>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0</v>
      </c>
      <c r="N16" s="483"/>
    </row>
    <row r="17" spans="1:14" s="484" customFormat="1" ht="12.75" customHeight="1" x14ac:dyDescent="0.2">
      <c r="A17" s="481" t="s">
        <v>1470</v>
      </c>
      <c r="B17" s="482">
        <v>230</v>
      </c>
      <c r="C17" s="476"/>
      <c r="D17" s="476"/>
      <c r="E17" s="476"/>
      <c r="F17" s="476"/>
      <c r="G17" s="476"/>
      <c r="H17" s="476"/>
      <c r="I17" s="476"/>
      <c r="J17" s="476"/>
      <c r="K17" s="476"/>
      <c r="L17" s="476"/>
      <c r="M17" s="467">
        <v>0</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227629</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5" t="s">
        <v>664</v>
      </c>
      <c r="B23" s="1760"/>
      <c r="C23" s="468"/>
      <c r="D23" s="468"/>
      <c r="E23" s="468"/>
      <c r="F23" s="468"/>
      <c r="G23" s="468"/>
      <c r="H23" s="468"/>
      <c r="I23" s="468"/>
      <c r="J23" s="468"/>
      <c r="K23" s="468"/>
      <c r="L23" s="468"/>
      <c r="M23" s="1707">
        <f>SUM(M15:M22)</f>
        <v>227629</v>
      </c>
      <c r="N23" s="1707">
        <f>SUM(N21:N22)</f>
        <v>0</v>
      </c>
    </row>
    <row r="24" spans="1:14" ht="18" customHeight="1" thickTop="1" x14ac:dyDescent="0.2">
      <c r="A24" s="2341" t="s">
        <v>619</v>
      </c>
      <c r="B24" s="2342"/>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17779</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17779</v>
      </c>
      <c r="M34" s="468"/>
      <c r="N34" s="479"/>
    </row>
    <row r="35" spans="1:14" ht="18" customHeight="1" thickTop="1" x14ac:dyDescent="0.2">
      <c r="A35" s="2343" t="s">
        <v>550</v>
      </c>
      <c r="B35" s="2344"/>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5" t="s">
        <v>674</v>
      </c>
      <c r="B37" s="1760"/>
      <c r="C37" s="476"/>
      <c r="D37" s="476"/>
      <c r="E37" s="476"/>
      <c r="F37" s="476"/>
      <c r="G37" s="476"/>
      <c r="H37" s="476"/>
      <c r="I37" s="476"/>
      <c r="J37" s="476"/>
      <c r="K37" s="476"/>
      <c r="L37" s="479"/>
      <c r="M37" s="468"/>
      <c r="N37" s="1707">
        <f>SUM(N36:N36)</f>
        <v>0</v>
      </c>
    </row>
    <row r="38" spans="1:14" s="329" customFormat="1" ht="13.5" customHeight="1" thickTop="1" x14ac:dyDescent="0.2">
      <c r="A38" s="494" t="s">
        <v>440</v>
      </c>
      <c r="B38" s="482">
        <v>714</v>
      </c>
      <c r="C38" s="465">
        <v>0</v>
      </c>
      <c r="D38" s="465">
        <v>0</v>
      </c>
      <c r="E38" s="465">
        <v>0</v>
      </c>
      <c r="F38" s="465">
        <v>0</v>
      </c>
      <c r="G38" s="465">
        <v>0</v>
      </c>
      <c r="H38" s="465">
        <v>0</v>
      </c>
      <c r="I38" s="465">
        <v>0</v>
      </c>
      <c r="J38" s="465">
        <v>0</v>
      </c>
      <c r="K38" s="465">
        <v>0</v>
      </c>
      <c r="L38" s="465">
        <v>15389</v>
      </c>
      <c r="M38" s="495"/>
      <c r="N38" s="495"/>
    </row>
    <row r="39" spans="1:14" s="329" customFormat="1" ht="13.5" customHeight="1" x14ac:dyDescent="0.2">
      <c r="A39" s="494" t="s">
        <v>360</v>
      </c>
      <c r="B39" s="482">
        <v>730</v>
      </c>
      <c r="C39" s="465">
        <v>1577020</v>
      </c>
      <c r="D39" s="465">
        <v>0</v>
      </c>
      <c r="E39" s="465">
        <v>0</v>
      </c>
      <c r="F39" s="465">
        <v>0</v>
      </c>
      <c r="G39" s="465">
        <v>0</v>
      </c>
      <c r="H39" s="465">
        <v>0</v>
      </c>
      <c r="I39" s="465">
        <v>0</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227629</v>
      </c>
      <c r="N40" s="495"/>
    </row>
    <row r="41" spans="1:14" ht="13.5" customHeight="1" thickBot="1" x14ac:dyDescent="0.25">
      <c r="A41" s="1755" t="s">
        <v>676</v>
      </c>
      <c r="B41" s="1725"/>
      <c r="C41" s="1707">
        <f>(SUM(C34,C37,C38,C39))</f>
        <v>1577020</v>
      </c>
      <c r="D41" s="1707">
        <f t="shared" ref="D41:L41" si="2">SUM(D34,D37,D38:D39)</f>
        <v>0</v>
      </c>
      <c r="E41" s="1707">
        <f t="shared" si="2"/>
        <v>0</v>
      </c>
      <c r="F41" s="1707">
        <f t="shared" si="2"/>
        <v>0</v>
      </c>
      <c r="G41" s="1707">
        <f t="shared" si="2"/>
        <v>0</v>
      </c>
      <c r="H41" s="1707">
        <f t="shared" si="2"/>
        <v>0</v>
      </c>
      <c r="I41" s="1707">
        <f t="shared" si="2"/>
        <v>0</v>
      </c>
      <c r="J41" s="1707">
        <f t="shared" si="2"/>
        <v>0</v>
      </c>
      <c r="K41" s="1707">
        <f t="shared" si="2"/>
        <v>0</v>
      </c>
      <c r="L41" s="1707">
        <f t="shared" si="2"/>
        <v>33168</v>
      </c>
      <c r="M41" s="1707">
        <f>SUM(M40)</f>
        <v>227629</v>
      </c>
      <c r="N41" s="1707">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if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1245" activePane="bottomLeft"/>
      <selection activeCell="A23" sqref="A23:H23"/>
      <selection pane="bottomLeft" sqref="A1:A2"/>
    </sheetView>
  </sheetViews>
  <sheetFormatPr defaultColWidth="9.140625" defaultRowHeight="12.75" x14ac:dyDescent="0.2"/>
  <cols>
    <col min="1" max="1" width="55.71093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353"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35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365" t="s">
        <v>1237</v>
      </c>
      <c r="B3" s="2366"/>
      <c r="C3" s="1592"/>
      <c r="D3" s="1593"/>
      <c r="E3" s="1593"/>
      <c r="F3" s="1593"/>
      <c r="G3" s="1593"/>
      <c r="H3" s="1593"/>
      <c r="I3" s="1593"/>
      <c r="J3" s="1593"/>
      <c r="K3" s="1594"/>
      <c r="L3" s="504"/>
    </row>
    <row r="4" spans="1:13" ht="15.95" customHeight="1" x14ac:dyDescent="0.2">
      <c r="A4" s="1951" t="s">
        <v>1579</v>
      </c>
      <c r="B4" s="1952">
        <v>1000</v>
      </c>
      <c r="C4" s="1761">
        <f>'Revenues 9-14'!C109</f>
        <v>4908780</v>
      </c>
      <c r="D4" s="1761">
        <f>'Revenues 9-14'!D109</f>
        <v>0</v>
      </c>
      <c r="E4" s="1761">
        <f>'Revenues 9-14'!E109</f>
        <v>0</v>
      </c>
      <c r="F4" s="1761">
        <f>'Revenues 9-14'!F109</f>
        <v>0</v>
      </c>
      <c r="G4" s="1761">
        <f>'Revenues 9-14'!G109</f>
        <v>0</v>
      </c>
      <c r="H4" s="1761">
        <f>'Revenues 9-14'!H109</f>
        <v>0</v>
      </c>
      <c r="I4" s="1761">
        <f>'Revenues 9-14'!I109</f>
        <v>0</v>
      </c>
      <c r="J4" s="1761">
        <f>'Revenues 9-14'!J109</f>
        <v>0</v>
      </c>
      <c r="K4" s="1761">
        <f>'Revenues 9-14'!K109</f>
        <v>0</v>
      </c>
      <c r="L4" s="347"/>
    </row>
    <row r="5" spans="1:13" ht="15.95" customHeight="1" x14ac:dyDescent="0.2">
      <c r="A5" s="1595" t="s">
        <v>1580</v>
      </c>
      <c r="B5" s="1596">
        <v>2000</v>
      </c>
      <c r="C5" s="1762">
        <f>'Revenues 9-14'!C114</f>
        <v>112549</v>
      </c>
      <c r="D5" s="1762">
        <f>'Revenues 9-14'!D114</f>
        <v>0</v>
      </c>
      <c r="E5" s="506"/>
      <c r="F5" s="1762">
        <f>'Revenues 9-14'!F114</f>
        <v>0</v>
      </c>
      <c r="G5" s="1762">
        <f>'Revenues 9-14'!G114</f>
        <v>0</v>
      </c>
      <c r="H5" s="507" t="s">
        <v>1231</v>
      </c>
      <c r="I5" s="508" t="s">
        <v>1231</v>
      </c>
      <c r="J5" s="509" t="s">
        <v>1231</v>
      </c>
      <c r="K5" s="510" t="s">
        <v>1231</v>
      </c>
      <c r="L5" s="347"/>
    </row>
    <row r="6" spans="1:13" ht="15.95" customHeight="1" x14ac:dyDescent="0.2">
      <c r="A6" s="1595" t="s">
        <v>1581</v>
      </c>
      <c r="B6" s="1597">
        <v>3000</v>
      </c>
      <c r="C6" s="1762">
        <f>'Revenues 9-14'!C173</f>
        <v>1119252</v>
      </c>
      <c r="D6" s="1762">
        <f>'Revenues 9-14'!D173</f>
        <v>0</v>
      </c>
      <c r="E6" s="1762">
        <f>'Revenues 9-14'!E173</f>
        <v>0</v>
      </c>
      <c r="F6" s="1762">
        <f>'Revenues 9-14'!F173</f>
        <v>0</v>
      </c>
      <c r="G6" s="1762">
        <f>'Revenues 9-14'!G173</f>
        <v>0</v>
      </c>
      <c r="H6" s="1762">
        <f>'Revenues 9-14'!H173</f>
        <v>0</v>
      </c>
      <c r="I6" s="1762">
        <f>'Revenues 9-14'!I173</f>
        <v>0</v>
      </c>
      <c r="J6" s="1762">
        <f>'Revenues 9-14'!J173</f>
        <v>0</v>
      </c>
      <c r="K6" s="1762">
        <f>'Revenues 9-14'!K173</f>
        <v>0</v>
      </c>
      <c r="L6" s="347"/>
      <c r="M6" s="511"/>
    </row>
    <row r="7" spans="1:13" ht="15.95" customHeight="1" x14ac:dyDescent="0.2">
      <c r="A7" s="1595" t="s">
        <v>1582</v>
      </c>
      <c r="B7" s="1597">
        <v>4000</v>
      </c>
      <c r="C7" s="1762">
        <f>'Revenues 9-14'!C274</f>
        <v>3286853</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9427434</v>
      </c>
      <c r="D8" s="1707">
        <f t="shared" ref="D8:K8" si="0">SUM(D4:D7)</f>
        <v>0</v>
      </c>
      <c r="E8" s="1707">
        <f t="shared" si="0"/>
        <v>0</v>
      </c>
      <c r="F8" s="1707">
        <f t="shared" si="0"/>
        <v>0</v>
      </c>
      <c r="G8" s="1707">
        <f t="shared" si="0"/>
        <v>0</v>
      </c>
      <c r="H8" s="1707">
        <f t="shared" si="0"/>
        <v>0</v>
      </c>
      <c r="I8" s="1707">
        <f t="shared" si="0"/>
        <v>0</v>
      </c>
      <c r="J8" s="1707">
        <f t="shared" si="0"/>
        <v>0</v>
      </c>
      <c r="K8" s="1707">
        <f t="shared" si="0"/>
        <v>0</v>
      </c>
      <c r="L8" s="347"/>
    </row>
    <row r="9" spans="1:13" ht="15.75" thickTop="1" x14ac:dyDescent="0.2">
      <c r="A9" s="512" t="s">
        <v>1752</v>
      </c>
      <c r="B9" s="513">
        <v>3998</v>
      </c>
      <c r="C9" s="465">
        <v>2211474</v>
      </c>
      <c r="D9" s="514"/>
      <c r="E9" s="480"/>
      <c r="F9" s="480"/>
      <c r="G9" s="515"/>
      <c r="H9" s="480"/>
      <c r="I9" s="507" t="s">
        <v>1231</v>
      </c>
      <c r="J9" s="477"/>
      <c r="K9" s="480"/>
      <c r="L9" s="347"/>
    </row>
    <row r="10" spans="1:13" s="517" customFormat="1" ht="13.5" thickBot="1" x14ac:dyDescent="0.25">
      <c r="A10" s="1755" t="s">
        <v>1235</v>
      </c>
      <c r="B10" s="1728"/>
      <c r="C10" s="1707">
        <f>SUM(C8:C9)</f>
        <v>11638908</v>
      </c>
      <c r="D10" s="1707">
        <f t="shared" ref="D10:K10" si="1">SUM(D8:D9)</f>
        <v>0</v>
      </c>
      <c r="E10" s="1707">
        <f t="shared" si="1"/>
        <v>0</v>
      </c>
      <c r="F10" s="1707">
        <f t="shared" si="1"/>
        <v>0</v>
      </c>
      <c r="G10" s="1707">
        <f t="shared" si="1"/>
        <v>0</v>
      </c>
      <c r="H10" s="1707">
        <f t="shared" si="1"/>
        <v>0</v>
      </c>
      <c r="I10" s="1707">
        <f t="shared" si="1"/>
        <v>0</v>
      </c>
      <c r="J10" s="1707">
        <f t="shared" si="1"/>
        <v>0</v>
      </c>
      <c r="K10" s="1707">
        <f t="shared" si="1"/>
        <v>0</v>
      </c>
      <c r="L10" s="516"/>
    </row>
    <row r="11" spans="1:13" s="517" customFormat="1" ht="16.7" customHeight="1" thickTop="1" x14ac:dyDescent="0.2">
      <c r="A11" s="2339" t="s">
        <v>1238</v>
      </c>
      <c r="B11" s="2340"/>
      <c r="C11" s="1589"/>
      <c r="D11" s="1590"/>
      <c r="E11" s="1590"/>
      <c r="F11" s="1590"/>
      <c r="G11" s="1590"/>
      <c r="H11" s="1590"/>
      <c r="I11" s="1590"/>
      <c r="J11" s="1590"/>
      <c r="K11" s="1591"/>
      <c r="L11" s="516"/>
    </row>
    <row r="12" spans="1:13" ht="15.95" customHeight="1" x14ac:dyDescent="0.2">
      <c r="A12" s="1595" t="s">
        <v>476</v>
      </c>
      <c r="B12" s="1597">
        <v>1000</v>
      </c>
      <c r="C12" s="1761">
        <f>'Expenditures 15-22'!K33</f>
        <v>5213694</v>
      </c>
      <c r="D12" s="518" t="s">
        <v>1231</v>
      </c>
      <c r="E12" s="468" t="s">
        <v>1231</v>
      </c>
      <c r="F12" s="468" t="s">
        <v>1231</v>
      </c>
      <c r="G12" s="1761">
        <f>'Expenditures 15-22'!K229</f>
        <v>0</v>
      </c>
      <c r="H12" s="519"/>
      <c r="I12" s="468" t="s">
        <v>1231</v>
      </c>
      <c r="J12" s="468" t="s">
        <v>1231</v>
      </c>
      <c r="K12" s="519" t="s">
        <v>1231</v>
      </c>
      <c r="L12" s="347"/>
    </row>
    <row r="13" spans="1:13" ht="15.95" customHeight="1" x14ac:dyDescent="0.2">
      <c r="A13" s="1595" t="s">
        <v>477</v>
      </c>
      <c r="B13" s="1597">
        <v>2000</v>
      </c>
      <c r="C13" s="1762">
        <f>'Expenditures 15-22'!K74</f>
        <v>4361612</v>
      </c>
      <c r="D13" s="1762">
        <f>'Expenditures 15-22'!K129</f>
        <v>0</v>
      </c>
      <c r="E13" s="469" t="s">
        <v>1231</v>
      </c>
      <c r="F13" s="1762">
        <f>'Expenditures 15-22'!K184</f>
        <v>0</v>
      </c>
      <c r="G13" s="1762">
        <f>'Expenditures 15-22'!K279</f>
        <v>0</v>
      </c>
      <c r="H13" s="1762">
        <f>'Expenditures 15-22'!K303</f>
        <v>0</v>
      </c>
      <c r="I13" s="468" t="s">
        <v>1231</v>
      </c>
      <c r="J13" s="1762">
        <f>'Expenditures 15-22'!K330</f>
        <v>0</v>
      </c>
      <c r="K13" s="1766">
        <f>'Expenditures 15-22'!K352</f>
        <v>0</v>
      </c>
      <c r="L13" s="347"/>
    </row>
    <row r="14" spans="1:13" ht="15.95" customHeight="1" x14ac:dyDescent="0.2">
      <c r="A14" s="1595" t="s">
        <v>469</v>
      </c>
      <c r="B14" s="1597">
        <v>3000</v>
      </c>
      <c r="C14" s="1762">
        <f>'Expenditures 15-22'!K75</f>
        <v>0</v>
      </c>
      <c r="D14" s="1762">
        <f>'Expenditures 15-22'!K130</f>
        <v>0</v>
      </c>
      <c r="E14" s="518" t="s">
        <v>1231</v>
      </c>
      <c r="F14" s="1762">
        <f>'Expenditures 15-22'!K185</f>
        <v>0</v>
      </c>
      <c r="G14" s="1762">
        <f>'Expenditures 15-22'!K280</f>
        <v>0</v>
      </c>
      <c r="H14" s="510"/>
      <c r="I14" s="468" t="s">
        <v>1231</v>
      </c>
      <c r="J14" s="468" t="s">
        <v>1231</v>
      </c>
      <c r="K14" s="510" t="s">
        <v>1231</v>
      </c>
      <c r="L14" s="347"/>
    </row>
    <row r="15" spans="1:13" ht="15.95" customHeight="1" x14ac:dyDescent="0.2">
      <c r="A15" s="1595" t="s">
        <v>109</v>
      </c>
      <c r="B15" s="1597">
        <v>4000</v>
      </c>
      <c r="C15" s="1762">
        <f>'Expenditures 15-22'!K102</f>
        <v>198994</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95" customHeight="1" x14ac:dyDescent="0.2">
      <c r="A16" s="1595" t="s">
        <v>470</v>
      </c>
      <c r="B16" s="1597">
        <v>5000</v>
      </c>
      <c r="C16" s="1762">
        <f>'Expenditures 15-22'!K112</f>
        <v>0</v>
      </c>
      <c r="D16" s="1762">
        <f>'Expenditures 15-22'!K149</f>
        <v>0</v>
      </c>
      <c r="E16" s="1762">
        <f>'Expenditures 15-22'!K172</f>
        <v>0</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9774300</v>
      </c>
      <c r="D17" s="1707">
        <f t="shared" si="2"/>
        <v>0</v>
      </c>
      <c r="E17" s="1707">
        <f t="shared" si="2"/>
        <v>0</v>
      </c>
      <c r="F17" s="1707">
        <f t="shared" si="2"/>
        <v>0</v>
      </c>
      <c r="G17" s="1707">
        <f t="shared" si="2"/>
        <v>0</v>
      </c>
      <c r="H17" s="1707">
        <f t="shared" si="2"/>
        <v>0</v>
      </c>
      <c r="I17" s="468"/>
      <c r="J17" s="1707">
        <f>SUM(J12:J16)</f>
        <v>0</v>
      </c>
      <c r="K17" s="1707">
        <f>SUM(K12:K16)</f>
        <v>0</v>
      </c>
      <c r="L17" s="347"/>
    </row>
    <row r="18" spans="1:12" ht="15" customHeight="1" thickTop="1" x14ac:dyDescent="0.2">
      <c r="A18" s="1763" t="s">
        <v>1753</v>
      </c>
      <c r="B18" s="1764">
        <v>4180</v>
      </c>
      <c r="C18" s="1761">
        <f t="shared" ref="C18:H18" si="3">C9</f>
        <v>2211474</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11985774</v>
      </c>
      <c r="D19" s="1707">
        <f t="shared" si="4"/>
        <v>0</v>
      </c>
      <c r="E19" s="1707">
        <f t="shared" si="4"/>
        <v>0</v>
      </c>
      <c r="F19" s="1707">
        <f t="shared" si="4"/>
        <v>0</v>
      </c>
      <c r="G19" s="1707">
        <f t="shared" si="4"/>
        <v>0</v>
      </c>
      <c r="H19" s="1707">
        <f t="shared" si="4"/>
        <v>0</v>
      </c>
      <c r="I19" s="468"/>
      <c r="J19" s="1707">
        <f>SUM(J17:J18)</f>
        <v>0</v>
      </c>
      <c r="K19" s="1707">
        <f>SUM(K17:K18)</f>
        <v>0</v>
      </c>
      <c r="L19" s="347"/>
    </row>
    <row r="20" spans="1:12" ht="16.5" thickTop="1" thickBot="1" x14ac:dyDescent="0.25">
      <c r="A20" s="2355" t="s">
        <v>1754</v>
      </c>
      <c r="B20" s="2356"/>
      <c r="C20" s="1765">
        <f>C8-C17</f>
        <v>-346866</v>
      </c>
      <c r="D20" s="1765">
        <f t="shared" ref="D20:K20" si="5">D8-D17</f>
        <v>0</v>
      </c>
      <c r="E20" s="1765">
        <f t="shared" si="5"/>
        <v>0</v>
      </c>
      <c r="F20" s="1765">
        <f t="shared" si="5"/>
        <v>0</v>
      </c>
      <c r="G20" s="1765">
        <f t="shared" si="5"/>
        <v>0</v>
      </c>
      <c r="H20" s="1765">
        <f t="shared" si="5"/>
        <v>0</v>
      </c>
      <c r="I20" s="1765">
        <f t="shared" si="5"/>
        <v>0</v>
      </c>
      <c r="J20" s="1765">
        <f t="shared" si="5"/>
        <v>0</v>
      </c>
      <c r="K20" s="1765">
        <f t="shared" si="5"/>
        <v>0</v>
      </c>
      <c r="L20" s="347"/>
    </row>
    <row r="21" spans="1:12" ht="16.7" customHeight="1" thickTop="1" x14ac:dyDescent="0.2">
      <c r="A21" s="2367" t="s">
        <v>616</v>
      </c>
      <c r="B21" s="2368"/>
      <c r="C21" s="1589"/>
      <c r="D21" s="1590"/>
      <c r="E21" s="1590"/>
      <c r="F21" s="1590"/>
      <c r="G21" s="1590"/>
      <c r="H21" s="1590"/>
      <c r="I21" s="1590"/>
      <c r="J21" s="1590"/>
      <c r="K21" s="1591"/>
      <c r="L21" s="522"/>
    </row>
    <row r="22" spans="1:12" ht="15.95" customHeight="1" collapsed="1" x14ac:dyDescent="0.2">
      <c r="A22" s="2363" t="s">
        <v>617</v>
      </c>
      <c r="B22" s="2364"/>
      <c r="C22" s="476"/>
      <c r="D22" s="476"/>
      <c r="E22" s="476"/>
      <c r="F22" s="476"/>
      <c r="G22" s="476"/>
      <c r="H22" s="476"/>
      <c r="I22" s="476"/>
      <c r="J22" s="476"/>
      <c r="K22" s="476"/>
      <c r="L22" s="347"/>
    </row>
    <row r="23" spans="1:12" s="484" customFormat="1" ht="15.95" customHeight="1" x14ac:dyDescent="0.2">
      <c r="A23" s="2359" t="s">
        <v>311</v>
      </c>
      <c r="B23" s="2360"/>
      <c r="C23" s="479"/>
      <c r="D23" s="476"/>
      <c r="E23" s="476"/>
      <c r="F23" s="476"/>
      <c r="G23" s="476"/>
      <c r="H23" s="476"/>
      <c r="I23" s="476"/>
      <c r="J23" s="476"/>
      <c r="K23" s="476"/>
      <c r="L23" s="522"/>
    </row>
    <row r="24" spans="1:12" s="484" customFormat="1" ht="13.5" customHeight="1" x14ac:dyDescent="0.2">
      <c r="A24" s="1508" t="s">
        <v>1755</v>
      </c>
      <c r="B24" s="523">
        <v>7110</v>
      </c>
      <c r="C24" s="465">
        <v>0</v>
      </c>
      <c r="D24" s="476"/>
      <c r="E24" s="476"/>
      <c r="F24" s="476"/>
      <c r="G24" s="476"/>
      <c r="H24" s="476"/>
      <c r="I24" s="476"/>
      <c r="J24" s="476"/>
      <c r="K24" s="476"/>
      <c r="L24" s="522"/>
    </row>
    <row r="25" spans="1:12" s="484" customFormat="1" ht="13.5" customHeight="1" x14ac:dyDescent="0.2">
      <c r="A25" s="1508"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1894</v>
      </c>
      <c r="B30" s="525">
        <v>7160</v>
      </c>
      <c r="C30" s="476"/>
      <c r="D30" s="467">
        <v>0</v>
      </c>
      <c r="E30" s="476"/>
      <c r="F30" s="476"/>
      <c r="G30" s="476"/>
      <c r="H30" s="476"/>
      <c r="I30" s="476"/>
      <c r="J30" s="476"/>
      <c r="K30" s="476"/>
      <c r="L30" s="522"/>
    </row>
    <row r="31" spans="1:12" s="484" customFormat="1" ht="26.25" x14ac:dyDescent="0.2">
      <c r="A31" s="1508" t="s">
        <v>1898</v>
      </c>
      <c r="B31" s="525">
        <v>7170</v>
      </c>
      <c r="C31" s="476"/>
      <c r="D31" s="476"/>
      <c r="E31" s="474">
        <v>0</v>
      </c>
      <c r="F31" s="476"/>
      <c r="G31" s="476"/>
      <c r="H31" s="476"/>
      <c r="I31" s="476"/>
      <c r="J31" s="476"/>
      <c r="K31" s="476"/>
      <c r="L31" s="522"/>
    </row>
    <row r="32" spans="1:12" s="484" customFormat="1" ht="15.95" customHeight="1" x14ac:dyDescent="0.2">
      <c r="A32" s="2361" t="s">
        <v>1038</v>
      </c>
      <c r="B32" s="2362"/>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1757</v>
      </c>
      <c r="B36" s="523">
        <v>7300</v>
      </c>
      <c r="C36" s="465">
        <v>0</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0</v>
      </c>
      <c r="F37" s="475"/>
      <c r="G37" s="475"/>
      <c r="H37" s="475"/>
      <c r="I37" s="476"/>
      <c r="J37" s="475"/>
      <c r="K37" s="475"/>
      <c r="L37" s="522"/>
    </row>
    <row r="38" spans="1:12" s="484" customFormat="1" x14ac:dyDescent="0.2">
      <c r="A38" s="1508" t="s">
        <v>462</v>
      </c>
      <c r="B38" s="523">
        <v>7500</v>
      </c>
      <c r="C38" s="476"/>
      <c r="D38" s="476"/>
      <c r="E38" s="1762">
        <f>SUM(C58:D61,H58:H61)</f>
        <v>0</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369" t="s">
        <v>392</v>
      </c>
      <c r="B44" s="2370"/>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2"/>
    </row>
    <row r="45" spans="1:12" ht="15.95" customHeight="1" thickTop="1" x14ac:dyDescent="0.2">
      <c r="A45" s="2363" t="s">
        <v>110</v>
      </c>
      <c r="B45" s="2364"/>
      <c r="C45" s="526"/>
      <c r="D45" s="526"/>
      <c r="E45" s="526"/>
      <c r="F45" s="526"/>
      <c r="G45" s="526"/>
      <c r="H45" s="526"/>
      <c r="I45" s="526"/>
      <c r="J45" s="526"/>
      <c r="K45" s="526"/>
      <c r="L45" s="347"/>
    </row>
    <row r="46" spans="1:12" s="484" customFormat="1" ht="15.95" customHeight="1" x14ac:dyDescent="0.2">
      <c r="A46" s="2371" t="s">
        <v>111</v>
      </c>
      <c r="B46" s="2372"/>
      <c r="C46" s="476"/>
      <c r="D46" s="476"/>
      <c r="E46" s="476"/>
      <c r="F46" s="476"/>
      <c r="G46" s="476"/>
      <c r="H46" s="476"/>
      <c r="I46" s="479"/>
      <c r="J46" s="476"/>
      <c r="K46" s="476"/>
      <c r="L46" s="527"/>
    </row>
    <row r="47" spans="1:12" s="484" customFormat="1" ht="15" x14ac:dyDescent="0.2">
      <c r="A47" s="1509" t="s">
        <v>1758</v>
      </c>
      <c r="B47" s="482">
        <v>8110</v>
      </c>
      <c r="C47" s="476"/>
      <c r="D47" s="476"/>
      <c r="E47" s="476"/>
      <c r="F47" s="476"/>
      <c r="G47" s="476"/>
      <c r="H47" s="476"/>
      <c r="I47" s="1762">
        <f>SUM(C24,C25:H25,J25:K25)</f>
        <v>0</v>
      </c>
      <c r="J47" s="476"/>
      <c r="K47" s="476"/>
      <c r="L47" s="527"/>
    </row>
    <row r="48" spans="1:12" s="484" customFormat="1" ht="15" x14ac:dyDescent="0.2">
      <c r="A48" s="1509" t="s">
        <v>1759</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1897</v>
      </c>
      <c r="B52" s="482">
        <v>8160</v>
      </c>
      <c r="C52" s="476"/>
      <c r="D52" s="476"/>
      <c r="E52" s="476"/>
      <c r="F52" s="476"/>
      <c r="G52" s="476"/>
      <c r="H52" s="476"/>
      <c r="I52" s="476"/>
      <c r="J52" s="476"/>
      <c r="K52" s="1762">
        <f>D30</f>
        <v>0</v>
      </c>
      <c r="L52" s="522"/>
    </row>
    <row r="53" spans="1:12" s="484" customFormat="1" ht="26.25" x14ac:dyDescent="0.2">
      <c r="A53" s="1509" t="s">
        <v>1896</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0</v>
      </c>
      <c r="D54" s="528">
        <v>0</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0</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345" t="s">
        <v>460</v>
      </c>
      <c r="B76" s="2346"/>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347" t="s">
        <v>1239</v>
      </c>
      <c r="B77" s="2348"/>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351" t="s">
        <v>618</v>
      </c>
      <c r="B78" s="2352"/>
      <c r="C78" s="1721">
        <f t="shared" ref="C78:K78" si="9">C20+C77</f>
        <v>-346866</v>
      </c>
      <c r="D78" s="1721">
        <f t="shared" si="9"/>
        <v>0</v>
      </c>
      <c r="E78" s="1721">
        <f t="shared" si="9"/>
        <v>0</v>
      </c>
      <c r="F78" s="1721">
        <f t="shared" si="9"/>
        <v>0</v>
      </c>
      <c r="G78" s="1721">
        <f t="shared" si="9"/>
        <v>0</v>
      </c>
      <c r="H78" s="1721">
        <f t="shared" si="9"/>
        <v>0</v>
      </c>
      <c r="I78" s="1721">
        <f t="shared" si="9"/>
        <v>0</v>
      </c>
      <c r="J78" s="1721">
        <f t="shared" si="9"/>
        <v>0</v>
      </c>
      <c r="K78" s="1721">
        <f t="shared" si="9"/>
        <v>0</v>
      </c>
      <c r="L78" s="531"/>
    </row>
    <row r="79" spans="1:12" ht="13.5" thickTop="1" x14ac:dyDescent="0.2">
      <c r="A79" s="1513" t="s">
        <v>2070</v>
      </c>
      <c r="B79" s="532"/>
      <c r="C79" s="467">
        <v>1923886</v>
      </c>
      <c r="D79" s="467">
        <v>0</v>
      </c>
      <c r="E79" s="467">
        <v>0</v>
      </c>
      <c r="F79" s="467">
        <v>0</v>
      </c>
      <c r="G79" s="467">
        <v>0</v>
      </c>
      <c r="H79" s="467">
        <v>0</v>
      </c>
      <c r="I79" s="467">
        <v>0</v>
      </c>
      <c r="J79" s="467">
        <v>0</v>
      </c>
      <c r="K79" s="467">
        <v>0</v>
      </c>
      <c r="L79" s="347"/>
    </row>
    <row r="80" spans="1:12" x14ac:dyDescent="0.2">
      <c r="A80" s="2357" t="s">
        <v>1895</v>
      </c>
      <c r="B80" s="2358"/>
      <c r="C80" s="467">
        <v>0</v>
      </c>
      <c r="D80" s="467">
        <v>0</v>
      </c>
      <c r="E80" s="467">
        <v>0</v>
      </c>
      <c r="F80" s="467">
        <v>0</v>
      </c>
      <c r="G80" s="467">
        <v>0</v>
      </c>
      <c r="H80" s="467">
        <v>0</v>
      </c>
      <c r="I80" s="467">
        <v>0</v>
      </c>
      <c r="J80" s="467">
        <v>0</v>
      </c>
      <c r="K80" s="467">
        <v>0</v>
      </c>
      <c r="L80" s="347"/>
    </row>
    <row r="81" spans="1:12" ht="13.5" thickBot="1" x14ac:dyDescent="0.25">
      <c r="A81" s="2349" t="s">
        <v>2071</v>
      </c>
      <c r="B81" s="2350"/>
      <c r="C81" s="1707">
        <f>(SUM(C78:C80))</f>
        <v>1577020</v>
      </c>
      <c r="D81" s="1707">
        <f>SUM(D78:D80)</f>
        <v>0</v>
      </c>
      <c r="E81" s="1707">
        <f t="shared" ref="E81:K81" si="10">SUM(E78:E80)</f>
        <v>0</v>
      </c>
      <c r="F81" s="1707">
        <f t="shared" si="10"/>
        <v>0</v>
      </c>
      <c r="G81" s="1707">
        <f t="shared" si="10"/>
        <v>0</v>
      </c>
      <c r="H81" s="1707">
        <f t="shared" si="10"/>
        <v>0</v>
      </c>
      <c r="I81" s="1707">
        <f t="shared" si="10"/>
        <v>0</v>
      </c>
      <c r="J81" s="1707">
        <f t="shared" si="10"/>
        <v>0</v>
      </c>
      <c r="K81" s="1707">
        <f t="shared" si="10"/>
        <v>0</v>
      </c>
      <c r="L81" s="347"/>
    </row>
    <row r="82" spans="1:12" ht="0.75" customHeight="1" thickTop="1" thickBot="1" x14ac:dyDescent="0.25">
      <c r="A82" s="534" t="s">
        <v>361</v>
      </c>
      <c r="B82" s="535"/>
      <c r="C82" s="536">
        <f>(C81-C79)</f>
        <v>-346866</v>
      </c>
      <c r="D82" s="536">
        <f t="shared" ref="D82:K82" si="11">(D81-D79)</f>
        <v>0</v>
      </c>
      <c r="E82" s="536">
        <f t="shared" si="11"/>
        <v>0</v>
      </c>
      <c r="F82" s="536">
        <f t="shared" si="11"/>
        <v>0</v>
      </c>
      <c r="G82" s="536">
        <f t="shared" si="11"/>
        <v>0</v>
      </c>
      <c r="H82" s="536">
        <f t="shared" si="11"/>
        <v>0</v>
      </c>
      <c r="I82" s="536">
        <f t="shared" si="11"/>
        <v>0</v>
      </c>
      <c r="J82" s="536">
        <f t="shared" si="11"/>
        <v>0</v>
      </c>
      <c r="K82" s="536">
        <f t="shared" si="11"/>
        <v>0</v>
      </c>
    </row>
    <row r="83" spans="1:12" ht="14.25" hidden="1" thickTop="1" thickBot="1" x14ac:dyDescent="0.25">
      <c r="A83" s="537" t="s">
        <v>362</v>
      </c>
      <c r="B83" s="464"/>
      <c r="C83" s="538">
        <f>C82/C81</f>
        <v>-0.21995028598242256</v>
      </c>
      <c r="D83" s="538" t="e">
        <f t="shared" ref="D83:K83" si="12">D82/D81</f>
        <v>#DIV/0!</v>
      </c>
      <c r="E83" s="538" t="e">
        <f t="shared" si="12"/>
        <v>#DIV/0!</v>
      </c>
      <c r="F83" s="538" t="e">
        <f t="shared" si="12"/>
        <v>#DIV/0!</v>
      </c>
      <c r="G83" s="538" t="e">
        <f t="shared" si="12"/>
        <v>#DIV/0!</v>
      </c>
      <c r="H83" s="538" t="e">
        <f t="shared" si="12"/>
        <v>#DIV/0!</v>
      </c>
      <c r="I83" s="538" t="e">
        <f t="shared" si="12"/>
        <v>#DIV/0!</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activeCell="L5" sqref="L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353" t="s">
        <v>1902</v>
      </c>
      <c r="B1" s="452"/>
      <c r="C1" s="453" t="s">
        <v>445</v>
      </c>
      <c r="D1" s="453" t="s">
        <v>446</v>
      </c>
      <c r="E1" s="453" t="s">
        <v>447</v>
      </c>
      <c r="F1" s="453" t="s">
        <v>448</v>
      </c>
      <c r="G1" s="453" t="s">
        <v>449</v>
      </c>
      <c r="H1" s="453" t="s">
        <v>450</v>
      </c>
      <c r="I1" s="453" t="s">
        <v>451</v>
      </c>
      <c r="J1" s="453" t="s">
        <v>452</v>
      </c>
      <c r="K1" s="453" t="s">
        <v>780</v>
      </c>
    </row>
    <row r="2" spans="1:12" ht="36" x14ac:dyDescent="0.2">
      <c r="A2" s="235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95" customHeight="1" x14ac:dyDescent="0.2">
      <c r="A4" s="1609" t="s">
        <v>397</v>
      </c>
      <c r="B4" s="1610">
        <v>1100</v>
      </c>
      <c r="C4" s="541"/>
      <c r="D4" s="541"/>
      <c r="E4" s="541"/>
      <c r="F4" s="542"/>
      <c r="G4" s="543"/>
      <c r="H4" s="544"/>
      <c r="I4" s="544"/>
      <c r="J4" s="544"/>
      <c r="K4" s="544"/>
    </row>
    <row r="5" spans="1:12" ht="15" x14ac:dyDescent="0.2">
      <c r="A5" s="491" t="s">
        <v>1760</v>
      </c>
      <c r="B5" s="545"/>
      <c r="C5" s="480">
        <v>0</v>
      </c>
      <c r="D5" s="480">
        <v>0</v>
      </c>
      <c r="E5" s="480">
        <v>0</v>
      </c>
      <c r="F5" s="546">
        <v>0</v>
      </c>
      <c r="G5" s="466">
        <v>0</v>
      </c>
      <c r="H5" s="466">
        <v>0</v>
      </c>
      <c r="I5" s="466">
        <v>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0</v>
      </c>
      <c r="D12" s="1726">
        <f t="shared" si="0"/>
        <v>0</v>
      </c>
      <c r="E12" s="1726">
        <f t="shared" si="0"/>
        <v>0</v>
      </c>
      <c r="F12" s="1726">
        <f t="shared" si="0"/>
        <v>0</v>
      </c>
      <c r="G12" s="1726">
        <f t="shared" si="0"/>
        <v>0</v>
      </c>
      <c r="H12" s="1726">
        <f t="shared" si="0"/>
        <v>0</v>
      </c>
      <c r="I12" s="1726">
        <f t="shared" si="0"/>
        <v>0</v>
      </c>
      <c r="J12" s="1726">
        <f t="shared" si="0"/>
        <v>0</v>
      </c>
      <c r="K12" s="1707">
        <f t="shared" si="0"/>
        <v>0</v>
      </c>
    </row>
    <row r="13" spans="1:12" ht="15.9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0</v>
      </c>
      <c r="D18" s="1729">
        <f t="shared" ref="D18:K18" si="1">SUM(D14:D17)</f>
        <v>0</v>
      </c>
      <c r="E18" s="1729">
        <f t="shared" si="1"/>
        <v>0</v>
      </c>
      <c r="F18" s="1729">
        <f t="shared" si="1"/>
        <v>0</v>
      </c>
      <c r="G18" s="1729">
        <f t="shared" si="1"/>
        <v>0</v>
      </c>
      <c r="H18" s="1729">
        <f t="shared" si="1"/>
        <v>0</v>
      </c>
      <c r="I18" s="1729">
        <f t="shared" si="1"/>
        <v>0</v>
      </c>
      <c r="J18" s="1729">
        <f t="shared" si="1"/>
        <v>0</v>
      </c>
      <c r="K18" s="1730">
        <f t="shared" si="1"/>
        <v>0</v>
      </c>
    </row>
    <row r="19" spans="1:11" ht="15.9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4668036</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4668036</v>
      </c>
      <c r="D40" s="468"/>
      <c r="E40" s="468"/>
      <c r="F40" s="468"/>
      <c r="G40" s="468"/>
      <c r="H40" s="468"/>
      <c r="I40" s="468"/>
      <c r="J40" s="468"/>
      <c r="K40" s="468"/>
    </row>
    <row r="41" spans="1:11" ht="15.9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9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13685</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13685</v>
      </c>
      <c r="D67" s="1707">
        <f t="shared" ref="D67:K67" si="2">SUM(D65:D66)</f>
        <v>0</v>
      </c>
      <c r="E67" s="1707">
        <f t="shared" si="2"/>
        <v>0</v>
      </c>
      <c r="F67" s="1707">
        <f t="shared" si="2"/>
        <v>0</v>
      </c>
      <c r="G67" s="1707">
        <f t="shared" si="2"/>
        <v>0</v>
      </c>
      <c r="H67" s="1707">
        <f t="shared" si="2"/>
        <v>0</v>
      </c>
      <c r="I67" s="1707">
        <f t="shared" si="2"/>
        <v>0</v>
      </c>
      <c r="J67" s="1707">
        <f t="shared" si="2"/>
        <v>0</v>
      </c>
      <c r="K67" s="1707">
        <f t="shared" si="2"/>
        <v>0</v>
      </c>
    </row>
    <row r="68" spans="1:11" ht="15.9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2284</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382</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7" t="s">
        <v>569</v>
      </c>
      <c r="B75" s="1728"/>
      <c r="C75" s="1707">
        <f>SUM(C69:C74)</f>
        <v>2666</v>
      </c>
      <c r="D75" s="468"/>
      <c r="E75" s="468"/>
      <c r="F75" s="468"/>
      <c r="G75" s="468"/>
      <c r="H75" s="468"/>
      <c r="I75" s="468"/>
      <c r="J75" s="468"/>
      <c r="K75" s="468"/>
    </row>
    <row r="76" spans="1:11" ht="15.9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0</v>
      </c>
      <c r="D82" s="1707">
        <f>SUM(D77:D81)</f>
        <v>0</v>
      </c>
      <c r="E82" s="468"/>
      <c r="F82" s="468"/>
      <c r="G82" s="468"/>
      <c r="H82" s="468"/>
      <c r="I82" s="468"/>
      <c r="J82" s="468"/>
      <c r="K82" s="468"/>
    </row>
    <row r="83" spans="1:11" ht="15.9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351</v>
      </c>
      <c r="D92" s="468"/>
      <c r="E92" s="468"/>
      <c r="F92" s="468"/>
      <c r="G92" s="468"/>
      <c r="H92" s="468"/>
      <c r="I92" s="468"/>
      <c r="J92" s="468"/>
      <c r="K92" s="468"/>
    </row>
    <row r="93" spans="1:11" ht="12.75" customHeight="1" thickBot="1" x14ac:dyDescent="0.25">
      <c r="A93" s="1727" t="s">
        <v>261</v>
      </c>
      <c r="B93" s="1728"/>
      <c r="C93" s="1707">
        <f>SUM(C84:C92)</f>
        <v>351</v>
      </c>
      <c r="D93" s="468"/>
      <c r="E93" s="468"/>
      <c r="F93" s="468"/>
      <c r="G93" s="468"/>
      <c r="H93" s="468"/>
      <c r="I93" s="468"/>
      <c r="J93" s="468"/>
      <c r="K93" s="468"/>
    </row>
    <row r="94" spans="1:11" ht="15.9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194033</v>
      </c>
      <c r="D98" s="466">
        <v>0</v>
      </c>
      <c r="E98" s="510"/>
      <c r="F98" s="466">
        <v>0</v>
      </c>
      <c r="G98" s="510"/>
      <c r="H98" s="510"/>
      <c r="I98" s="508"/>
      <c r="J98" s="510"/>
      <c r="K98" s="510"/>
    </row>
    <row r="99" spans="1:12" ht="12.75" customHeight="1" x14ac:dyDescent="0.2">
      <c r="A99" s="463" t="s">
        <v>875</v>
      </c>
      <c r="B99" s="470">
        <v>1950</v>
      </c>
      <c r="C99" s="487">
        <v>30009</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7" t="s">
        <v>508</v>
      </c>
      <c r="B108" s="1731"/>
      <c r="C108" s="1726">
        <f>SUM(C95:C107)</f>
        <v>224042</v>
      </c>
      <c r="D108" s="1726">
        <f t="shared" ref="D108:K108" si="3">SUM(D95:D107)</f>
        <v>0</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4908780</v>
      </c>
      <c r="D109" s="1734">
        <f t="shared" si="4"/>
        <v>0</v>
      </c>
      <c r="E109" s="1734">
        <f t="shared" si="4"/>
        <v>0</v>
      </c>
      <c r="F109" s="1734">
        <f t="shared" si="4"/>
        <v>0</v>
      </c>
      <c r="G109" s="1734">
        <f t="shared" si="4"/>
        <v>0</v>
      </c>
      <c r="H109" s="1734">
        <f t="shared" si="4"/>
        <v>0</v>
      </c>
      <c r="I109" s="1734">
        <f t="shared" si="4"/>
        <v>0</v>
      </c>
      <c r="J109" s="1734">
        <f t="shared" si="4"/>
        <v>0</v>
      </c>
      <c r="K109" s="1721">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112549</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112549</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1766</v>
      </c>
      <c r="B117" s="560">
        <v>3001</v>
      </c>
      <c r="C117" s="514">
        <v>625133</v>
      </c>
      <c r="D117" s="480">
        <v>0</v>
      </c>
      <c r="E117" s="466">
        <v>0</v>
      </c>
      <c r="F117" s="480">
        <v>0</v>
      </c>
      <c r="G117" s="480">
        <v>0</v>
      </c>
      <c r="H117" s="466">
        <v>0</v>
      </c>
      <c r="I117" s="468"/>
      <c r="J117" s="467">
        <v>0</v>
      </c>
      <c r="K117" s="466">
        <v>0</v>
      </c>
    </row>
    <row r="118" spans="1:11" ht="12.75" customHeight="1" x14ac:dyDescent="0.2">
      <c r="A118" s="463" t="s">
        <v>1899</v>
      </c>
      <c r="B118" s="560">
        <v>3002</v>
      </c>
      <c r="C118" s="549">
        <v>0</v>
      </c>
      <c r="D118" s="466">
        <v>0</v>
      </c>
      <c r="E118" s="466">
        <v>0</v>
      </c>
      <c r="F118" s="466">
        <v>0</v>
      </c>
      <c r="G118" s="466">
        <v>0</v>
      </c>
      <c r="H118" s="466">
        <v>0</v>
      </c>
      <c r="I118" s="468"/>
      <c r="J118" s="467">
        <v>0</v>
      </c>
      <c r="K118" s="466">
        <v>0</v>
      </c>
    </row>
    <row r="119" spans="1:11" ht="12.75" customHeight="1" x14ac:dyDescent="0.2">
      <c r="A119" s="463" t="s">
        <v>1900</v>
      </c>
      <c r="B119" s="560">
        <v>3005</v>
      </c>
      <c r="C119" s="549">
        <v>0</v>
      </c>
      <c r="D119" s="466">
        <v>0</v>
      </c>
      <c r="E119" s="466">
        <v>0</v>
      </c>
      <c r="F119" s="466">
        <v>0</v>
      </c>
      <c r="G119" s="466">
        <v>0</v>
      </c>
      <c r="H119" s="466">
        <v>0</v>
      </c>
      <c r="I119" s="468"/>
      <c r="J119" s="467">
        <v>0</v>
      </c>
      <c r="K119" s="466">
        <v>0</v>
      </c>
    </row>
    <row r="120" spans="1:11" x14ac:dyDescent="0.2">
      <c r="A120" s="1515" t="s">
        <v>1901</v>
      </c>
      <c r="B120" s="562">
        <v>3099</v>
      </c>
      <c r="C120" s="549">
        <v>0</v>
      </c>
      <c r="D120" s="466">
        <v>0</v>
      </c>
      <c r="E120" s="466">
        <v>0</v>
      </c>
      <c r="F120" s="466">
        <v>0</v>
      </c>
      <c r="G120" s="466">
        <v>0</v>
      </c>
      <c r="H120" s="466">
        <v>0</v>
      </c>
      <c r="I120" s="468"/>
      <c r="J120" s="467">
        <v>0</v>
      </c>
      <c r="K120" s="466">
        <v>0</v>
      </c>
    </row>
    <row r="121" spans="1:11" ht="12.75" customHeight="1" thickBot="1" x14ac:dyDescent="0.25">
      <c r="A121" s="1727" t="s">
        <v>509</v>
      </c>
      <c r="B121" s="1738"/>
      <c r="C121" s="1726">
        <f t="shared" ref="C121:H121" si="5">SUM(C117:C120)</f>
        <v>625133</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9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493556</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493556</v>
      </c>
      <c r="D131" s="1726">
        <f>SUM(D124:D130)</f>
        <v>0</v>
      </c>
      <c r="E131" s="469" t="s">
        <v>1231</v>
      </c>
      <c r="F131" s="1726">
        <f>SUM(F124:F130)</f>
        <v>0</v>
      </c>
      <c r="G131" s="468" t="s">
        <v>1231</v>
      </c>
      <c r="H131" s="468" t="s">
        <v>1231</v>
      </c>
      <c r="I131" s="468" t="s">
        <v>1231</v>
      </c>
      <c r="J131" s="468" t="s">
        <v>1231</v>
      </c>
      <c r="K131" s="468" t="s">
        <v>1231</v>
      </c>
    </row>
    <row r="132" spans="1:11" ht="15.9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0</v>
      </c>
      <c r="D140" s="1726">
        <f>SUM(D133:D139)</f>
        <v>0</v>
      </c>
      <c r="E140" s="559" t="s">
        <v>1231</v>
      </c>
      <c r="F140" s="476"/>
      <c r="G140" s="1726">
        <f>SUM(G133:G139)</f>
        <v>0</v>
      </c>
      <c r="H140" s="468" t="s">
        <v>1231</v>
      </c>
      <c r="I140" s="468" t="s">
        <v>1231</v>
      </c>
      <c r="J140" s="468" t="s">
        <v>1231</v>
      </c>
      <c r="K140" s="468" t="s">
        <v>1231</v>
      </c>
    </row>
    <row r="141" spans="1:11" ht="15.9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0</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563</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0</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9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0</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0</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373" t="s">
        <v>418</v>
      </c>
      <c r="B172" s="2374"/>
      <c r="C172" s="1741">
        <f t="shared" ref="C172:K172" si="6">SUM(C131,C140,C144,C145:C149,C154,C155:C170,C171)</f>
        <v>494119</v>
      </c>
      <c r="D172" s="1741">
        <f t="shared" si="6"/>
        <v>0</v>
      </c>
      <c r="E172" s="1741">
        <f t="shared" si="6"/>
        <v>0</v>
      </c>
      <c r="F172" s="1741">
        <f t="shared" si="6"/>
        <v>0</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1119252</v>
      </c>
      <c r="D173" s="1734">
        <f>SUM(D121,D172)</f>
        <v>0</v>
      </c>
      <c r="E173" s="1734">
        <f>SUM(E121,E172)</f>
        <v>0</v>
      </c>
      <c r="F173" s="1734">
        <f t="shared" ref="F173:K173" si="7">SUM(F121,F172)</f>
        <v>0</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95" customHeight="1" x14ac:dyDescent="0.2">
      <c r="A175" s="2375" t="s">
        <v>1572</v>
      </c>
      <c r="B175" s="2376"/>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379" t="s">
        <v>1764</v>
      </c>
      <c r="B178" s="2380"/>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95" customHeight="1" thickTop="1" x14ac:dyDescent="0.2">
      <c r="A179" s="2383" t="s">
        <v>1763</v>
      </c>
      <c r="B179" s="238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381" t="s">
        <v>818</v>
      </c>
      <c r="B184" s="2382"/>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377" t="s">
        <v>1903</v>
      </c>
      <c r="B185" s="2378"/>
      <c r="C185" s="582"/>
      <c r="D185" s="564"/>
      <c r="E185" s="507"/>
      <c r="F185" s="564"/>
      <c r="G185" s="564"/>
      <c r="H185" s="468"/>
      <c r="I185" s="468"/>
      <c r="J185" s="468"/>
      <c r="K185" s="468"/>
    </row>
    <row r="186" spans="1:11" ht="15.95" customHeight="1" x14ac:dyDescent="0.2">
      <c r="A186" s="1622" t="s">
        <v>1692</v>
      </c>
      <c r="B186" s="1623"/>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9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18818</v>
      </c>
      <c r="D194" s="468"/>
      <c r="E194" s="559"/>
      <c r="F194" s="468"/>
      <c r="G194" s="583">
        <v>0</v>
      </c>
      <c r="H194" s="468"/>
      <c r="I194" s="468"/>
      <c r="J194" s="468"/>
      <c r="K194" s="468"/>
    </row>
    <row r="195" spans="1:11" ht="12.75" customHeight="1" x14ac:dyDescent="0.2">
      <c r="A195" s="463" t="s">
        <v>1107</v>
      </c>
      <c r="B195" s="470">
        <v>4215</v>
      </c>
      <c r="C195" s="549">
        <v>11019</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29837</v>
      </c>
      <c r="D201" s="468"/>
      <c r="E201" s="468"/>
      <c r="F201" s="468"/>
      <c r="G201" s="1707">
        <f>SUM(G193:G200)</f>
        <v>0</v>
      </c>
      <c r="H201" s="468"/>
      <c r="I201" s="468"/>
      <c r="J201" s="468"/>
      <c r="K201" s="468"/>
    </row>
    <row r="202" spans="1:11" ht="15.9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0</v>
      </c>
      <c r="D211" s="1726">
        <f>SUM(D203:D210)</f>
        <v>0</v>
      </c>
      <c r="E211" s="468"/>
      <c r="F211" s="1726">
        <f>SUM(F203:F210)</f>
        <v>0</v>
      </c>
      <c r="G211" s="1726">
        <f>SUM(G203:G210)</f>
        <v>0</v>
      </c>
      <c r="H211" s="468"/>
      <c r="I211" s="468"/>
      <c r="J211" s="468"/>
      <c r="K211" s="468"/>
    </row>
    <row r="212" spans="1:11" ht="15.9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9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202174</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2644498</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2846672</v>
      </c>
      <c r="D224" s="1726">
        <f>SUM(D218:D223)</f>
        <v>0</v>
      </c>
      <c r="E224" s="468"/>
      <c r="F224" s="1726">
        <f>SUM(F218:F223)</f>
        <v>0</v>
      </c>
      <c r="G224" s="1726">
        <f>SUM(G218:G223)</f>
        <v>0</v>
      </c>
      <c r="H224" s="468"/>
      <c r="I224" s="468"/>
      <c r="J224" s="468"/>
      <c r="K224" s="468"/>
    </row>
    <row r="225" spans="1:11" ht="15.9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45452</v>
      </c>
      <c r="D270" s="574">
        <v>0</v>
      </c>
      <c r="E270" s="468"/>
      <c r="F270" s="574">
        <v>0</v>
      </c>
      <c r="G270" s="574">
        <v>0</v>
      </c>
      <c r="H270" s="468"/>
      <c r="I270" s="468"/>
      <c r="J270" s="468"/>
      <c r="K270" s="468"/>
    </row>
    <row r="271" spans="1:11" ht="12.75" customHeight="1" thickTop="1" thickBot="1" x14ac:dyDescent="0.25">
      <c r="A271" s="463" t="s">
        <v>395</v>
      </c>
      <c r="B271" s="470">
        <v>4992</v>
      </c>
      <c r="C271" s="573">
        <v>333879</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31013</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3286853</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3286853</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9427434</v>
      </c>
      <c r="D275" s="1734">
        <f t="shared" si="12"/>
        <v>0</v>
      </c>
      <c r="E275" s="1734">
        <f t="shared" si="12"/>
        <v>0</v>
      </c>
      <c r="F275" s="1734">
        <f t="shared" si="12"/>
        <v>0</v>
      </c>
      <c r="G275" s="1734">
        <f t="shared" si="12"/>
        <v>0</v>
      </c>
      <c r="H275" s="1734">
        <f t="shared" si="12"/>
        <v>0</v>
      </c>
      <c r="I275" s="1734">
        <f t="shared" si="12"/>
        <v>0</v>
      </c>
      <c r="J275" s="1734">
        <f t="shared" si="12"/>
        <v>0</v>
      </c>
      <c r="K275" s="1721">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85" zoomScaleNormal="85" workbookViewId="0">
      <selection sqref="A1:A2"/>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7109375" style="343" customWidth="1"/>
    <col min="13" max="13" width="1.5703125" style="210" customWidth="1"/>
    <col min="14" max="14" width="9.140625" style="210"/>
    <col min="15" max="16384" width="9.140625" style="329"/>
  </cols>
  <sheetData>
    <row r="1" spans="1:14" x14ac:dyDescent="0.2">
      <c r="A1" s="2353" t="s">
        <v>1902</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387"/>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393" t="s">
        <v>315</v>
      </c>
      <c r="B3" s="2394"/>
      <c r="C3" s="1567"/>
      <c r="D3" s="1567"/>
      <c r="E3" s="1567"/>
      <c r="F3" s="1567"/>
      <c r="G3" s="1567"/>
      <c r="H3" s="1567"/>
      <c r="I3" s="1567"/>
      <c r="J3" s="1567"/>
      <c r="K3" s="1568"/>
      <c r="L3" s="1569"/>
      <c r="M3" s="608"/>
      <c r="N3" s="608"/>
    </row>
    <row r="4" spans="1:14" s="259" customFormat="1" ht="15.9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0</v>
      </c>
      <c r="D5" s="466">
        <v>0</v>
      </c>
      <c r="E5" s="466">
        <v>4745</v>
      </c>
      <c r="F5" s="466">
        <v>14197</v>
      </c>
      <c r="G5" s="466">
        <v>7191</v>
      </c>
      <c r="H5" s="466">
        <v>0</v>
      </c>
      <c r="I5" s="467">
        <v>0</v>
      </c>
      <c r="J5" s="467">
        <v>0</v>
      </c>
      <c r="K5" s="1690">
        <f>SUM(C5:J5)</f>
        <v>26133</v>
      </c>
      <c r="L5" s="466">
        <v>0</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0</v>
      </c>
      <c r="D7" s="467">
        <v>0</v>
      </c>
      <c r="E7" s="467">
        <v>0</v>
      </c>
      <c r="F7" s="467">
        <v>0</v>
      </c>
      <c r="G7" s="467">
        <v>0</v>
      </c>
      <c r="H7" s="467">
        <v>0</v>
      </c>
      <c r="I7" s="467">
        <v>0</v>
      </c>
      <c r="J7" s="467">
        <v>0</v>
      </c>
      <c r="K7" s="1690">
        <f t="shared" ref="K7:K32" si="0">SUM(C7:J7)</f>
        <v>0</v>
      </c>
      <c r="L7" s="466">
        <v>0</v>
      </c>
    </row>
    <row r="8" spans="1:14" x14ac:dyDescent="0.2">
      <c r="A8" s="1523" t="s">
        <v>166</v>
      </c>
      <c r="B8" s="613">
        <v>1200</v>
      </c>
      <c r="C8" s="466">
        <v>3501776</v>
      </c>
      <c r="D8" s="466">
        <v>1510312</v>
      </c>
      <c r="E8" s="466">
        <v>61125</v>
      </c>
      <c r="F8" s="466">
        <v>33983</v>
      </c>
      <c r="G8" s="466">
        <v>0</v>
      </c>
      <c r="H8" s="466">
        <v>0</v>
      </c>
      <c r="I8" s="467">
        <v>0</v>
      </c>
      <c r="J8" s="467">
        <v>0</v>
      </c>
      <c r="K8" s="1690">
        <f t="shared" si="0"/>
        <v>5107196</v>
      </c>
      <c r="L8" s="466">
        <v>6276397</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0</v>
      </c>
      <c r="D10" s="466">
        <v>0</v>
      </c>
      <c r="E10" s="466">
        <v>0</v>
      </c>
      <c r="F10" s="466">
        <v>0</v>
      </c>
      <c r="G10" s="466">
        <v>0</v>
      </c>
      <c r="H10" s="466">
        <v>0</v>
      </c>
      <c r="I10" s="467">
        <v>0</v>
      </c>
      <c r="J10" s="467">
        <v>0</v>
      </c>
      <c r="K10" s="1690">
        <f t="shared" si="0"/>
        <v>0</v>
      </c>
      <c r="L10" s="466">
        <v>0</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46565</v>
      </c>
      <c r="D13" s="466">
        <v>23289</v>
      </c>
      <c r="E13" s="466">
        <v>10332</v>
      </c>
      <c r="F13" s="466">
        <v>179</v>
      </c>
      <c r="G13" s="466">
        <v>0</v>
      </c>
      <c r="H13" s="466">
        <v>0</v>
      </c>
      <c r="I13" s="467">
        <v>0</v>
      </c>
      <c r="J13" s="467">
        <v>0</v>
      </c>
      <c r="K13" s="1690">
        <f t="shared" si="0"/>
        <v>80365</v>
      </c>
      <c r="L13" s="466">
        <v>101000</v>
      </c>
    </row>
    <row r="14" spans="1:14" x14ac:dyDescent="0.2">
      <c r="A14" s="1523" t="s">
        <v>1020</v>
      </c>
      <c r="B14" s="613">
        <v>1500</v>
      </c>
      <c r="C14" s="467">
        <v>0</v>
      </c>
      <c r="D14" s="466">
        <v>0</v>
      </c>
      <c r="E14" s="466">
        <v>0</v>
      </c>
      <c r="F14" s="466">
        <v>0</v>
      </c>
      <c r="G14" s="466">
        <v>0</v>
      </c>
      <c r="H14" s="466">
        <v>0</v>
      </c>
      <c r="I14" s="467">
        <v>0</v>
      </c>
      <c r="J14" s="467">
        <v>0</v>
      </c>
      <c r="K14" s="1690">
        <f t="shared" si="0"/>
        <v>0</v>
      </c>
      <c r="L14" s="466">
        <v>0</v>
      </c>
    </row>
    <row r="15" spans="1:14" x14ac:dyDescent="0.2">
      <c r="A15" s="1523" t="s">
        <v>1021</v>
      </c>
      <c r="B15" s="613">
        <v>1600</v>
      </c>
      <c r="C15" s="466">
        <v>0</v>
      </c>
      <c r="D15" s="466">
        <v>0</v>
      </c>
      <c r="E15" s="466">
        <v>0</v>
      </c>
      <c r="F15" s="466">
        <v>0</v>
      </c>
      <c r="G15" s="466">
        <v>0</v>
      </c>
      <c r="H15" s="466">
        <v>0</v>
      </c>
      <c r="I15" s="467">
        <v>0</v>
      </c>
      <c r="J15" s="467">
        <v>0</v>
      </c>
      <c r="K15" s="1690">
        <f t="shared" si="0"/>
        <v>0</v>
      </c>
      <c r="L15" s="466">
        <v>0</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0</v>
      </c>
      <c r="D17" s="467">
        <v>0</v>
      </c>
      <c r="E17" s="467">
        <v>0</v>
      </c>
      <c r="F17" s="467">
        <v>0</v>
      </c>
      <c r="G17" s="467">
        <v>0</v>
      </c>
      <c r="H17" s="467">
        <v>0</v>
      </c>
      <c r="I17" s="467">
        <v>0</v>
      </c>
      <c r="J17" s="467">
        <v>0</v>
      </c>
      <c r="K17" s="1690">
        <f t="shared" si="0"/>
        <v>0</v>
      </c>
      <c r="L17" s="466">
        <v>0</v>
      </c>
    </row>
    <row r="18" spans="1:12" x14ac:dyDescent="0.2">
      <c r="A18" s="1523" t="s">
        <v>1148</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0</v>
      </c>
    </row>
    <row r="22" spans="1:12" x14ac:dyDescent="0.2">
      <c r="A22" s="1524" t="s">
        <v>764</v>
      </c>
      <c r="B22" s="601" t="s">
        <v>751</v>
      </c>
      <c r="C22" s="476"/>
      <c r="D22" s="476"/>
      <c r="E22" s="476"/>
      <c r="F22" s="476"/>
      <c r="G22" s="476"/>
      <c r="H22" s="474">
        <v>0</v>
      </c>
      <c r="I22" s="615"/>
      <c r="J22" s="476"/>
      <c r="K22" s="1690">
        <f t="shared" si="0"/>
        <v>0</v>
      </c>
      <c r="L22" s="466">
        <v>0</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3548341</v>
      </c>
      <c r="D33" s="1689">
        <f t="shared" ref="D33:L33" si="1">SUM(D5:D32)</f>
        <v>1533601</v>
      </c>
      <c r="E33" s="1689">
        <f t="shared" si="1"/>
        <v>76202</v>
      </c>
      <c r="F33" s="1689">
        <f t="shared" si="1"/>
        <v>48359</v>
      </c>
      <c r="G33" s="1689">
        <f t="shared" si="1"/>
        <v>7191</v>
      </c>
      <c r="H33" s="1689">
        <f t="shared" si="1"/>
        <v>0</v>
      </c>
      <c r="I33" s="1689">
        <f t="shared" si="1"/>
        <v>0</v>
      </c>
      <c r="J33" s="1689">
        <f t="shared" si="1"/>
        <v>0</v>
      </c>
      <c r="K33" s="1689">
        <f t="shared" si="1"/>
        <v>5213694</v>
      </c>
      <c r="L33" s="1689">
        <f t="shared" si="1"/>
        <v>6377397</v>
      </c>
    </row>
    <row r="34" spans="1:14" s="619" customFormat="1" ht="15.95" customHeight="1" thickTop="1" x14ac:dyDescent="0.2">
      <c r="A34" s="1627" t="s">
        <v>48</v>
      </c>
      <c r="B34" s="1628"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769143</v>
      </c>
      <c r="D36" s="480">
        <v>230879</v>
      </c>
      <c r="E36" s="480">
        <v>38013</v>
      </c>
      <c r="F36" s="480">
        <v>1866</v>
      </c>
      <c r="G36" s="480">
        <v>0</v>
      </c>
      <c r="H36" s="480">
        <v>0</v>
      </c>
      <c r="I36" s="467">
        <v>0</v>
      </c>
      <c r="J36" s="467">
        <v>0</v>
      </c>
      <c r="K36" s="1690">
        <f t="shared" ref="K36:K41" si="2">SUM(C36:J36)</f>
        <v>1039901</v>
      </c>
      <c r="L36" s="466">
        <v>840554</v>
      </c>
    </row>
    <row r="37" spans="1:14" x14ac:dyDescent="0.2">
      <c r="A37" s="1523" t="s">
        <v>1151</v>
      </c>
      <c r="B37" s="613">
        <v>2120</v>
      </c>
      <c r="C37" s="466">
        <v>0</v>
      </c>
      <c r="D37" s="466">
        <v>0</v>
      </c>
      <c r="E37" s="466">
        <v>0</v>
      </c>
      <c r="F37" s="466">
        <v>0</v>
      </c>
      <c r="G37" s="466">
        <v>0</v>
      </c>
      <c r="H37" s="466">
        <v>0</v>
      </c>
      <c r="I37" s="467">
        <v>0</v>
      </c>
      <c r="J37" s="467">
        <v>0</v>
      </c>
      <c r="K37" s="1690">
        <f t="shared" si="2"/>
        <v>0</v>
      </c>
      <c r="L37" s="466">
        <v>0</v>
      </c>
    </row>
    <row r="38" spans="1:14" x14ac:dyDescent="0.2">
      <c r="A38" s="1523" t="s">
        <v>207</v>
      </c>
      <c r="B38" s="613">
        <v>2130</v>
      </c>
      <c r="C38" s="466">
        <v>748948</v>
      </c>
      <c r="D38" s="466">
        <v>259152</v>
      </c>
      <c r="E38" s="466">
        <v>59658</v>
      </c>
      <c r="F38" s="466">
        <v>7039</v>
      </c>
      <c r="G38" s="466">
        <v>22152</v>
      </c>
      <c r="H38" s="466">
        <v>0</v>
      </c>
      <c r="I38" s="467">
        <v>0</v>
      </c>
      <c r="J38" s="467">
        <v>0</v>
      </c>
      <c r="K38" s="1690">
        <f t="shared" si="2"/>
        <v>1096949</v>
      </c>
      <c r="L38" s="466">
        <v>1142888</v>
      </c>
    </row>
    <row r="39" spans="1:14" x14ac:dyDescent="0.2">
      <c r="A39" s="1523" t="s">
        <v>208</v>
      </c>
      <c r="B39" s="613">
        <v>2140</v>
      </c>
      <c r="C39" s="466">
        <v>47462</v>
      </c>
      <c r="D39" s="466">
        <v>11207</v>
      </c>
      <c r="E39" s="466">
        <v>1219</v>
      </c>
      <c r="F39" s="466">
        <v>180</v>
      </c>
      <c r="G39" s="466">
        <v>0</v>
      </c>
      <c r="H39" s="466">
        <v>0</v>
      </c>
      <c r="I39" s="467">
        <v>0</v>
      </c>
      <c r="J39" s="467">
        <v>0</v>
      </c>
      <c r="K39" s="1690">
        <f t="shared" si="2"/>
        <v>60068</v>
      </c>
      <c r="L39" s="466">
        <v>73503</v>
      </c>
    </row>
    <row r="40" spans="1:14" x14ac:dyDescent="0.2">
      <c r="A40" s="1523" t="s">
        <v>209</v>
      </c>
      <c r="B40" s="613">
        <v>2150</v>
      </c>
      <c r="C40" s="466">
        <v>207227</v>
      </c>
      <c r="D40" s="466">
        <v>70795</v>
      </c>
      <c r="E40" s="466">
        <v>9974</v>
      </c>
      <c r="F40" s="466">
        <v>2674</v>
      </c>
      <c r="G40" s="466">
        <v>0</v>
      </c>
      <c r="H40" s="466">
        <v>0</v>
      </c>
      <c r="I40" s="467">
        <v>0</v>
      </c>
      <c r="J40" s="467">
        <v>0</v>
      </c>
      <c r="K40" s="1690">
        <f t="shared" si="2"/>
        <v>290670</v>
      </c>
      <c r="L40" s="466">
        <v>291105</v>
      </c>
    </row>
    <row r="41" spans="1:14" x14ac:dyDescent="0.2">
      <c r="A41" s="1523" t="s">
        <v>1768</v>
      </c>
      <c r="B41" s="613">
        <v>2190</v>
      </c>
      <c r="C41" s="466">
        <v>0</v>
      </c>
      <c r="D41" s="466">
        <v>0</v>
      </c>
      <c r="E41" s="466">
        <v>0</v>
      </c>
      <c r="F41" s="466">
        <v>0</v>
      </c>
      <c r="G41" s="466">
        <v>0</v>
      </c>
      <c r="H41" s="466">
        <v>0</v>
      </c>
      <c r="I41" s="467">
        <v>0</v>
      </c>
      <c r="J41" s="467">
        <v>0</v>
      </c>
      <c r="K41" s="1690">
        <f t="shared" si="2"/>
        <v>0</v>
      </c>
      <c r="L41" s="466">
        <v>0</v>
      </c>
    </row>
    <row r="42" spans="1:14" ht="12.75" customHeight="1" thickBot="1" x14ac:dyDescent="0.25">
      <c r="A42" s="1687" t="s">
        <v>581</v>
      </c>
      <c r="B42" s="1688" t="s">
        <v>740</v>
      </c>
      <c r="C42" s="1689">
        <f>SUM(C36:C41)</f>
        <v>1772780</v>
      </c>
      <c r="D42" s="1689">
        <f t="shared" ref="D42:L42" si="3">SUM(D36:D41)</f>
        <v>572033</v>
      </c>
      <c r="E42" s="1689">
        <f t="shared" si="3"/>
        <v>108864</v>
      </c>
      <c r="F42" s="1689">
        <f t="shared" si="3"/>
        <v>11759</v>
      </c>
      <c r="G42" s="1689">
        <f t="shared" si="3"/>
        <v>22152</v>
      </c>
      <c r="H42" s="1689">
        <f t="shared" si="3"/>
        <v>0</v>
      </c>
      <c r="I42" s="1689">
        <f t="shared" si="3"/>
        <v>0</v>
      </c>
      <c r="J42" s="1689">
        <f t="shared" si="3"/>
        <v>0</v>
      </c>
      <c r="K42" s="1689">
        <f t="shared" si="3"/>
        <v>2487588</v>
      </c>
      <c r="L42" s="1689">
        <f t="shared" si="3"/>
        <v>2348050</v>
      </c>
    </row>
    <row r="43" spans="1:14" ht="15.9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189482</v>
      </c>
      <c r="D44" s="480">
        <v>77884</v>
      </c>
      <c r="E44" s="480">
        <v>112378</v>
      </c>
      <c r="F44" s="480">
        <v>0</v>
      </c>
      <c r="G44" s="480">
        <v>0</v>
      </c>
      <c r="H44" s="480">
        <v>0</v>
      </c>
      <c r="I44" s="467">
        <v>0</v>
      </c>
      <c r="J44" s="467">
        <v>0</v>
      </c>
      <c r="K44" s="1691">
        <f>SUM(C44:J44)</f>
        <v>379744</v>
      </c>
      <c r="L44" s="480">
        <v>633908</v>
      </c>
    </row>
    <row r="45" spans="1:14" x14ac:dyDescent="0.2">
      <c r="A45" s="1523" t="s">
        <v>869</v>
      </c>
      <c r="B45" s="613">
        <v>2220</v>
      </c>
      <c r="C45" s="467">
        <v>0</v>
      </c>
      <c r="D45" s="466">
        <v>0</v>
      </c>
      <c r="E45" s="466">
        <v>0</v>
      </c>
      <c r="F45" s="466">
        <v>0</v>
      </c>
      <c r="G45" s="466">
        <v>0</v>
      </c>
      <c r="H45" s="466">
        <v>0</v>
      </c>
      <c r="I45" s="467">
        <v>0</v>
      </c>
      <c r="J45" s="467">
        <v>0</v>
      </c>
      <c r="K45" s="1691">
        <f>SUM(C45:J45)</f>
        <v>0</v>
      </c>
      <c r="L45" s="466">
        <v>0</v>
      </c>
    </row>
    <row r="46" spans="1:14" x14ac:dyDescent="0.2">
      <c r="A46" s="1523" t="s">
        <v>870</v>
      </c>
      <c r="B46" s="613">
        <v>2230</v>
      </c>
      <c r="C46" s="467">
        <v>0</v>
      </c>
      <c r="D46" s="466">
        <v>0</v>
      </c>
      <c r="E46" s="466">
        <v>0</v>
      </c>
      <c r="F46" s="466">
        <v>0</v>
      </c>
      <c r="G46" s="466">
        <v>0</v>
      </c>
      <c r="H46" s="466">
        <v>0</v>
      </c>
      <c r="I46" s="467">
        <v>0</v>
      </c>
      <c r="J46" s="467">
        <v>0</v>
      </c>
      <c r="K46" s="1691">
        <f>SUM(C46:J46)</f>
        <v>0</v>
      </c>
      <c r="L46" s="466">
        <v>0</v>
      </c>
    </row>
    <row r="47" spans="1:14" ht="12.75" customHeight="1" thickBot="1" x14ac:dyDescent="0.25">
      <c r="A47" s="1687" t="s">
        <v>582</v>
      </c>
      <c r="B47" s="1688" t="s">
        <v>32</v>
      </c>
      <c r="C47" s="1689">
        <f>SUM(C44:C46)</f>
        <v>189482</v>
      </c>
      <c r="D47" s="1689">
        <f t="shared" ref="D47:K47" si="4">SUM(D44:D46)</f>
        <v>77884</v>
      </c>
      <c r="E47" s="1689">
        <f t="shared" si="4"/>
        <v>112378</v>
      </c>
      <c r="F47" s="1689">
        <f t="shared" si="4"/>
        <v>0</v>
      </c>
      <c r="G47" s="1689">
        <f t="shared" si="4"/>
        <v>0</v>
      </c>
      <c r="H47" s="1689">
        <f t="shared" si="4"/>
        <v>0</v>
      </c>
      <c r="I47" s="1689">
        <f t="shared" si="4"/>
        <v>0</v>
      </c>
      <c r="J47" s="1689">
        <f t="shared" si="4"/>
        <v>0</v>
      </c>
      <c r="K47" s="1689">
        <f t="shared" si="4"/>
        <v>379744</v>
      </c>
      <c r="L47" s="1689">
        <f>SUM(L44:L46)</f>
        <v>633908</v>
      </c>
    </row>
    <row r="48" spans="1:14" ht="15.9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0</v>
      </c>
      <c r="D49" s="480">
        <v>0</v>
      </c>
      <c r="E49" s="480">
        <v>14817</v>
      </c>
      <c r="F49" s="480">
        <v>1783</v>
      </c>
      <c r="G49" s="480">
        <v>0</v>
      </c>
      <c r="H49" s="480">
        <v>0</v>
      </c>
      <c r="I49" s="467">
        <v>0</v>
      </c>
      <c r="J49" s="467">
        <v>0</v>
      </c>
      <c r="K49" s="1691">
        <f>SUM(C49:J49)</f>
        <v>16600</v>
      </c>
      <c r="L49" s="466">
        <v>0</v>
      </c>
    </row>
    <row r="50" spans="1:14" x14ac:dyDescent="0.2">
      <c r="A50" s="1523" t="s">
        <v>872</v>
      </c>
      <c r="B50" s="613">
        <v>2320</v>
      </c>
      <c r="C50" s="466">
        <v>128540</v>
      </c>
      <c r="D50" s="466">
        <v>28153</v>
      </c>
      <c r="E50" s="466">
        <v>32430</v>
      </c>
      <c r="F50" s="466">
        <v>0</v>
      </c>
      <c r="G50" s="466">
        <v>0</v>
      </c>
      <c r="H50" s="466">
        <v>0</v>
      </c>
      <c r="I50" s="467">
        <v>0</v>
      </c>
      <c r="J50" s="467">
        <v>0</v>
      </c>
      <c r="K50" s="1691">
        <f>SUM(C50:J50)</f>
        <v>189123</v>
      </c>
      <c r="L50" s="466">
        <v>231282</v>
      </c>
    </row>
    <row r="51" spans="1:14" x14ac:dyDescent="0.2">
      <c r="A51" s="1523" t="s">
        <v>44</v>
      </c>
      <c r="B51" s="613">
        <v>2330</v>
      </c>
      <c r="C51" s="466">
        <v>359113</v>
      </c>
      <c r="D51" s="466">
        <v>93112</v>
      </c>
      <c r="E51" s="466">
        <v>76420</v>
      </c>
      <c r="F51" s="466">
        <v>12516</v>
      </c>
      <c r="G51" s="466">
        <v>0</v>
      </c>
      <c r="H51" s="466">
        <v>0</v>
      </c>
      <c r="I51" s="467">
        <v>0</v>
      </c>
      <c r="J51" s="467">
        <v>0</v>
      </c>
      <c r="K51" s="1691">
        <f>SUM(C51:J51)</f>
        <v>541161</v>
      </c>
      <c r="L51" s="466">
        <v>373041</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487653</v>
      </c>
      <c r="D53" s="1689">
        <f t="shared" ref="D53:L53" si="5">SUM(D49:D52)</f>
        <v>121265</v>
      </c>
      <c r="E53" s="1689">
        <f t="shared" si="5"/>
        <v>123667</v>
      </c>
      <c r="F53" s="1689">
        <f t="shared" si="5"/>
        <v>14299</v>
      </c>
      <c r="G53" s="1689">
        <f t="shared" si="5"/>
        <v>0</v>
      </c>
      <c r="H53" s="1689">
        <f t="shared" si="5"/>
        <v>0</v>
      </c>
      <c r="I53" s="1689">
        <f t="shared" si="5"/>
        <v>0</v>
      </c>
      <c r="J53" s="1689">
        <f t="shared" si="5"/>
        <v>0</v>
      </c>
      <c r="K53" s="1689">
        <f t="shared" si="5"/>
        <v>746884</v>
      </c>
      <c r="L53" s="1689">
        <f t="shared" si="5"/>
        <v>604323</v>
      </c>
    </row>
    <row r="54" spans="1:14" ht="15.9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0</v>
      </c>
      <c r="D55" s="480">
        <v>0</v>
      </c>
      <c r="E55" s="480">
        <v>0</v>
      </c>
      <c r="F55" s="480">
        <v>0</v>
      </c>
      <c r="G55" s="480">
        <v>0</v>
      </c>
      <c r="H55" s="480">
        <v>0</v>
      </c>
      <c r="I55" s="467">
        <v>0</v>
      </c>
      <c r="J55" s="467">
        <v>0</v>
      </c>
      <c r="K55" s="1691">
        <f>SUM(C55:J55)</f>
        <v>0</v>
      </c>
      <c r="L55" s="480">
        <v>0</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0</v>
      </c>
      <c r="D57" s="1693">
        <f t="shared" ref="D57:K57" si="6">SUM(D55:D56)</f>
        <v>0</v>
      </c>
      <c r="E57" s="1693">
        <f t="shared" si="6"/>
        <v>0</v>
      </c>
      <c r="F57" s="1693">
        <f t="shared" si="6"/>
        <v>0</v>
      </c>
      <c r="G57" s="1693">
        <f t="shared" si="6"/>
        <v>0</v>
      </c>
      <c r="H57" s="1693">
        <f t="shared" si="6"/>
        <v>0</v>
      </c>
      <c r="I57" s="1693">
        <f t="shared" si="6"/>
        <v>0</v>
      </c>
      <c r="J57" s="1693">
        <f t="shared" si="6"/>
        <v>0</v>
      </c>
      <c r="K57" s="1693">
        <f t="shared" si="6"/>
        <v>0</v>
      </c>
      <c r="L57" s="1689">
        <f>SUM(L55:L56)</f>
        <v>0</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0</v>
      </c>
      <c r="D59" s="480">
        <v>0</v>
      </c>
      <c r="E59" s="480">
        <v>13478</v>
      </c>
      <c r="F59" s="480">
        <v>0</v>
      </c>
      <c r="G59" s="480">
        <v>0</v>
      </c>
      <c r="H59" s="480">
        <v>326</v>
      </c>
      <c r="I59" s="467">
        <v>0</v>
      </c>
      <c r="J59" s="467">
        <v>0</v>
      </c>
      <c r="K59" s="1691">
        <f t="shared" ref="K59:K64" si="7">SUM(C59:J59)</f>
        <v>13804</v>
      </c>
      <c r="L59" s="480">
        <v>0</v>
      </c>
      <c r="M59" s="608"/>
      <c r="N59" s="608"/>
    </row>
    <row r="60" spans="1:14" s="343" customFormat="1" x14ac:dyDescent="0.2">
      <c r="A60" s="1523" t="s">
        <v>483</v>
      </c>
      <c r="B60" s="613">
        <v>2520</v>
      </c>
      <c r="C60" s="466">
        <v>121428</v>
      </c>
      <c r="D60" s="466">
        <v>44353</v>
      </c>
      <c r="E60" s="466">
        <v>2937</v>
      </c>
      <c r="F60" s="466">
        <v>0</v>
      </c>
      <c r="G60" s="466">
        <v>0</v>
      </c>
      <c r="H60" s="466">
        <v>0</v>
      </c>
      <c r="I60" s="467">
        <v>0</v>
      </c>
      <c r="J60" s="467">
        <v>0</v>
      </c>
      <c r="K60" s="1691">
        <f t="shared" si="7"/>
        <v>168718</v>
      </c>
      <c r="L60" s="466">
        <v>221497</v>
      </c>
      <c r="M60" s="608"/>
      <c r="N60" s="608"/>
    </row>
    <row r="61" spans="1:14" s="343" customFormat="1" x14ac:dyDescent="0.2">
      <c r="A61" s="1523" t="s">
        <v>206</v>
      </c>
      <c r="B61" s="613">
        <v>2540</v>
      </c>
      <c r="C61" s="467">
        <v>68715</v>
      </c>
      <c r="D61" s="466">
        <v>20422</v>
      </c>
      <c r="E61" s="466">
        <v>276188</v>
      </c>
      <c r="F61" s="466">
        <v>18371</v>
      </c>
      <c r="G61" s="466">
        <v>1177</v>
      </c>
      <c r="H61" s="466">
        <v>0</v>
      </c>
      <c r="I61" s="467">
        <v>0</v>
      </c>
      <c r="J61" s="467">
        <v>0</v>
      </c>
      <c r="K61" s="1691">
        <f t="shared" si="7"/>
        <v>384873</v>
      </c>
      <c r="L61" s="466">
        <v>515090</v>
      </c>
      <c r="M61" s="608"/>
      <c r="N61" s="608"/>
    </row>
    <row r="62" spans="1:14" s="343" customFormat="1" x14ac:dyDescent="0.2">
      <c r="A62" s="1523" t="s">
        <v>1010</v>
      </c>
      <c r="B62" s="613">
        <v>2550</v>
      </c>
      <c r="C62" s="467">
        <v>0</v>
      </c>
      <c r="D62" s="466">
        <v>0</v>
      </c>
      <c r="E62" s="466">
        <v>8623</v>
      </c>
      <c r="F62" s="466">
        <v>0</v>
      </c>
      <c r="G62" s="466">
        <v>0</v>
      </c>
      <c r="H62" s="466">
        <v>0</v>
      </c>
      <c r="I62" s="467">
        <v>0</v>
      </c>
      <c r="J62" s="467">
        <v>0</v>
      </c>
      <c r="K62" s="1691">
        <f t="shared" si="7"/>
        <v>8623</v>
      </c>
      <c r="L62" s="466">
        <v>20000</v>
      </c>
      <c r="M62" s="608"/>
      <c r="N62" s="608"/>
    </row>
    <row r="63" spans="1:14" s="608" customFormat="1" x14ac:dyDescent="0.2">
      <c r="A63" s="1523" t="s">
        <v>102</v>
      </c>
      <c r="B63" s="613">
        <v>2560</v>
      </c>
      <c r="C63" s="466">
        <v>0</v>
      </c>
      <c r="D63" s="466">
        <v>0</v>
      </c>
      <c r="E63" s="466">
        <v>29469</v>
      </c>
      <c r="F63" s="466">
        <v>0</v>
      </c>
      <c r="G63" s="466">
        <v>0</v>
      </c>
      <c r="H63" s="466">
        <v>0</v>
      </c>
      <c r="I63" s="467">
        <v>0</v>
      </c>
      <c r="J63" s="467">
        <v>0</v>
      </c>
      <c r="K63" s="1691">
        <f t="shared" si="7"/>
        <v>29469</v>
      </c>
      <c r="L63" s="466">
        <v>40000</v>
      </c>
    </row>
    <row r="64" spans="1:14" s="608" customFormat="1" x14ac:dyDescent="0.2">
      <c r="A64" s="1528" t="s">
        <v>103</v>
      </c>
      <c r="B64" s="629">
        <v>2570</v>
      </c>
      <c r="C64" s="480">
        <v>0</v>
      </c>
      <c r="D64" s="480">
        <v>0</v>
      </c>
      <c r="E64" s="480">
        <v>11863</v>
      </c>
      <c r="F64" s="480">
        <v>0</v>
      </c>
      <c r="G64" s="480">
        <v>0</v>
      </c>
      <c r="H64" s="480">
        <v>0</v>
      </c>
      <c r="I64" s="467">
        <v>0</v>
      </c>
      <c r="J64" s="467">
        <v>0</v>
      </c>
      <c r="K64" s="1691">
        <f t="shared" si="7"/>
        <v>11863</v>
      </c>
      <c r="L64" s="480">
        <v>14000</v>
      </c>
    </row>
    <row r="65" spans="1:14" s="343" customFormat="1" ht="12.75" customHeight="1" thickBot="1" x14ac:dyDescent="0.25">
      <c r="A65" s="1687" t="s">
        <v>743</v>
      </c>
      <c r="B65" s="1688" t="s">
        <v>35</v>
      </c>
      <c r="C65" s="1689">
        <f>SUM(C59:C64)</f>
        <v>190143</v>
      </c>
      <c r="D65" s="1689">
        <f t="shared" ref="D65:L65" si="8">SUM(D59:D64)</f>
        <v>64775</v>
      </c>
      <c r="E65" s="1689">
        <f t="shared" si="8"/>
        <v>342558</v>
      </c>
      <c r="F65" s="1689">
        <f t="shared" si="8"/>
        <v>18371</v>
      </c>
      <c r="G65" s="1689">
        <f t="shared" si="8"/>
        <v>1177</v>
      </c>
      <c r="H65" s="1689">
        <f t="shared" si="8"/>
        <v>326</v>
      </c>
      <c r="I65" s="1689">
        <f t="shared" si="8"/>
        <v>0</v>
      </c>
      <c r="J65" s="1689">
        <f t="shared" si="8"/>
        <v>0</v>
      </c>
      <c r="K65" s="1689">
        <f t="shared" si="8"/>
        <v>617350</v>
      </c>
      <c r="L65" s="1689">
        <f t="shared" si="8"/>
        <v>810587</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66776</v>
      </c>
      <c r="D67" s="466">
        <v>7960</v>
      </c>
      <c r="E67" s="466">
        <v>7898</v>
      </c>
      <c r="F67" s="466">
        <v>753</v>
      </c>
      <c r="G67" s="466">
        <v>3011</v>
      </c>
      <c r="H67" s="466">
        <v>0</v>
      </c>
      <c r="I67" s="467">
        <v>0</v>
      </c>
      <c r="J67" s="467">
        <v>0</v>
      </c>
      <c r="K67" s="1691">
        <f>SUM(C67:J67)</f>
        <v>86398</v>
      </c>
      <c r="L67" s="480">
        <v>299519</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0</v>
      </c>
      <c r="D70" s="466">
        <v>0</v>
      </c>
      <c r="E70" s="466">
        <v>466</v>
      </c>
      <c r="F70" s="466">
        <v>0</v>
      </c>
      <c r="G70" s="466">
        <v>0</v>
      </c>
      <c r="H70" s="466">
        <v>0</v>
      </c>
      <c r="I70" s="467">
        <v>0</v>
      </c>
      <c r="J70" s="467">
        <v>0</v>
      </c>
      <c r="K70" s="1691">
        <f>SUM(C70:J70)</f>
        <v>466</v>
      </c>
      <c r="L70" s="466">
        <v>1000</v>
      </c>
      <c r="M70" s="608"/>
      <c r="N70" s="608"/>
    </row>
    <row r="71" spans="1:14" s="343" customFormat="1" x14ac:dyDescent="0.2">
      <c r="A71" s="1523" t="s">
        <v>424</v>
      </c>
      <c r="B71" s="613">
        <v>2660</v>
      </c>
      <c r="C71" s="466">
        <v>0</v>
      </c>
      <c r="D71" s="466">
        <v>0</v>
      </c>
      <c r="E71" s="466">
        <v>40349</v>
      </c>
      <c r="F71" s="466">
        <v>2207</v>
      </c>
      <c r="G71" s="466">
        <v>0</v>
      </c>
      <c r="H71" s="466">
        <v>0</v>
      </c>
      <c r="I71" s="467">
        <v>0</v>
      </c>
      <c r="J71" s="467">
        <v>0</v>
      </c>
      <c r="K71" s="1691">
        <f>SUM(C71:J71)</f>
        <v>42556</v>
      </c>
      <c r="L71" s="466">
        <v>53000</v>
      </c>
      <c r="M71" s="608"/>
      <c r="N71" s="608"/>
    </row>
    <row r="72" spans="1:14" s="343" customFormat="1" ht="12.75" customHeight="1" thickBot="1" x14ac:dyDescent="0.25">
      <c r="A72" s="1687" t="s">
        <v>37</v>
      </c>
      <c r="B72" s="1694" t="s">
        <v>36</v>
      </c>
      <c r="C72" s="1689">
        <f>SUM(C67:C71)</f>
        <v>66776</v>
      </c>
      <c r="D72" s="1689">
        <f t="shared" ref="D72:K72" si="9">SUM(D67:D71)</f>
        <v>7960</v>
      </c>
      <c r="E72" s="1689">
        <f t="shared" si="9"/>
        <v>48713</v>
      </c>
      <c r="F72" s="1689">
        <f t="shared" si="9"/>
        <v>2960</v>
      </c>
      <c r="G72" s="1689">
        <f t="shared" si="9"/>
        <v>3011</v>
      </c>
      <c r="H72" s="1689">
        <f t="shared" si="9"/>
        <v>0</v>
      </c>
      <c r="I72" s="1689">
        <f t="shared" si="9"/>
        <v>0</v>
      </c>
      <c r="J72" s="1689">
        <f t="shared" si="9"/>
        <v>0</v>
      </c>
      <c r="K72" s="1689">
        <f t="shared" si="9"/>
        <v>129420</v>
      </c>
      <c r="L72" s="1689">
        <f>SUM(L67:L71)</f>
        <v>353519</v>
      </c>
      <c r="M72" s="608"/>
      <c r="N72" s="608"/>
    </row>
    <row r="73" spans="1:14" s="343" customFormat="1" ht="14.25" thickTop="1" thickBot="1" x14ac:dyDescent="0.25">
      <c r="A73" s="1529" t="s">
        <v>1037</v>
      </c>
      <c r="B73" s="631" t="s">
        <v>595</v>
      </c>
      <c r="C73" s="571">
        <v>0</v>
      </c>
      <c r="D73" s="571">
        <v>0</v>
      </c>
      <c r="E73" s="571">
        <v>626</v>
      </c>
      <c r="F73" s="571">
        <v>0</v>
      </c>
      <c r="G73" s="571">
        <v>0</v>
      </c>
      <c r="H73" s="571">
        <v>0</v>
      </c>
      <c r="I73" s="529">
        <v>0</v>
      </c>
      <c r="J73" s="529">
        <v>0</v>
      </c>
      <c r="K73" s="1689">
        <f>SUM(C73:J73)</f>
        <v>626</v>
      </c>
      <c r="L73" s="574">
        <v>72000</v>
      </c>
      <c r="M73" s="608"/>
      <c r="N73" s="608"/>
    </row>
    <row r="74" spans="1:14" ht="12.75" customHeight="1" thickTop="1" thickBot="1" x14ac:dyDescent="0.25">
      <c r="A74" s="1687" t="s">
        <v>865</v>
      </c>
      <c r="B74" s="1695">
        <v>2000</v>
      </c>
      <c r="C74" s="1696">
        <f>SUM(C42,C47,C53,C57,C65,C72,C73)</f>
        <v>2706834</v>
      </c>
      <c r="D74" s="1696">
        <f t="shared" ref="D74:K74" si="10">SUM(D42,D47,D53,D57,D65,D72,D73)</f>
        <v>843917</v>
      </c>
      <c r="E74" s="1696">
        <f t="shared" si="10"/>
        <v>736806</v>
      </c>
      <c r="F74" s="1696">
        <f t="shared" si="10"/>
        <v>47389</v>
      </c>
      <c r="G74" s="1696">
        <f t="shared" si="10"/>
        <v>26340</v>
      </c>
      <c r="H74" s="1696">
        <f t="shared" si="10"/>
        <v>326</v>
      </c>
      <c r="I74" s="1696">
        <f t="shared" si="10"/>
        <v>0</v>
      </c>
      <c r="J74" s="1696">
        <f t="shared" si="10"/>
        <v>0</v>
      </c>
      <c r="K74" s="1696">
        <f t="shared" si="10"/>
        <v>4361612</v>
      </c>
      <c r="L74" s="1696">
        <f>SUM(L42,L47,L53,L57,L65,L72,L73)</f>
        <v>4822387</v>
      </c>
    </row>
    <row r="75" spans="1:14" s="259" customFormat="1" ht="15.95" customHeight="1" thickTop="1" thickBot="1" x14ac:dyDescent="0.25">
      <c r="A75" s="1629" t="s">
        <v>49</v>
      </c>
      <c r="B75" s="1630" t="s">
        <v>596</v>
      </c>
      <c r="C75" s="571">
        <v>0</v>
      </c>
      <c r="D75" s="571">
        <v>0</v>
      </c>
      <c r="E75" s="571">
        <v>0</v>
      </c>
      <c r="F75" s="571">
        <v>0</v>
      </c>
      <c r="G75" s="571">
        <v>0</v>
      </c>
      <c r="H75" s="571">
        <v>0</v>
      </c>
      <c r="I75" s="529">
        <v>0</v>
      </c>
      <c r="J75" s="529">
        <v>0</v>
      </c>
      <c r="K75" s="1689">
        <f>SUM(C75:J75)</f>
        <v>0</v>
      </c>
      <c r="L75" s="574">
        <v>0</v>
      </c>
      <c r="M75" s="612"/>
      <c r="N75" s="612"/>
    </row>
    <row r="76" spans="1:14" s="632" customFormat="1" ht="15.95" customHeight="1" thickTop="1" x14ac:dyDescent="0.2">
      <c r="A76" s="1631" t="s">
        <v>383</v>
      </c>
      <c r="B76" s="1628"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0</v>
      </c>
      <c r="F78" s="615"/>
      <c r="G78" s="615"/>
      <c r="H78" s="633">
        <v>0</v>
      </c>
      <c r="I78" s="476"/>
      <c r="J78" s="476"/>
      <c r="K78" s="1690">
        <f t="shared" ref="K78:K83" si="11">SUM(C78:J78)</f>
        <v>0</v>
      </c>
      <c r="L78" s="480">
        <v>0</v>
      </c>
    </row>
    <row r="79" spans="1:14" x14ac:dyDescent="0.2">
      <c r="A79" s="1523" t="s">
        <v>322</v>
      </c>
      <c r="B79" s="613">
        <v>4120</v>
      </c>
      <c r="C79" s="615"/>
      <c r="D79" s="615"/>
      <c r="E79" s="466">
        <v>86445</v>
      </c>
      <c r="F79" s="615"/>
      <c r="G79" s="615"/>
      <c r="H79" s="466">
        <v>0</v>
      </c>
      <c r="I79" s="476"/>
      <c r="J79" s="476"/>
      <c r="K79" s="1690">
        <f t="shared" si="11"/>
        <v>86445</v>
      </c>
      <c r="L79" s="466">
        <v>90000</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86445</v>
      </c>
      <c r="F84" s="615"/>
      <c r="G84" s="615"/>
      <c r="H84" s="1689">
        <f>SUM(H78:H83)</f>
        <v>0</v>
      </c>
      <c r="I84" s="476"/>
      <c r="J84" s="476"/>
      <c r="K84" s="1689">
        <f>SUM(K78:K83)</f>
        <v>86445</v>
      </c>
      <c r="L84" s="1689">
        <f>SUM(L78:L83)</f>
        <v>90000</v>
      </c>
    </row>
    <row r="85" spans="1:12" ht="12.75" customHeight="1" thickTop="1" thickBot="1" x14ac:dyDescent="0.25">
      <c r="A85" s="1530" t="s">
        <v>273</v>
      </c>
      <c r="B85" s="634">
        <v>4210</v>
      </c>
      <c r="C85" s="615"/>
      <c r="D85" s="615"/>
      <c r="E85" s="635"/>
      <c r="F85" s="615"/>
      <c r="G85" s="615"/>
      <c r="H85" s="533">
        <v>0</v>
      </c>
      <c r="I85" s="476"/>
      <c r="J85" s="476"/>
      <c r="K85" s="1696">
        <f>H85</f>
        <v>0</v>
      </c>
      <c r="L85" s="528">
        <v>0</v>
      </c>
    </row>
    <row r="86" spans="1:12" ht="12.75" customHeight="1" thickTop="1" thickBot="1" x14ac:dyDescent="0.25">
      <c r="A86" s="1531" t="s">
        <v>723</v>
      </c>
      <c r="B86" s="636">
        <v>4220</v>
      </c>
      <c r="C86" s="615"/>
      <c r="D86" s="615"/>
      <c r="E86" s="637"/>
      <c r="F86" s="615"/>
      <c r="G86" s="615"/>
      <c r="H86" s="467">
        <v>0</v>
      </c>
      <c r="I86" s="476"/>
      <c r="J86" s="476"/>
      <c r="K86" s="1696">
        <f t="shared" ref="K86:K98" si="12">H86</f>
        <v>0</v>
      </c>
      <c r="L86" s="528">
        <v>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0</v>
      </c>
      <c r="I92" s="476"/>
      <c r="J92" s="476"/>
      <c r="K92" s="1696">
        <f t="shared" si="12"/>
        <v>0</v>
      </c>
      <c r="L92" s="1689">
        <f>SUM(L85:L91)</f>
        <v>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112549</v>
      </c>
      <c r="I94" s="476"/>
      <c r="J94" s="476"/>
      <c r="K94" s="1696">
        <f t="shared" si="12"/>
        <v>112549</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135000</v>
      </c>
    </row>
    <row r="100" spans="1:14" ht="14.25" thickTop="1" thickBot="1" x14ac:dyDescent="0.25">
      <c r="A100" s="1699" t="s">
        <v>1566</v>
      </c>
      <c r="B100" s="1700">
        <v>4300</v>
      </c>
      <c r="C100" s="615"/>
      <c r="D100" s="615"/>
      <c r="E100" s="1696">
        <f>SUM(E93:E99)</f>
        <v>0</v>
      </c>
      <c r="F100" s="615"/>
      <c r="G100" s="615"/>
      <c r="H100" s="1696">
        <f>SUM(H93:H99)</f>
        <v>112549</v>
      </c>
      <c r="I100" s="476"/>
      <c r="J100" s="476"/>
      <c r="K100" s="1696">
        <f>SUM(K93:K99)</f>
        <v>112549</v>
      </c>
      <c r="L100" s="1696">
        <f>SUM(L93:L99)</f>
        <v>135000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86445</v>
      </c>
      <c r="F102" s="615"/>
      <c r="G102" s="615"/>
      <c r="H102" s="1696">
        <f>SUM(H84,H92,H100,H101)</f>
        <v>112549</v>
      </c>
      <c r="I102" s="476"/>
      <c r="J102" s="476"/>
      <c r="K102" s="1696">
        <f>SUM(K84,K92,K100,K101)</f>
        <v>198994</v>
      </c>
      <c r="L102" s="1696">
        <f>SUM(L84,L92,L100,L101)</f>
        <v>225000</v>
      </c>
    </row>
    <row r="103" spans="1:14" s="632" customFormat="1" ht="15.9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95" customHeight="1" thickTop="1" thickBot="1" x14ac:dyDescent="0.25">
      <c r="A113" s="1625" t="s">
        <v>535</v>
      </c>
      <c r="B113" s="1632"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6255175</v>
      </c>
      <c r="D114" s="1689">
        <f t="shared" ref="D114:K114" si="13">SUM(D33,D74,D75,D102,D112,D113)</f>
        <v>2377518</v>
      </c>
      <c r="E114" s="1689">
        <f t="shared" si="13"/>
        <v>899453</v>
      </c>
      <c r="F114" s="1689">
        <f t="shared" si="13"/>
        <v>95748</v>
      </c>
      <c r="G114" s="1689">
        <f t="shared" si="13"/>
        <v>33531</v>
      </c>
      <c r="H114" s="1689">
        <f>SUM(H33,H74,H75,H102,H112,H113)</f>
        <v>112875</v>
      </c>
      <c r="I114" s="1689">
        <f t="shared" si="13"/>
        <v>0</v>
      </c>
      <c r="J114" s="1689">
        <f t="shared" si="13"/>
        <v>0</v>
      </c>
      <c r="K114" s="1689">
        <f t="shared" si="13"/>
        <v>9774300</v>
      </c>
      <c r="L114" s="1689">
        <f>SUM(L33,L74,L75,L102,L112,L113)</f>
        <v>11424784</v>
      </c>
    </row>
    <row r="115" spans="1:14" ht="13.5" thickTop="1" x14ac:dyDescent="0.2">
      <c r="A115" s="2385" t="s">
        <v>1053</v>
      </c>
      <c r="B115" s="2386"/>
      <c r="C115" s="617"/>
      <c r="D115" s="617"/>
      <c r="E115" s="617"/>
      <c r="F115" s="617"/>
      <c r="G115" s="617"/>
      <c r="H115" s="617"/>
      <c r="I115" s="617"/>
      <c r="J115" s="617"/>
      <c r="K115" s="1703">
        <f>'Revenues 9-14'!C275-'Expenditures 15-22'!K114</f>
        <v>-346866</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90" t="s">
        <v>314</v>
      </c>
      <c r="B117" s="2391"/>
      <c r="C117" s="1645"/>
      <c r="D117" s="1646"/>
      <c r="E117" s="1646"/>
      <c r="F117" s="1646"/>
      <c r="G117" s="1646"/>
      <c r="H117" s="1646"/>
      <c r="I117" s="1646"/>
      <c r="J117" s="1646"/>
      <c r="K117" s="1646"/>
      <c r="L117" s="1647"/>
      <c r="M117" s="175"/>
      <c r="N117" s="175"/>
    </row>
    <row r="118" spans="1:14" ht="15.95" customHeight="1" x14ac:dyDescent="0.2">
      <c r="A118" s="1633" t="s">
        <v>1095</v>
      </c>
      <c r="B118" s="1634"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3" t="s">
        <v>206</v>
      </c>
      <c r="B124" s="613">
        <v>2540</v>
      </c>
      <c r="C124" s="466">
        <v>0</v>
      </c>
      <c r="D124" s="466">
        <v>0</v>
      </c>
      <c r="E124" s="466">
        <v>0</v>
      </c>
      <c r="F124" s="466">
        <v>0</v>
      </c>
      <c r="G124" s="466">
        <v>0</v>
      </c>
      <c r="H124" s="466">
        <v>0</v>
      </c>
      <c r="I124" s="467">
        <v>0</v>
      </c>
      <c r="J124" s="467">
        <v>0</v>
      </c>
      <c r="K124" s="1689">
        <f>SUM(C124:J124)</f>
        <v>0</v>
      </c>
      <c r="L124" s="466">
        <v>0</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0</v>
      </c>
      <c r="D127" s="1689">
        <f t="shared" ref="D127:L127" si="14">SUM(D122:D126)</f>
        <v>0</v>
      </c>
      <c r="E127" s="1689">
        <f t="shared" si="14"/>
        <v>0</v>
      </c>
      <c r="F127" s="1689">
        <f t="shared" si="14"/>
        <v>0</v>
      </c>
      <c r="G127" s="1689">
        <f t="shared" si="14"/>
        <v>0</v>
      </c>
      <c r="H127" s="1689">
        <f t="shared" si="14"/>
        <v>0</v>
      </c>
      <c r="I127" s="1689">
        <f t="shared" si="14"/>
        <v>0</v>
      </c>
      <c r="J127" s="1689">
        <f t="shared" si="14"/>
        <v>0</v>
      </c>
      <c r="K127" s="1689">
        <f t="shared" si="14"/>
        <v>0</v>
      </c>
      <c r="L127" s="1689">
        <f t="shared" si="14"/>
        <v>0</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0</v>
      </c>
      <c r="D129" s="1696">
        <f t="shared" ref="D129:L129" si="15">SUM(D120,D127,D128)</f>
        <v>0</v>
      </c>
      <c r="E129" s="1696">
        <f t="shared" si="15"/>
        <v>0</v>
      </c>
      <c r="F129" s="1696">
        <f t="shared" si="15"/>
        <v>0</v>
      </c>
      <c r="G129" s="1696">
        <f t="shared" si="15"/>
        <v>0</v>
      </c>
      <c r="H129" s="1696">
        <f t="shared" si="15"/>
        <v>0</v>
      </c>
      <c r="I129" s="1696">
        <f t="shared" si="15"/>
        <v>0</v>
      </c>
      <c r="J129" s="1696">
        <f t="shared" si="15"/>
        <v>0</v>
      </c>
      <c r="K129" s="1696">
        <f t="shared" si="15"/>
        <v>0</v>
      </c>
      <c r="L129" s="1696">
        <f t="shared" si="15"/>
        <v>0</v>
      </c>
    </row>
    <row r="130" spans="1:14" ht="15.9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9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1954</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95" customHeight="1" thickTop="1" x14ac:dyDescent="0.2">
      <c r="A140" s="1631" t="s">
        <v>1097</v>
      </c>
      <c r="B140" s="1632"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9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9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402" t="s">
        <v>641</v>
      </c>
      <c r="B151" s="2382"/>
      <c r="C151" s="1689">
        <f>SUM(C129,C130,C139,C149,C150)</f>
        <v>0</v>
      </c>
      <c r="D151" s="1689">
        <f t="shared" ref="D151:K151" si="16">SUM(D129,D130,D139,D149,D150)</f>
        <v>0</v>
      </c>
      <c r="E151" s="1689">
        <f t="shared" si="16"/>
        <v>0</v>
      </c>
      <c r="F151" s="1689">
        <f t="shared" si="16"/>
        <v>0</v>
      </c>
      <c r="G151" s="1689">
        <f t="shared" si="16"/>
        <v>0</v>
      </c>
      <c r="H151" s="1689">
        <f t="shared" si="16"/>
        <v>0</v>
      </c>
      <c r="I151" s="1689">
        <f t="shared" si="16"/>
        <v>0</v>
      </c>
      <c r="J151" s="1689">
        <f t="shared" si="16"/>
        <v>0</v>
      </c>
      <c r="K151" s="1689">
        <f t="shared" si="16"/>
        <v>0</v>
      </c>
      <c r="L151" s="1689">
        <f>SUM(L129,L130,L139,L149,L150)</f>
        <v>0</v>
      </c>
    </row>
    <row r="152" spans="1:14" ht="12.75" customHeight="1" thickTop="1" x14ac:dyDescent="0.2">
      <c r="A152" s="2405" t="s">
        <v>1240</v>
      </c>
      <c r="B152" s="2406"/>
      <c r="C152" s="617"/>
      <c r="D152" s="617"/>
      <c r="E152" s="617"/>
      <c r="F152" s="617"/>
      <c r="G152" s="617"/>
      <c r="H152" s="617"/>
      <c r="I152" s="617"/>
      <c r="J152" s="615"/>
      <c r="K152" s="1703">
        <f>'Revenues 9-14'!D275-'Expenditures 15-22'!K151</f>
        <v>0</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90" t="s">
        <v>642</v>
      </c>
      <c r="B154" s="2392"/>
      <c r="C154" s="1645"/>
      <c r="D154" s="1646"/>
      <c r="E154" s="1646"/>
      <c r="F154" s="1646"/>
      <c r="G154" s="1646"/>
      <c r="H154" s="1646"/>
      <c r="I154" s="1646"/>
      <c r="J154" s="1646"/>
      <c r="K154" s="1646"/>
      <c r="L154" s="1647"/>
      <c r="M154" s="666"/>
      <c r="N154" s="666"/>
    </row>
    <row r="155" spans="1:14" s="619" customFormat="1" ht="15.9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95" customHeight="1" thickTop="1" x14ac:dyDescent="0.2">
      <c r="A156" s="1842" t="s">
        <v>1955</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1954</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1956</v>
      </c>
      <c r="C158" s="615"/>
      <c r="D158" s="615"/>
      <c r="E158" s="615"/>
      <c r="F158" s="615"/>
      <c r="G158" s="615"/>
      <c r="H158" s="467">
        <v>0</v>
      </c>
      <c r="I158" s="615"/>
      <c r="J158" s="615"/>
      <c r="K158" s="1690">
        <f>H158</f>
        <v>0</v>
      </c>
      <c r="L158" s="467">
        <v>0</v>
      </c>
      <c r="M158" s="618"/>
      <c r="N158" s="618"/>
    </row>
    <row r="159" spans="1:14" s="619" customFormat="1" ht="12" x14ac:dyDescent="0.2">
      <c r="A159" s="1846" t="s">
        <v>1957</v>
      </c>
      <c r="B159" s="1847" t="s">
        <v>579</v>
      </c>
      <c r="C159" s="615"/>
      <c r="D159" s="615"/>
      <c r="E159" s="615"/>
      <c r="F159" s="615"/>
      <c r="G159" s="615"/>
      <c r="H159" s="467">
        <v>0</v>
      </c>
      <c r="I159" s="615"/>
      <c r="J159" s="615"/>
      <c r="K159" s="1690">
        <f>H159</f>
        <v>0</v>
      </c>
      <c r="L159" s="467">
        <v>0</v>
      </c>
      <c r="M159" s="618"/>
      <c r="N159" s="618"/>
    </row>
    <row r="160" spans="1:14" s="619" customFormat="1" ht="15.95" customHeight="1" thickBot="1" x14ac:dyDescent="0.25">
      <c r="A160" s="1848" t="s">
        <v>1958</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9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95" customHeight="1" thickTop="1" x14ac:dyDescent="0.2">
      <c r="A169" s="668" t="s">
        <v>85</v>
      </c>
      <c r="B169" s="669" t="s">
        <v>38</v>
      </c>
      <c r="C169" s="615"/>
      <c r="D169" s="615"/>
      <c r="E169" s="615"/>
      <c r="F169" s="615"/>
      <c r="G169" s="615"/>
      <c r="H169" s="655">
        <v>0</v>
      </c>
      <c r="I169" s="615"/>
      <c r="J169" s="615"/>
      <c r="K169" s="1690">
        <f>SUM(C169:H169)</f>
        <v>0</v>
      </c>
      <c r="L169" s="655">
        <v>0</v>
      </c>
    </row>
    <row r="170" spans="1:14" ht="33.950000000000003" customHeight="1" x14ac:dyDescent="0.2">
      <c r="A170" s="668" t="s">
        <v>1769</v>
      </c>
      <c r="B170" s="670" t="s">
        <v>31</v>
      </c>
      <c r="C170" s="615"/>
      <c r="D170" s="615"/>
      <c r="E170" s="615"/>
      <c r="F170" s="615"/>
      <c r="G170" s="615"/>
      <c r="H170" s="567">
        <v>0</v>
      </c>
      <c r="I170" s="615"/>
      <c r="J170" s="615"/>
      <c r="K170" s="1690">
        <f>SUM(C170:J170)</f>
        <v>0</v>
      </c>
      <c r="L170" s="567">
        <v>0</v>
      </c>
    </row>
    <row r="171" spans="1:14" ht="15.95" customHeight="1" x14ac:dyDescent="0.2">
      <c r="A171" s="620" t="s">
        <v>790</v>
      </c>
      <c r="B171" s="671" t="s">
        <v>86</v>
      </c>
      <c r="C171" s="615"/>
      <c r="D171" s="615"/>
      <c r="E171" s="466">
        <v>0</v>
      </c>
      <c r="F171" s="615"/>
      <c r="G171" s="615"/>
      <c r="H171" s="567">
        <v>0</v>
      </c>
      <c r="I171" s="476"/>
      <c r="J171" s="615"/>
      <c r="K171" s="1690">
        <f>SUM(C171:J171)</f>
        <v>0</v>
      </c>
      <c r="L171" s="567">
        <v>0</v>
      </c>
    </row>
    <row r="172" spans="1:14" ht="12.75" customHeight="1" thickBot="1" x14ac:dyDescent="0.25">
      <c r="A172" s="1687" t="s">
        <v>659</v>
      </c>
      <c r="B172" s="1688" t="s">
        <v>513</v>
      </c>
      <c r="C172" s="615"/>
      <c r="D172" s="615"/>
      <c r="E172" s="1696">
        <f>SUM(E168,E169,E170,E171)</f>
        <v>0</v>
      </c>
      <c r="F172" s="615"/>
      <c r="G172" s="615"/>
      <c r="H172" s="1696">
        <f>SUM(H168,H169,H170,H171)</f>
        <v>0</v>
      </c>
      <c r="I172" s="637"/>
      <c r="J172" s="615"/>
      <c r="K172" s="1696">
        <f>SUM(K168,K169,K170,K171)</f>
        <v>0</v>
      </c>
      <c r="L172" s="1696">
        <f>SUM(L168,L169,L170,L171)</f>
        <v>0</v>
      </c>
    </row>
    <row r="173" spans="1:14" ht="15.9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0</v>
      </c>
      <c r="I174" s="637"/>
      <c r="J174" s="615"/>
      <c r="K174" s="1696">
        <f>SUM(K160,K172,K173)</f>
        <v>0</v>
      </c>
      <c r="L174" s="1696">
        <f>SUM(L160,L172,L173)</f>
        <v>0</v>
      </c>
    </row>
    <row r="175" spans="1:14" ht="13.5" thickTop="1" x14ac:dyDescent="0.2">
      <c r="A175" s="2385" t="s">
        <v>1053</v>
      </c>
      <c r="B175" s="2386"/>
      <c r="C175" s="615"/>
      <c r="D175" s="615"/>
      <c r="E175" s="615"/>
      <c r="F175" s="615"/>
      <c r="G175" s="615"/>
      <c r="H175" s="617"/>
      <c r="I175" s="615"/>
      <c r="J175" s="615"/>
      <c r="K175" s="1703">
        <f>'Revenues 9-14'!E275-'Expenditures 15-22'!K174</f>
        <v>0</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95" customHeight="1" x14ac:dyDescent="0.2">
      <c r="A178" s="1639" t="s">
        <v>995</v>
      </c>
      <c r="B178" s="1640"/>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0</v>
      </c>
      <c r="D182" s="467">
        <v>0</v>
      </c>
      <c r="E182" s="467">
        <v>0</v>
      </c>
      <c r="F182" s="467">
        <v>0</v>
      </c>
      <c r="G182" s="467">
        <v>0</v>
      </c>
      <c r="H182" s="466">
        <v>0</v>
      </c>
      <c r="I182" s="467">
        <v>0</v>
      </c>
      <c r="J182" s="467">
        <v>0</v>
      </c>
      <c r="K182" s="1690">
        <f>SUM(C182:J182)</f>
        <v>0</v>
      </c>
      <c r="L182" s="466">
        <v>0</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0</v>
      </c>
      <c r="D184" s="1696">
        <f t="shared" ref="D184:J184" si="17">SUM(D180,D182,D183)</f>
        <v>0</v>
      </c>
      <c r="E184" s="1696">
        <f t="shared" si="17"/>
        <v>0</v>
      </c>
      <c r="F184" s="1696">
        <f t="shared" si="17"/>
        <v>0</v>
      </c>
      <c r="G184" s="1696">
        <f t="shared" si="17"/>
        <v>0</v>
      </c>
      <c r="H184" s="1696">
        <f t="shared" si="17"/>
        <v>0</v>
      </c>
      <c r="I184" s="1696">
        <f t="shared" si="17"/>
        <v>0</v>
      </c>
      <c r="J184" s="1696">
        <f t="shared" si="17"/>
        <v>0</v>
      </c>
      <c r="K184" s="1696">
        <f>SUM(K180,K182,K183)</f>
        <v>0</v>
      </c>
      <c r="L184" s="1696">
        <f>SUM(L180, L182:L183)</f>
        <v>0</v>
      </c>
    </row>
    <row r="185" spans="1:14" ht="15.9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9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9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9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9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9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9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0</v>
      </c>
      <c r="D210" s="1689">
        <f>SUM(D184,D185)</f>
        <v>0</v>
      </c>
      <c r="E210" s="1689">
        <f>SUM(E184,E185,E196)</f>
        <v>0</v>
      </c>
      <c r="F210" s="1689">
        <f>SUM(F184,F185)</f>
        <v>0</v>
      </c>
      <c r="G210" s="1689">
        <f>SUM(G184,G185)</f>
        <v>0</v>
      </c>
      <c r="H210" s="1689">
        <f>SUM(H184,H185,H196,H208,H209)</f>
        <v>0</v>
      </c>
      <c r="I210" s="1689">
        <f>SUM(I184,I185)</f>
        <v>0</v>
      </c>
      <c r="J210" s="1689">
        <f>SUM(J184,J185)</f>
        <v>0</v>
      </c>
      <c r="K210" s="1690">
        <f>SUM(K184,K185,K196,K208,K209)</f>
        <v>0</v>
      </c>
      <c r="L210" s="1689">
        <f>SUM(L184,L185,L196,L208,L209)</f>
        <v>0</v>
      </c>
    </row>
    <row r="211" spans="1:14" ht="13.5" thickTop="1" x14ac:dyDescent="0.2">
      <c r="A211" s="2385" t="s">
        <v>1053</v>
      </c>
      <c r="B211" s="2386"/>
      <c r="C211" s="617"/>
      <c r="D211" s="617"/>
      <c r="E211" s="617"/>
      <c r="F211" s="617"/>
      <c r="G211" s="617"/>
      <c r="H211" s="617"/>
      <c r="I211" s="615"/>
      <c r="J211" s="615"/>
      <c r="K211" s="1703">
        <f>'Revenues 9-14'!F275-'Expenditures 15-22'!K210</f>
        <v>0</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407" t="s">
        <v>1022</v>
      </c>
      <c r="B213" s="2408"/>
      <c r="C213" s="1570"/>
      <c r="D213" s="1571"/>
      <c r="E213" s="1571"/>
      <c r="F213" s="1571"/>
      <c r="G213" s="1571"/>
      <c r="H213" s="1571"/>
      <c r="I213" s="1571"/>
      <c r="J213" s="1571"/>
      <c r="K213" s="1571"/>
      <c r="L213" s="1572"/>
      <c r="M213" s="608"/>
      <c r="N213" s="608"/>
    </row>
    <row r="214" spans="1:14" s="673" customFormat="1" ht="15.9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0</v>
      </c>
      <c r="E215" s="615"/>
      <c r="F215" s="615"/>
      <c r="G215" s="615"/>
      <c r="H215" s="615"/>
      <c r="I215" s="615"/>
      <c r="J215" s="615"/>
      <c r="K215" s="1690">
        <f>D215</f>
        <v>0</v>
      </c>
      <c r="L215" s="466">
        <v>0</v>
      </c>
    </row>
    <row r="216" spans="1:14" x14ac:dyDescent="0.2">
      <c r="A216" s="1523" t="s">
        <v>165</v>
      </c>
      <c r="B216" s="613" t="s">
        <v>1024</v>
      </c>
      <c r="C216" s="615"/>
      <c r="D216" s="467">
        <v>0</v>
      </c>
      <c r="E216" s="615"/>
      <c r="F216" s="615"/>
      <c r="G216" s="615"/>
      <c r="H216" s="615"/>
      <c r="I216" s="615"/>
      <c r="J216" s="615"/>
      <c r="K216" s="1690">
        <f t="shared" ref="K216:K228" si="19">D216</f>
        <v>0</v>
      </c>
      <c r="L216" s="466">
        <v>0</v>
      </c>
    </row>
    <row r="217" spans="1:14" x14ac:dyDescent="0.2">
      <c r="A217" s="1523" t="s">
        <v>166</v>
      </c>
      <c r="B217" s="613">
        <v>1200</v>
      </c>
      <c r="C217" s="615"/>
      <c r="D217" s="466">
        <v>0</v>
      </c>
      <c r="E217" s="615"/>
      <c r="F217" s="615"/>
      <c r="G217" s="615"/>
      <c r="H217" s="615"/>
      <c r="I217" s="615"/>
      <c r="J217" s="615"/>
      <c r="K217" s="1690">
        <f t="shared" si="19"/>
        <v>0</v>
      </c>
      <c r="L217" s="466">
        <v>0</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0</v>
      </c>
      <c r="E219" s="615"/>
      <c r="F219" s="615"/>
      <c r="G219" s="615"/>
      <c r="H219" s="615"/>
      <c r="I219" s="615"/>
      <c r="J219" s="615"/>
      <c r="K219" s="1690">
        <f t="shared" si="19"/>
        <v>0</v>
      </c>
      <c r="L219" s="466">
        <v>0</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0</v>
      </c>
      <c r="E222" s="615"/>
      <c r="F222" s="615"/>
      <c r="G222" s="615"/>
      <c r="H222" s="615"/>
      <c r="I222" s="615"/>
      <c r="J222" s="615"/>
      <c r="K222" s="1690">
        <f t="shared" si="19"/>
        <v>0</v>
      </c>
      <c r="L222" s="466">
        <v>0</v>
      </c>
    </row>
    <row r="223" spans="1:14" x14ac:dyDescent="0.2">
      <c r="A223" s="1523" t="s">
        <v>1020</v>
      </c>
      <c r="B223" s="613">
        <v>1500</v>
      </c>
      <c r="C223" s="615"/>
      <c r="D223" s="466">
        <v>0</v>
      </c>
      <c r="E223" s="615"/>
      <c r="F223" s="615"/>
      <c r="G223" s="615"/>
      <c r="H223" s="615"/>
      <c r="I223" s="615"/>
      <c r="J223" s="615"/>
      <c r="K223" s="1690">
        <f t="shared" si="19"/>
        <v>0</v>
      </c>
      <c r="L223" s="466">
        <v>0</v>
      </c>
    </row>
    <row r="224" spans="1:14" x14ac:dyDescent="0.2">
      <c r="A224" s="1523" t="s">
        <v>1021</v>
      </c>
      <c r="B224" s="613">
        <v>1600</v>
      </c>
      <c r="C224" s="615"/>
      <c r="D224" s="466">
        <v>0</v>
      </c>
      <c r="E224" s="615"/>
      <c r="F224" s="615"/>
      <c r="G224" s="615"/>
      <c r="H224" s="615"/>
      <c r="I224" s="615"/>
      <c r="J224" s="615"/>
      <c r="K224" s="1690">
        <f t="shared" si="19"/>
        <v>0</v>
      </c>
      <c r="L224" s="466">
        <v>0</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0</v>
      </c>
      <c r="E226" s="615"/>
      <c r="F226" s="615"/>
      <c r="G226" s="615"/>
      <c r="H226" s="615"/>
      <c r="I226" s="615"/>
      <c r="J226" s="615"/>
      <c r="K226" s="1690">
        <f t="shared" si="19"/>
        <v>0</v>
      </c>
      <c r="L226" s="466">
        <v>0</v>
      </c>
    </row>
    <row r="227" spans="1:12" x14ac:dyDescent="0.2">
      <c r="A227" s="1523" t="s">
        <v>1148</v>
      </c>
      <c r="B227" s="613">
        <v>1800</v>
      </c>
      <c r="C227" s="615"/>
      <c r="D227" s="466">
        <v>0</v>
      </c>
      <c r="E227" s="615"/>
      <c r="F227" s="615"/>
      <c r="G227" s="615"/>
      <c r="H227" s="615"/>
      <c r="I227" s="615"/>
      <c r="J227" s="615"/>
      <c r="K227" s="1690">
        <f t="shared" si="19"/>
        <v>0</v>
      </c>
      <c r="L227" s="466">
        <v>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0</v>
      </c>
      <c r="E229" s="615"/>
      <c r="F229" s="615"/>
      <c r="G229" s="615"/>
      <c r="H229" s="615"/>
      <c r="I229" s="615"/>
      <c r="J229" s="615"/>
      <c r="K229" s="1689">
        <f>SUM(K215:K228)</f>
        <v>0</v>
      </c>
      <c r="L229" s="1689">
        <f>SUM(L215:L228)</f>
        <v>0</v>
      </c>
    </row>
    <row r="230" spans="1:12" ht="15.95" customHeight="1" thickTop="1" x14ac:dyDescent="0.2">
      <c r="A230" s="1631" t="s">
        <v>929</v>
      </c>
      <c r="B230" s="1632"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0</v>
      </c>
      <c r="E232" s="615"/>
      <c r="F232" s="615"/>
      <c r="G232" s="615"/>
      <c r="H232" s="615"/>
      <c r="I232" s="615"/>
      <c r="J232" s="615"/>
      <c r="K232" s="1690">
        <f t="shared" ref="K232:K237" si="20">D232</f>
        <v>0</v>
      </c>
      <c r="L232" s="466">
        <v>0</v>
      </c>
    </row>
    <row r="233" spans="1:12" x14ac:dyDescent="0.2">
      <c r="A233" s="1523" t="s">
        <v>1151</v>
      </c>
      <c r="B233" s="613">
        <v>2120</v>
      </c>
      <c r="C233" s="615"/>
      <c r="D233" s="466">
        <v>0</v>
      </c>
      <c r="E233" s="615"/>
      <c r="F233" s="615"/>
      <c r="G233" s="615"/>
      <c r="H233" s="615"/>
      <c r="I233" s="615"/>
      <c r="J233" s="615"/>
      <c r="K233" s="1690">
        <f t="shared" si="20"/>
        <v>0</v>
      </c>
      <c r="L233" s="466">
        <v>0</v>
      </c>
    </row>
    <row r="234" spans="1:12" x14ac:dyDescent="0.2">
      <c r="A234" s="1523" t="s">
        <v>207</v>
      </c>
      <c r="B234" s="613">
        <v>2130</v>
      </c>
      <c r="C234" s="615"/>
      <c r="D234" s="466">
        <v>0</v>
      </c>
      <c r="E234" s="615"/>
      <c r="F234" s="615"/>
      <c r="G234" s="615"/>
      <c r="H234" s="615"/>
      <c r="I234" s="615"/>
      <c r="J234" s="615"/>
      <c r="K234" s="1690">
        <f t="shared" si="20"/>
        <v>0</v>
      </c>
      <c r="L234" s="466">
        <v>0</v>
      </c>
    </row>
    <row r="235" spans="1:12" x14ac:dyDescent="0.2">
      <c r="A235" s="1523" t="s">
        <v>208</v>
      </c>
      <c r="B235" s="613">
        <v>2140</v>
      </c>
      <c r="C235" s="615"/>
      <c r="D235" s="466">
        <v>0</v>
      </c>
      <c r="E235" s="615"/>
      <c r="F235" s="615"/>
      <c r="G235" s="615"/>
      <c r="H235" s="615"/>
      <c r="I235" s="615"/>
      <c r="J235" s="615"/>
      <c r="K235" s="1690">
        <f t="shared" si="20"/>
        <v>0</v>
      </c>
      <c r="L235" s="466">
        <v>0</v>
      </c>
    </row>
    <row r="236" spans="1:12" x14ac:dyDescent="0.2">
      <c r="A236" s="1523" t="s">
        <v>209</v>
      </c>
      <c r="B236" s="613">
        <v>2150</v>
      </c>
      <c r="C236" s="615"/>
      <c r="D236" s="466">
        <v>0</v>
      </c>
      <c r="E236" s="615"/>
      <c r="F236" s="615"/>
      <c r="G236" s="615"/>
      <c r="H236" s="615"/>
      <c r="I236" s="615"/>
      <c r="J236" s="615"/>
      <c r="K236" s="1690">
        <f t="shared" si="20"/>
        <v>0</v>
      </c>
      <c r="L236" s="466">
        <v>0</v>
      </c>
    </row>
    <row r="237" spans="1:12" x14ac:dyDescent="0.2">
      <c r="A237" s="1523"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0</v>
      </c>
      <c r="E238" s="615"/>
      <c r="F238" s="615"/>
      <c r="G238" s="615"/>
      <c r="H238" s="615"/>
      <c r="I238" s="615"/>
      <c r="J238" s="615"/>
      <c r="K238" s="1689">
        <f>SUM(K232:K237)</f>
        <v>0</v>
      </c>
      <c r="L238" s="1689">
        <f>SUM(L232:L237)</f>
        <v>0</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0</v>
      </c>
      <c r="E240" s="615"/>
      <c r="F240" s="615"/>
      <c r="G240" s="615"/>
      <c r="H240" s="615"/>
      <c r="I240" s="615"/>
      <c r="J240" s="615"/>
      <c r="K240" s="1691">
        <f>D240</f>
        <v>0</v>
      </c>
      <c r="L240" s="480">
        <v>0</v>
      </c>
    </row>
    <row r="241" spans="1:12" x14ac:dyDescent="0.2">
      <c r="A241" s="1523" t="s">
        <v>869</v>
      </c>
      <c r="B241" s="613">
        <v>2220</v>
      </c>
      <c r="C241" s="615"/>
      <c r="D241" s="466">
        <v>0</v>
      </c>
      <c r="E241" s="615"/>
      <c r="F241" s="615"/>
      <c r="G241" s="615"/>
      <c r="H241" s="615"/>
      <c r="I241" s="615"/>
      <c r="J241" s="615"/>
      <c r="K241" s="1691">
        <f>D241</f>
        <v>0</v>
      </c>
      <c r="L241" s="466">
        <v>0</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0</v>
      </c>
      <c r="E243" s="615"/>
      <c r="F243" s="615"/>
      <c r="G243" s="615"/>
      <c r="H243" s="615"/>
      <c r="I243" s="615"/>
      <c r="J243" s="615"/>
      <c r="K243" s="1689">
        <f>SUM(K240:K242)</f>
        <v>0</v>
      </c>
      <c r="L243" s="1689">
        <f>SUM(L240:L242)</f>
        <v>0</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0</v>
      </c>
      <c r="E245" s="615"/>
      <c r="F245" s="615"/>
      <c r="G245" s="615"/>
      <c r="H245" s="615"/>
      <c r="I245" s="615"/>
      <c r="J245" s="615"/>
      <c r="K245" s="1691">
        <f>D245</f>
        <v>0</v>
      </c>
      <c r="L245" s="480">
        <v>0</v>
      </c>
    </row>
    <row r="246" spans="1:12" x14ac:dyDescent="0.2">
      <c r="A246" s="1523" t="s">
        <v>872</v>
      </c>
      <c r="B246" s="613">
        <v>2320</v>
      </c>
      <c r="C246" s="615"/>
      <c r="D246" s="466">
        <v>0</v>
      </c>
      <c r="E246" s="615"/>
      <c r="F246" s="615"/>
      <c r="G246" s="615"/>
      <c r="H246" s="615"/>
      <c r="I246" s="615"/>
      <c r="J246" s="615"/>
      <c r="K246" s="1691">
        <f t="shared" ref="K246:K256" si="21">D246</f>
        <v>0</v>
      </c>
      <c r="L246" s="466">
        <v>0</v>
      </c>
    </row>
    <row r="247" spans="1:12" x14ac:dyDescent="0.2">
      <c r="A247" s="1523" t="s">
        <v>873</v>
      </c>
      <c r="B247" s="613">
        <v>2330</v>
      </c>
      <c r="C247" s="615"/>
      <c r="D247" s="466">
        <v>0</v>
      </c>
      <c r="E247" s="615"/>
      <c r="F247" s="615"/>
      <c r="G247" s="615"/>
      <c r="H247" s="615"/>
      <c r="I247" s="615"/>
      <c r="J247" s="615"/>
      <c r="K247" s="1691">
        <f t="shared" si="21"/>
        <v>0</v>
      </c>
      <c r="L247" s="466">
        <v>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1905</v>
      </c>
      <c r="B249" s="682" t="s">
        <v>300</v>
      </c>
      <c r="C249" s="615"/>
      <c r="D249" s="474">
        <v>0</v>
      </c>
      <c r="E249" s="615"/>
      <c r="F249" s="615"/>
      <c r="G249" s="615"/>
      <c r="H249" s="615"/>
      <c r="I249" s="615"/>
      <c r="J249" s="615"/>
      <c r="K249" s="1691">
        <f t="shared" si="21"/>
        <v>0</v>
      </c>
      <c r="L249" s="466">
        <v>0</v>
      </c>
    </row>
    <row r="250" spans="1:12" x14ac:dyDescent="0.2">
      <c r="A250" s="1524" t="s">
        <v>1906</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0</v>
      </c>
      <c r="E254" s="615"/>
      <c r="F254" s="615"/>
      <c r="G254" s="615"/>
      <c r="H254" s="615"/>
      <c r="I254" s="615"/>
      <c r="J254" s="615"/>
      <c r="K254" s="1691">
        <f t="shared" si="21"/>
        <v>0</v>
      </c>
      <c r="L254" s="466">
        <v>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0</v>
      </c>
      <c r="E257" s="615"/>
      <c r="F257" s="615"/>
      <c r="G257" s="615"/>
      <c r="H257" s="615"/>
      <c r="I257" s="615"/>
      <c r="J257" s="615"/>
      <c r="K257" s="1689">
        <f>SUM(K245:K256)</f>
        <v>0</v>
      </c>
      <c r="L257" s="1689">
        <f>SUM(L245:L256)</f>
        <v>0</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0</v>
      </c>
      <c r="E259" s="615"/>
      <c r="F259" s="615"/>
      <c r="G259" s="615"/>
      <c r="H259" s="615"/>
      <c r="I259" s="615"/>
      <c r="J259" s="615"/>
      <c r="K259" s="1691">
        <f>D259</f>
        <v>0</v>
      </c>
      <c r="L259" s="480">
        <v>0</v>
      </c>
    </row>
    <row r="260" spans="1:14" s="596" customFormat="1" x14ac:dyDescent="0.2">
      <c r="A260" s="1541" t="s">
        <v>1904</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0</v>
      </c>
      <c r="E261" s="615"/>
      <c r="F261" s="615"/>
      <c r="G261" s="615"/>
      <c r="H261" s="615"/>
      <c r="I261" s="615"/>
      <c r="J261" s="615"/>
      <c r="K261" s="1689">
        <f>SUM(K259:K260)</f>
        <v>0</v>
      </c>
      <c r="L261" s="1689">
        <f>SUM(L259:L260)</f>
        <v>0</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0</v>
      </c>
      <c r="E263" s="615"/>
      <c r="F263" s="615"/>
      <c r="G263" s="615"/>
      <c r="H263" s="615"/>
      <c r="I263" s="615"/>
      <c r="J263" s="615"/>
      <c r="K263" s="1691">
        <f>D263</f>
        <v>0</v>
      </c>
      <c r="L263" s="480">
        <v>0</v>
      </c>
    </row>
    <row r="264" spans="1:14" x14ac:dyDescent="0.2">
      <c r="A264" s="1523" t="s">
        <v>483</v>
      </c>
      <c r="B264" s="684">
        <v>2520</v>
      </c>
      <c r="C264" s="615"/>
      <c r="D264" s="466">
        <v>0</v>
      </c>
      <c r="E264" s="615"/>
      <c r="F264" s="615"/>
      <c r="G264" s="615"/>
      <c r="H264" s="615"/>
      <c r="I264" s="615"/>
      <c r="J264" s="615"/>
      <c r="K264" s="1691">
        <f t="shared" ref="K264:K269" si="22">D264</f>
        <v>0</v>
      </c>
      <c r="L264" s="466">
        <v>0</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0</v>
      </c>
      <c r="E266" s="615"/>
      <c r="F266" s="615"/>
      <c r="G266" s="615"/>
      <c r="H266" s="615"/>
      <c r="I266" s="615"/>
      <c r="J266" s="615"/>
      <c r="K266" s="1691">
        <f t="shared" si="22"/>
        <v>0</v>
      </c>
      <c r="L266" s="466">
        <v>0</v>
      </c>
    </row>
    <row r="267" spans="1:14" x14ac:dyDescent="0.2">
      <c r="A267" s="1523" t="s">
        <v>1010</v>
      </c>
      <c r="B267" s="613">
        <v>2550</v>
      </c>
      <c r="C267" s="615"/>
      <c r="D267" s="466">
        <v>0</v>
      </c>
      <c r="E267" s="615"/>
      <c r="F267" s="615"/>
      <c r="G267" s="615"/>
      <c r="H267" s="615"/>
      <c r="I267" s="615"/>
      <c r="J267" s="615"/>
      <c r="K267" s="1691">
        <f t="shared" si="22"/>
        <v>0</v>
      </c>
      <c r="L267" s="466">
        <v>0</v>
      </c>
    </row>
    <row r="268" spans="1:14" x14ac:dyDescent="0.2">
      <c r="A268" s="1523" t="s">
        <v>102</v>
      </c>
      <c r="B268" s="613">
        <v>2560</v>
      </c>
      <c r="C268" s="615"/>
      <c r="D268" s="466">
        <v>0</v>
      </c>
      <c r="E268" s="615"/>
      <c r="F268" s="615"/>
      <c r="G268" s="615"/>
      <c r="H268" s="615"/>
      <c r="I268" s="615"/>
      <c r="J268" s="615"/>
      <c r="K268" s="1691">
        <f t="shared" si="22"/>
        <v>0</v>
      </c>
      <c r="L268" s="466">
        <v>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0</v>
      </c>
      <c r="E270" s="615"/>
      <c r="F270" s="615"/>
      <c r="G270" s="615"/>
      <c r="H270" s="615"/>
      <c r="I270" s="615"/>
      <c r="J270" s="615"/>
      <c r="K270" s="1689">
        <f>SUM(K263:K269)</f>
        <v>0</v>
      </c>
      <c r="L270" s="1689">
        <f>SUM(L263:L269)</f>
        <v>0</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29"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0</v>
      </c>
      <c r="E279" s="615"/>
      <c r="F279" s="615"/>
      <c r="G279" s="615"/>
      <c r="H279" s="615"/>
      <c r="I279" s="615"/>
      <c r="J279" s="615"/>
      <c r="K279" s="1696">
        <f>SUM(K238,K243,K257,K261,K270,K277,K278)</f>
        <v>0</v>
      </c>
      <c r="L279" s="1696">
        <f>SUM(L238,L243,L257,L261,L270,L277,L278)</f>
        <v>0</v>
      </c>
    </row>
    <row r="280" spans="1:12" ht="15.95" customHeight="1" thickTop="1" thickBot="1" x14ac:dyDescent="0.25">
      <c r="A280" s="1643" t="s">
        <v>930</v>
      </c>
      <c r="B280" s="1632">
        <v>3000</v>
      </c>
      <c r="C280" s="615"/>
      <c r="D280" s="574">
        <v>0</v>
      </c>
      <c r="E280" s="615"/>
      <c r="F280" s="615"/>
      <c r="G280" s="615"/>
      <c r="H280" s="615"/>
      <c r="I280" s="615"/>
      <c r="J280" s="615"/>
      <c r="K280" s="1698">
        <f>D280</f>
        <v>0</v>
      </c>
      <c r="L280" s="574">
        <v>0</v>
      </c>
    </row>
    <row r="281" spans="1:12" ht="15.95" customHeight="1" thickTop="1" x14ac:dyDescent="0.2">
      <c r="A281" s="1633" t="s">
        <v>144</v>
      </c>
      <c r="B281" s="1634" t="s">
        <v>915</v>
      </c>
      <c r="C281" s="615"/>
      <c r="D281" s="564"/>
      <c r="E281" s="615"/>
      <c r="F281" s="615"/>
      <c r="G281" s="615"/>
      <c r="H281" s="615"/>
      <c r="I281" s="615"/>
      <c r="J281" s="615"/>
      <c r="K281" s="615"/>
      <c r="L281" s="615"/>
    </row>
    <row r="282" spans="1:12" ht="15.95" customHeight="1" x14ac:dyDescent="0.2">
      <c r="A282" s="1850" t="s">
        <v>517</v>
      </c>
      <c r="B282" s="689" t="s">
        <v>1954</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95" customHeight="1" thickTop="1" x14ac:dyDescent="0.2">
      <c r="A286" s="1631" t="s">
        <v>931</v>
      </c>
      <c r="B286" s="1628"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9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403" t="s">
        <v>526</v>
      </c>
      <c r="B295" s="2404"/>
      <c r="C295" s="615"/>
      <c r="D295" s="1689">
        <f>SUM(D229,D279,D280,D285)</f>
        <v>0</v>
      </c>
      <c r="E295" s="615"/>
      <c r="F295" s="615"/>
      <c r="G295" s="615"/>
      <c r="H295" s="1689">
        <f>H293</f>
        <v>0</v>
      </c>
      <c r="I295" s="615"/>
      <c r="J295" s="615"/>
      <c r="K295" s="1689">
        <f>SUM(K229,K279,K280,K285,K293,K294)</f>
        <v>0</v>
      </c>
      <c r="L295" s="1689">
        <f>SUM(L229,L279,L280,L285,L293,L294)</f>
        <v>0</v>
      </c>
    </row>
    <row r="296" spans="1:14" ht="13.5" thickTop="1" x14ac:dyDescent="0.2">
      <c r="A296" s="2385" t="s">
        <v>1053</v>
      </c>
      <c r="B296" s="2386"/>
      <c r="C296" s="615"/>
      <c r="D296" s="617"/>
      <c r="E296" s="615"/>
      <c r="F296" s="615"/>
      <c r="G296" s="615"/>
      <c r="H296" s="686"/>
      <c r="I296" s="615"/>
      <c r="J296" s="615"/>
      <c r="K296" s="1703">
        <f>'Revenues 9-14'!G275-'Expenditures 15-22'!K295</f>
        <v>0</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95" t="s">
        <v>145</v>
      </c>
      <c r="B298" s="2389"/>
      <c r="C298" s="1570"/>
      <c r="D298" s="1571"/>
      <c r="E298" s="1571"/>
      <c r="F298" s="1571"/>
      <c r="G298" s="1571"/>
      <c r="H298" s="1571"/>
      <c r="I298" s="1571"/>
      <c r="J298" s="1571"/>
      <c r="K298" s="1571"/>
      <c r="L298" s="1572"/>
    </row>
    <row r="299" spans="1:14" ht="15.95" customHeight="1" x14ac:dyDescent="0.2">
      <c r="A299" s="1631" t="s">
        <v>146</v>
      </c>
      <c r="B299" s="1634"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0</v>
      </c>
      <c r="F301" s="466">
        <v>0</v>
      </c>
      <c r="G301" s="466">
        <v>0</v>
      </c>
      <c r="H301" s="466">
        <v>0</v>
      </c>
      <c r="I301" s="467">
        <v>0</v>
      </c>
      <c r="J301" s="467">
        <v>0</v>
      </c>
      <c r="K301" s="1690">
        <f>SUM(C301:J301)</f>
        <v>0</v>
      </c>
      <c r="L301" s="467">
        <v>0</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95" customHeight="1" thickTop="1" x14ac:dyDescent="0.2">
      <c r="A304" s="1631" t="s">
        <v>147</v>
      </c>
      <c r="B304" s="1632"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7" t="s">
        <v>1959</v>
      </c>
      <c r="B306" s="689" t="s">
        <v>1954</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9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400" t="s">
        <v>295</v>
      </c>
      <c r="B312" s="2401"/>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4"/>
      <c r="N312" s="664"/>
    </row>
    <row r="313" spans="1:14" ht="13.5" thickTop="1" x14ac:dyDescent="0.2">
      <c r="A313" s="2396" t="s">
        <v>1053</v>
      </c>
      <c r="B313" s="2397"/>
      <c r="C313" s="625"/>
      <c r="D313" s="625"/>
      <c r="E313" s="625"/>
      <c r="F313" s="625"/>
      <c r="G313" s="625"/>
      <c r="H313" s="625"/>
      <c r="I313" s="625"/>
      <c r="J313" s="625"/>
      <c r="K313" s="1704">
        <f>'Revenues 9-14'!H275-'Expenditures 15-22'!K312</f>
        <v>0</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409" t="s">
        <v>151</v>
      </c>
      <c r="B315" s="2410"/>
      <c r="C315" s="1575"/>
      <c r="D315" s="1576"/>
      <c r="E315" s="1576"/>
      <c r="F315" s="1576"/>
      <c r="G315" s="1576"/>
      <c r="H315" s="1576"/>
      <c r="I315" s="1576"/>
      <c r="J315" s="1576"/>
      <c r="K315" s="1576"/>
      <c r="L315" s="1577"/>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411" t="s">
        <v>954</v>
      </c>
      <c r="B317" s="2410"/>
      <c r="C317" s="1575"/>
      <c r="D317" s="1576"/>
      <c r="E317" s="1576"/>
      <c r="F317" s="1576"/>
      <c r="G317" s="1576"/>
      <c r="H317" s="1576"/>
      <c r="I317" s="1576"/>
      <c r="J317" s="1576"/>
      <c r="K317" s="1576"/>
      <c r="L317" s="1577"/>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1905</v>
      </c>
      <c r="B320" s="697" t="s">
        <v>300</v>
      </c>
      <c r="C320" s="467">
        <v>0</v>
      </c>
      <c r="D320" s="467">
        <v>0</v>
      </c>
      <c r="E320" s="467">
        <v>0</v>
      </c>
      <c r="F320" s="467">
        <v>0</v>
      </c>
      <c r="G320" s="467">
        <v>0</v>
      </c>
      <c r="H320" s="467">
        <v>0</v>
      </c>
      <c r="I320" s="467">
        <v>0</v>
      </c>
      <c r="J320" s="467">
        <v>0</v>
      </c>
      <c r="K320" s="1690">
        <f t="shared" ref="K320:K327" si="24">SUM(C320:J320)</f>
        <v>0</v>
      </c>
      <c r="L320" s="467">
        <v>0</v>
      </c>
      <c r="M320" s="664"/>
      <c r="N320" s="664"/>
    </row>
    <row r="321" spans="1:14" s="673" customFormat="1" x14ac:dyDescent="0.2">
      <c r="A321" s="1538" t="s">
        <v>318</v>
      </c>
      <c r="B321" s="696" t="s">
        <v>301</v>
      </c>
      <c r="C321" s="467">
        <v>0</v>
      </c>
      <c r="D321" s="467">
        <v>0</v>
      </c>
      <c r="E321" s="467">
        <v>0</v>
      </c>
      <c r="F321" s="467">
        <v>0</v>
      </c>
      <c r="G321" s="467">
        <v>0</v>
      </c>
      <c r="H321" s="467">
        <v>0</v>
      </c>
      <c r="I321" s="467">
        <v>0</v>
      </c>
      <c r="J321" s="467">
        <v>0</v>
      </c>
      <c r="K321" s="1690">
        <f t="shared" si="24"/>
        <v>0</v>
      </c>
      <c r="L321" s="467">
        <v>0</v>
      </c>
      <c r="M321" s="664"/>
      <c r="N321" s="664"/>
    </row>
    <row r="322" spans="1:14" s="673" customFormat="1" x14ac:dyDescent="0.2">
      <c r="A322" s="1538" t="s">
        <v>256</v>
      </c>
      <c r="B322" s="696" t="s">
        <v>302</v>
      </c>
      <c r="C322" s="467">
        <v>0</v>
      </c>
      <c r="D322" s="467">
        <v>0</v>
      </c>
      <c r="E322" s="467">
        <v>0</v>
      </c>
      <c r="F322" s="467">
        <v>0</v>
      </c>
      <c r="G322" s="467">
        <v>0</v>
      </c>
      <c r="H322" s="467">
        <v>0</v>
      </c>
      <c r="I322" s="467">
        <v>0</v>
      </c>
      <c r="J322" s="467">
        <v>0</v>
      </c>
      <c r="K322" s="1690">
        <f t="shared" si="24"/>
        <v>0</v>
      </c>
      <c r="L322" s="467">
        <v>0</v>
      </c>
      <c r="M322" s="664"/>
      <c r="N322" s="664"/>
    </row>
    <row r="323" spans="1:14" s="673" customFormat="1" x14ac:dyDescent="0.2">
      <c r="A323" s="1538"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0</v>
      </c>
      <c r="D325" s="467">
        <v>0</v>
      </c>
      <c r="E325" s="467">
        <v>0</v>
      </c>
      <c r="F325" s="467">
        <v>0</v>
      </c>
      <c r="G325" s="467">
        <v>0</v>
      </c>
      <c r="H325" s="467">
        <v>0</v>
      </c>
      <c r="I325" s="467">
        <v>0</v>
      </c>
      <c r="J325" s="467">
        <v>0</v>
      </c>
      <c r="K325" s="1690">
        <f t="shared" si="24"/>
        <v>0</v>
      </c>
      <c r="L325" s="467">
        <v>0</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0</v>
      </c>
      <c r="F327" s="467">
        <v>0</v>
      </c>
      <c r="G327" s="467">
        <v>0</v>
      </c>
      <c r="H327" s="467">
        <v>0</v>
      </c>
      <c r="I327" s="467">
        <v>0</v>
      </c>
      <c r="J327" s="467">
        <v>0</v>
      </c>
      <c r="K327" s="1690">
        <f t="shared" si="24"/>
        <v>0</v>
      </c>
      <c r="L327" s="467">
        <v>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4"/>
      <c r="N330" s="664"/>
    </row>
    <row r="331" spans="1:14" s="673" customFormat="1" ht="12.75" customHeight="1" thickTop="1" x14ac:dyDescent="0.2">
      <c r="A331" s="1851" t="s">
        <v>1960</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1954</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1956</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1961</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95" customHeight="1" thickTop="1" x14ac:dyDescent="0.2">
      <c r="A335" s="1635" t="s">
        <v>955</v>
      </c>
      <c r="B335" s="1626"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9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398" t="s">
        <v>1053</v>
      </c>
      <c r="B343" s="2399"/>
      <c r="C343" s="615"/>
      <c r="D343" s="615"/>
      <c r="E343" s="615"/>
      <c r="F343" s="615"/>
      <c r="G343" s="615"/>
      <c r="H343" s="615"/>
      <c r="I343" s="615"/>
      <c r="J343" s="615"/>
      <c r="K343" s="1703">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88" t="s">
        <v>1023</v>
      </c>
      <c r="B345" s="2389"/>
      <c r="C345" s="1570"/>
      <c r="D345" s="1571"/>
      <c r="E345" s="1571"/>
      <c r="F345" s="1571"/>
      <c r="G345" s="1571"/>
      <c r="H345" s="1571"/>
      <c r="I345" s="1571"/>
      <c r="J345" s="1571"/>
      <c r="K345" s="1571"/>
      <c r="L345" s="1572"/>
      <c r="M345" s="666"/>
      <c r="N345" s="666"/>
    </row>
    <row r="346" spans="1:14" s="343" customFormat="1" ht="15.95" customHeight="1" x14ac:dyDescent="0.2">
      <c r="A346" s="1642" t="s">
        <v>899</v>
      </c>
      <c r="B346" s="1634"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0</v>
      </c>
      <c r="H348" s="466">
        <v>0</v>
      </c>
      <c r="I348" s="467">
        <v>0</v>
      </c>
      <c r="J348" s="467">
        <v>0</v>
      </c>
      <c r="K348" s="1690">
        <f>SUM(C348:J348)</f>
        <v>0</v>
      </c>
      <c r="L348" s="466">
        <v>0</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9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1962</v>
      </c>
      <c r="B354" s="682" t="s">
        <v>1954</v>
      </c>
      <c r="C354" s="615"/>
      <c r="D354" s="615"/>
      <c r="E354" s="615"/>
      <c r="F354" s="615"/>
      <c r="G354" s="615"/>
      <c r="H354" s="474">
        <v>0</v>
      </c>
      <c r="I354" s="700"/>
      <c r="J354" s="615"/>
      <c r="K354" s="1718">
        <f>H354</f>
        <v>0</v>
      </c>
      <c r="L354" s="471">
        <v>0</v>
      </c>
    </row>
    <row r="355" spans="1:14" ht="12.75" customHeight="1" x14ac:dyDescent="0.2">
      <c r="A355" s="1532" t="s">
        <v>1963</v>
      </c>
      <c r="B355" s="689" t="s">
        <v>1956</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9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9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9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385" t="s">
        <v>1053</v>
      </c>
      <c r="B368" s="2386"/>
      <c r="C368" s="653"/>
      <c r="D368" s="653"/>
      <c r="E368" s="625"/>
      <c r="F368" s="625"/>
      <c r="G368" s="625"/>
      <c r="H368" s="625"/>
      <c r="I368" s="625"/>
      <c r="J368" s="622"/>
      <c r="K368" s="1690">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68"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d21dc803-237d-4c68-8692-8d731fd29118"/>
    <ds:schemaRef ds:uri="http://schemas.microsoft.com/office/2006/documentManagement/types"/>
    <ds:schemaRef ds:uri="http://schemas.microsoft.com/office/2006/metadata/properties"/>
    <ds:schemaRef ds:uri="4d435f69-8686-490b-bd6d-b153bf22ab50"/>
    <ds:schemaRef ds:uri="http://schemas.microsoft.com/sharepoint/v3"/>
    <ds:schemaRef ds:uri="http://www.w3.org/XML/1998/namespace"/>
    <ds:schemaRef ds:uri="http://purl.org/dc/elements/1.1/"/>
    <ds:schemaRef ds:uri="http://purl.org/dc/dcmitype/"/>
    <ds:schemaRef ds:uri="6ce3111e-7420-4802-b50a-75d4e9a0b980"/>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SEFA18</vt:lpstr>
      <vt:lpstr>SEFA NOTES</vt:lpstr>
      <vt:lpstr>SF&amp;QC Sec-1</vt:lpstr>
      <vt:lpstr>Finding 2018-001</vt:lpstr>
      <vt:lpstr>Finding 2018-002</vt:lpstr>
      <vt:lpstr>Finding 2018-003</vt:lpstr>
      <vt:lpstr>SSPAF</vt:lpstr>
      <vt:lpstr>CAP-001</vt:lpstr>
      <vt:lpstr>CAP-002</vt:lpstr>
      <vt:lpstr>CAP-003</vt:lpstr>
      <vt:lpstr>' SEFA'!Print_Area</vt:lpstr>
      <vt:lpstr>'Finding 2018-002'!Print_Area</vt:lpstr>
      <vt:lpstr>'Finding 2018-003'!Print_Area</vt:lpstr>
      <vt:lpstr>'SEFA NOTES'!Print_Area</vt:lpstr>
      <vt:lpstr>'SEFA Reconcile'!Print_Area</vt:lpstr>
      <vt:lpstr>SEFA18!Print_Area</vt:lpstr>
      <vt:lpstr>'SF&amp;QC Sec-1'!Print_Area</vt:lpstr>
      <vt:lpstr>'Single Audit Checklist'!Print_Area</vt:lpstr>
      <vt:lpstr>'Single Audit Cover'!Print_Area</vt:lpstr>
      <vt:lpstr>SEFA18!Print_Area_MI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DELUKA MORGAN</cp:lastModifiedBy>
  <cp:lastPrinted>2018-12-20T21:13:51Z</cp:lastPrinted>
  <dcterms:created xsi:type="dcterms:W3CDTF">2003-10-29T19:06:34Z</dcterms:created>
  <dcterms:modified xsi:type="dcterms:W3CDTF">2019-01-08T20:15:24Z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