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21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c r="B7729" i="106"/>
  <c r="D7729" i="106" s="1"/>
  <c r="B7734" i="106"/>
  <c r="B7726" i="106"/>
  <c r="D76" i="36"/>
  <c r="F162" i="34"/>
  <c r="B30" i="36"/>
  <c r="B33" i="36" s="1"/>
  <c r="B43" i="36" s="1"/>
  <c r="B56" i="36" s="1"/>
  <c r="B66" i="36" s="1"/>
  <c r="B70" i="36" s="1"/>
  <c r="B74" i="36" s="1"/>
  <c r="D73" i="36"/>
  <c r="C191" i="5"/>
  <c r="C201" i="5"/>
  <c r="C211" i="5"/>
  <c r="C216" i="5"/>
  <c r="C224" i="5"/>
  <c r="C228" i="5"/>
  <c r="B5304" i="106" s="1"/>
  <c r="D5304" i="106" s="1"/>
  <c r="C259" i="5"/>
  <c r="B7761" i="106"/>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19" i="106"/>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D140" i="5"/>
  <c r="B5383" i="106" s="1"/>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c r="D6400" i="106" s="1"/>
  <c r="K178" i="5"/>
  <c r="B4951" i="106"/>
  <c r="D4951" i="106" s="1"/>
  <c r="C184" i="5"/>
  <c r="F127" i="34" s="1"/>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F128" i="34" s="1"/>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14" i="4"/>
  <c r="B2609" i="106" s="1"/>
  <c r="D2609" i="106" s="1"/>
  <c r="F13" i="4"/>
  <c r="B2596" i="106" s="1"/>
  <c r="D2596" i="106" s="1"/>
  <c r="C14" i="4"/>
  <c r="B2558" i="106" s="1"/>
  <c r="D2558" i="106" s="1"/>
  <c r="D14" i="4"/>
  <c r="B2570" i="106" s="1"/>
  <c r="D2570" i="106" s="1"/>
  <c r="F14" i="4"/>
  <c r="B2597" i="106" s="1"/>
  <c r="D2597" i="106" s="1"/>
  <c r="B2633" i="106"/>
  <c r="D2633" i="106" s="1"/>
  <c r="D7" i="118"/>
  <c r="D8" i="118"/>
  <c r="D9" i="118"/>
  <c r="H14" i="118"/>
  <c r="H19" i="118"/>
  <c r="H24" i="118"/>
  <c r="D22" i="37"/>
  <c r="L22" i="37"/>
  <c r="D24" i="37"/>
  <c r="B4270" i="106" s="1"/>
  <c r="D4270" i="106" s="1"/>
  <c r="D5" i="7"/>
  <c r="B1761" i="106" s="1"/>
  <c r="D1761" i="106" s="1"/>
  <c r="F136" i="34"/>
  <c r="F130" i="34"/>
  <c r="B5847" i="106"/>
  <c r="D5847" i="106" s="1"/>
  <c r="B5752" i="106"/>
  <c r="D5752" i="106" s="1"/>
  <c r="D17" i="7"/>
  <c r="B4104" i="106" s="1"/>
  <c r="D4104" i="106" s="1"/>
  <c r="J22" i="37" l="1"/>
  <c r="D68" i="36"/>
  <c r="G15" i="145"/>
  <c r="H76" i="4"/>
  <c r="B3298" i="106" s="1"/>
  <c r="D3298" i="106" s="1"/>
  <c r="B6289" i="106"/>
  <c r="D6289" i="106" s="1"/>
  <c r="L13" i="11"/>
  <c r="B2060" i="106" s="1"/>
  <c r="D2060" i="106" s="1"/>
  <c r="K184" i="29"/>
  <c r="G172" i="5"/>
  <c r="F34" i="34"/>
  <c r="B1223" i="106"/>
  <c r="D1223" i="106" s="1"/>
  <c r="F111" i="34"/>
  <c r="F131" i="34"/>
  <c r="F106" i="34"/>
  <c r="D15" i="7"/>
  <c r="B1772" i="106" s="1"/>
  <c r="D1772" i="106" s="1"/>
  <c r="D11" i="7"/>
  <c r="B1768" i="106" s="1"/>
  <c r="D1768" i="106" s="1"/>
  <c r="G5" i="4"/>
  <c r="B3409" i="106" s="1"/>
  <c r="D3409" i="106" s="1"/>
  <c r="K274" i="5"/>
  <c r="B3647" i="106"/>
  <c r="D3647" i="106" s="1"/>
  <c r="B1329" i="106"/>
  <c r="D1329" i="106" s="1"/>
  <c r="F61" i="34"/>
  <c r="F172" i="5"/>
  <c r="B5644" i="106" s="1"/>
  <c r="D5644" i="106" s="1"/>
  <c r="C172" i="5"/>
  <c r="B5214" i="106" s="1"/>
  <c r="D5214" i="106" s="1"/>
  <c r="B5161" i="106"/>
  <c r="D5161" i="106" s="1"/>
  <c r="L312" i="29"/>
  <c r="H109" i="5"/>
  <c r="D109" i="5"/>
  <c r="D54" i="36"/>
  <c r="L5" i="11"/>
  <c r="B2056" i="106" s="1"/>
  <c r="D2056" i="106" s="1"/>
  <c r="D7" i="7"/>
  <c r="B1763" i="106" s="1"/>
  <c r="D1763" i="106" s="1"/>
  <c r="C342" i="29"/>
  <c r="B7216" i="106" s="1"/>
  <c r="D7216" i="106" s="1"/>
  <c r="G109" i="5"/>
  <c r="C109" i="5"/>
  <c r="B5121" i="106" s="1"/>
  <c r="D5121" i="106" s="1"/>
  <c r="J77" i="4"/>
  <c r="B6262" i="106" s="1"/>
  <c r="D6262" i="106" s="1"/>
  <c r="J41" i="3"/>
  <c r="D51" i="36" s="1"/>
  <c r="D9" i="7"/>
  <c r="B1767" i="106" s="1"/>
  <c r="D1767" i="106" s="1"/>
  <c r="D13" i="7"/>
  <c r="B3726" i="106" s="1"/>
  <c r="D3726" i="106" s="1"/>
  <c r="H173" i="5"/>
  <c r="J274" i="5"/>
  <c r="B7054" i="106" s="1"/>
  <c r="D7054" i="106" s="1"/>
  <c r="N22" i="3"/>
  <c r="B283" i="106" s="1"/>
  <c r="D283" i="106" s="1"/>
  <c r="H28" i="118"/>
  <c r="K173" i="5"/>
  <c r="K6" i="4" s="1"/>
  <c r="B3570" i="106" s="1"/>
  <c r="D3570" i="106" s="1"/>
  <c r="E109" i="5"/>
  <c r="E4" i="4" s="1"/>
  <c r="B2630" i="106" s="1"/>
  <c r="D2630" i="106" s="1"/>
  <c r="H29" i="118"/>
  <c r="D11" i="37"/>
  <c r="D31" i="36"/>
  <c r="D6103" i="106"/>
  <c r="I24" i="12"/>
  <c r="F21" i="8"/>
  <c r="B1746" i="106"/>
  <c r="D1746" i="106" s="1"/>
  <c r="K285" i="29"/>
  <c r="G210" i="29"/>
  <c r="H365" i="29"/>
  <c r="B7242" i="106" s="1"/>
  <c r="D7242" i="106" s="1"/>
  <c r="F77" i="4"/>
  <c r="B3255" i="106" s="1"/>
  <c r="D3255" i="106" s="1"/>
  <c r="K41" i="3"/>
  <c r="H33" i="118"/>
  <c r="D7245" i="106"/>
  <c r="L15" i="11"/>
  <c r="B3459" i="106" s="1"/>
  <c r="D3459" i="106" s="1"/>
  <c r="K24" i="12"/>
  <c r="F19" i="7"/>
  <c r="B1807" i="106" s="1"/>
  <c r="D1807" i="106" s="1"/>
  <c r="D12" i="7"/>
  <c r="B1769" i="106" s="1"/>
  <c r="D1769" i="106" s="1"/>
  <c r="D4" i="7"/>
  <c r="B1760" i="106" s="1"/>
  <c r="D1760" i="106" s="1"/>
  <c r="L342" i="29"/>
  <c r="K350" i="29"/>
  <c r="E174" i="29"/>
  <c r="B1309" i="106" s="1"/>
  <c r="D1309" i="106" s="1"/>
  <c r="B3621" i="106"/>
  <c r="D3621" i="106" s="1"/>
  <c r="C367" i="29"/>
  <c r="B3622" i="106" s="1"/>
  <c r="D3622" i="106" s="1"/>
  <c r="B1410" i="106"/>
  <c r="D1410" i="106" s="1"/>
  <c r="L367" i="29"/>
  <c r="B3649" i="106"/>
  <c r="D3649" i="106" s="1"/>
  <c r="G367" i="29"/>
  <c r="I173" i="5"/>
  <c r="B4216" i="106" s="1"/>
  <c r="D4216" i="106" s="1"/>
  <c r="K76" i="4"/>
  <c r="B3586" i="106" s="1"/>
  <c r="D3586"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D274" i="5"/>
  <c r="B7270" i="106"/>
  <c r="D19" i="7" l="1"/>
  <c r="B1775" i="106" s="1"/>
  <c r="D1775" i="106" s="1"/>
  <c r="C173" i="5"/>
  <c r="B5223" i="106" s="1"/>
  <c r="D5223" i="106" s="1"/>
  <c r="D7256" i="106"/>
  <c r="D7253" i="106"/>
  <c r="B1365" i="106"/>
  <c r="D1365" i="106" s="1"/>
  <c r="F65" i="34"/>
  <c r="B6024" i="106"/>
  <c r="D6024" i="106" s="1"/>
  <c r="G4" i="4"/>
  <c r="B2603" i="106" s="1"/>
  <c r="D2603" i="106" s="1"/>
  <c r="F73" i="34"/>
  <c r="G15" i="4"/>
  <c r="B6032" i="106" s="1"/>
  <c r="D6032" i="106" s="1"/>
  <c r="B5356" i="106"/>
  <c r="D5356" i="106" s="1"/>
  <c r="D4" i="4"/>
  <c r="B2564" i="106" s="1"/>
  <c r="D2564" i="106" s="1"/>
  <c r="B5906" i="106"/>
  <c r="D5906" i="106" s="1"/>
  <c r="H6" i="4"/>
  <c r="B2656" i="106" s="1"/>
  <c r="D2656" i="106" s="1"/>
  <c r="B6025" i="106"/>
  <c r="D6025" i="106" s="1"/>
  <c r="H4" i="4"/>
  <c r="G173" i="5"/>
  <c r="B5770" i="106"/>
  <c r="D5770" i="106" s="1"/>
  <c r="L114" i="29"/>
  <c r="B6216" i="106"/>
  <c r="D6216" i="106" s="1"/>
  <c r="F274" i="5"/>
  <c r="F275" i="5" s="1"/>
  <c r="C6" i="4"/>
  <c r="B2553" i="106" s="1"/>
  <c r="D2553" i="106" s="1"/>
  <c r="C114" i="29"/>
  <c r="B757" i="106" s="1"/>
  <c r="D757" i="106" s="1"/>
  <c r="D44" i="36"/>
  <c r="C4" i="4"/>
  <c r="B2551" i="106" s="1"/>
  <c r="D2551" i="106" s="1"/>
  <c r="D7251" i="106"/>
  <c r="K342" i="29"/>
  <c r="F13" i="34" s="1"/>
  <c r="K28" i="118"/>
  <c r="O27" i="118" s="1"/>
  <c r="O29" i="118" s="1"/>
  <c r="B1996" i="106"/>
  <c r="D1996" i="106" s="1"/>
  <c r="I26" i="12"/>
  <c r="B7741" i="106" s="1"/>
  <c r="D7741" i="106" s="1"/>
  <c r="B1879" i="106"/>
  <c r="D1879" i="106" s="1"/>
  <c r="H22" i="37"/>
  <c r="B3568" i="106"/>
  <c r="D3568" i="106" s="1"/>
  <c r="D52" i="36"/>
  <c r="D7254" i="106"/>
  <c r="D7250" i="106"/>
  <c r="D7255" i="106"/>
  <c r="D7252" i="106"/>
  <c r="B7733" i="106"/>
  <c r="D7733" i="106" s="1"/>
  <c r="K26" i="12"/>
  <c r="B7743" i="106" s="1"/>
  <c r="D7743" i="106" s="1"/>
  <c r="H367" i="29"/>
  <c r="B3660" i="106" s="1"/>
  <c r="D3660" i="106" s="1"/>
  <c r="B3670" i="106"/>
  <c r="D3670" i="106" s="1"/>
  <c r="K352" i="29"/>
  <c r="L16" i="11"/>
  <c r="B2061" i="106" s="1"/>
  <c r="D206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J8" i="4" l="1"/>
  <c r="B2655" i="106"/>
  <c r="D2655" i="106" s="1"/>
  <c r="H8" i="4"/>
  <c r="K367" i="29"/>
  <c r="B3678" i="106" s="1"/>
  <c r="D3678" i="106" s="1"/>
  <c r="K13" i="4"/>
  <c r="B3572" i="106" s="1"/>
  <c r="D3572" i="106" s="1"/>
  <c r="B3672" i="106"/>
  <c r="D3672" i="106" s="1"/>
  <c r="B5778" i="106"/>
  <c r="D5778" i="106" s="1"/>
  <c r="G6" i="4"/>
  <c r="B2604" i="106" s="1"/>
  <c r="D2604" i="106" s="1"/>
  <c r="J17" i="4"/>
  <c r="F24" i="37"/>
  <c r="E41" i="108"/>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595" i="106" l="1"/>
  <c r="D2595" i="106" s="1"/>
  <c r="B2658" i="106"/>
  <c r="D2658" i="106" s="1"/>
  <c r="H10" i="4"/>
  <c r="B4127" i="106" s="1"/>
  <c r="D4127" i="106" s="1"/>
  <c r="F76" i="34"/>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<sst xmlns="http://schemas.openxmlformats.org/spreadsheetml/2006/main" count="5040" uniqueCount="2115">
  <si>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</si>
  <si>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</si>
  <si>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</si>
  <si>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</si>
  <si>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</si>
  <si>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</si>
  <si>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</si>
  <si>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</si>
  <si>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</si>
  <si>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</si>
  <si>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</si>
  <si>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</si>
  <si>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</si>
  <si>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</si>
  <si>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</si>
  <si>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</si>
  <si>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</si>
  <si>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</si>
  <si>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</si>
  <si>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</si>
  <si>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</si>
  <si>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</si>
  <si>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</si>
  <si>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</si>
  <si>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</si>
  <si>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</si>
  <si>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</si>
  <si>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</si>
  <si>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</si>
  <si>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</si>
  <si>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</si>
  <si>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</si>
  <si>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</si>
  <si>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</si>
  <si>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</si>
  <si>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</si>
  <si>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</si>
  <si>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</si>
  <si>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</si>
  <si>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</si>
  <si>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</si>
  <si>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</si>
  <si>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</si>
  <si>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</si>
  <si>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</si>
  <si>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</si>
  <si>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</si>
  <si>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</si>
  <si>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</si>
  <si>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</si>
  <si>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</si>
  <si>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</si>
  <si>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</si>
  <si>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</si>
  <si>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</si>
  <si>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</si>
  <si>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</si>
  <si>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</si>
  <si>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</si>
  <si>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</si>
  <si>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</si>
  <si>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</si>
  <si>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</si>
  <si>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</si>
  <si>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</si>
  <si>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</si>
  <si>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</si>
  <si>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</si>
  <si>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</si>
  <si>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</si>
  <si>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</si>
  <si>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</si>
  <si>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</si>
  <si>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</si>
  <si>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</si>
  <si>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</si>
  <si>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</si>
  <si>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</si>
  <si>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</si>
  <si>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</si>
  <si>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</si>
  <si>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</si>
  <si>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</si>
  <si>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</si>
  <si>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</si>
  <si>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</si>
  <si>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</si>
  <si>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</si>
  <si>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</si>
  <si>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</si>
  <si>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</si>
  <si>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</si>
  <si>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</si>
  <si>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</si>
  <si>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</si>
  <si>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</si>
  <si>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</si>
  <si>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</si>
  <si>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</si>
  <si>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</si>
  <si>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</si>
  <si>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</si>
  <si>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</si>
  <si>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</si>
  <si>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</si>
  <si>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</si>
  <si>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</si>
  <si>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</si>
  <si>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</si>
  <si>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</si>
  <si>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</si>
  <si>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</si>
  <si>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</si>
  <si>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</si>
  <si>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</si>
  <si>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</si>
  <si>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</si>
  <si>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</si>
  <si>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</si>
  <si>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</si>
  <si>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</si>
  <si>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</si>
  <si>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</si>
  <si>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</si>
  <si>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</si>
  <si>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</si>
  <si>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</si>
  <si>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</si>
  <si>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</si>
  <si>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</si>
  <si>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</si>
  <si>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</si>
  <si>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</si>
  <si>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</si>
  <si>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</si>
  <si>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</si>
  <si>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</si>
  <si>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</si>
  <si>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</si>
  <si>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</si>
  <si>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</si>
  <si>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</si>
  <si>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</si>
  <si>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</si>
  <si>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</si>
  <si>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</si>
  <si>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</si>
  <si>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</si>
  <si>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</si>
  <si>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</si>
  <si>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</si>
  <si>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</si>
  <si>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</si>
  <si>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</si>
  <si>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</si>
  <si>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</si>
  <si>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</si>
  <si>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</si>
  <si>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</si>
  <si>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</si>
  <si>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</si>
  <si>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</si>
  <si>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</si>
  <si>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</si>
  <si>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</si>
  <si>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</si>
  <si>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</si>
  <si>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</si>
  <si>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</si>
  <si>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</si>
  <si>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</si>
  <si>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</si>
  <si>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</si>
  <si>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</si>
  <si>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</si>
  <si>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</si>
  <si>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</si>
  <si>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</si>
  <si>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</si>
  <si>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</si>
  <si>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</si>
  <si>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</si>
  <si>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</si>
  <si>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</si>
  <si>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</si>
  <si>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</si>
  <si>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</si>
  <si>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</si>
  <si>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</si>
  <si>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</si>
  <si>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</si>
  <si>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</si>
  <si>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</si>
  <si>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</si>
  <si>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</si>
  <si>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</si>
  <si>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</si>
  <si>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</si>
  <si>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</si>
  <si>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</si>
  <si>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</si>
  <si>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</si>
  <si>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</si>
  <si>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</si>
  <si>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</si>
  <si>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</si>
  <si>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</si>
  <si>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</si>
  <si>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</si>
  <si>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</si>
  <si>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</si>
  <si>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</si>
  <si>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</si>
  <si>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</si>
  <si>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</si>
  <si>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</si>
  <si>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</si>
  <si>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</si>
  <si>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</si>
  <si>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</si>
  <si>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</si>
  <si>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</si>
  <si>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</si>
  <si>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</si>
  <si>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</si>
  <si>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</si>
  <si>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</si>
  <si>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</si>
  <si>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</si>
  <si>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</si>
  <si>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</si>
  <si>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</si>
  <si>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</si>
  <si>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</si>
  <si>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</si>
  <si>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</si>
  <si>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</si>
  <si>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</si>
  <si>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</si>
  <si>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</si>
  <si>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</si>
  <si>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</si>
  <si>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</si>
  <si>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</si>
  <si>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</si>
  <si>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</si>
  <si>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</si>
  <si>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</si>
  <si>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</si>
  <si>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</si>
  <si>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</si>
  <si>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</si>
  <si>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</si>
  <si>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</si>
  <si>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</si>
  <si>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</si>
  <si>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</si>
  <si>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</si>
  <si>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</si>
  <si>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</si>
  <si>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</si>
  <si>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</si>
  <si>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</si>
  <si>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</si>
  <si>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</si>
  <si>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</si>
  <si>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</si>
  <si>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</si>
  <si>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</si>
  <si>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</si>
  <si>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</si>
  <si>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</si>
  <si>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</si>
  <si>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</si>
  <si>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</si>
  <si>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</si>
  <si>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</si>
  <si>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</si>
  <si>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</si>
  <si>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</si>
  <si>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</si>
  <si>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</si>
  <si>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</si>
  <si>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</si>
  <si>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</si>
  <si>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</si>
  <si>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</si>
  <si>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</si>
  <si>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</si>
  <si>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</si>
  <si>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</si>
  <si>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</si>
  <si>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</si>
  <si>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</si>
  <si>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</si>
  <si>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</si>
  <si>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</si>
  <si>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</si>
  <si>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</si>
  <si>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</si>
  <si>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</si>
  <si>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</si>
  <si>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</si>
  <si>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</si>
  <si>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</si>
  <si>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</si>
  <si>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</si>
  <si>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</si>
  <si>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</si>
  <si>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</si>
  <si>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</si>
  <si>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</si>
  <si>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</si>
  <si>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</si>
  <si>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</si>
  <si>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</si>
  <si>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</si>
  <si>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</si>
  <si>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</si>
  <si>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</si>
  <si>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</si>
  <si>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</si>
  <si>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</si>
  <si>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</si>
  <si>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</si>
  <si>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</si>
  <si>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</si>
  <si>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</si>
  <si>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</si>
  <si>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</si>
  <si>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</si>
  <si>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</si>
  <si>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</si>
  <si>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</si>
  <si>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</si>
  <si>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</si>
  <si>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</si>
  <si>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</si>
  <si>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</si>
  <si>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</si>
  <si>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</si>
  <si>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</si>
  <si>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</si>
  <si>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</si>
  <si>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</si>
  <si>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</si>
  <si>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</si>
  <si>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</si>
  <si>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</si>
  <si>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</si>
  <si>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</si>
  <si>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</si>
  <si>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</si>
  <si>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</si>
  <si>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</si>
  <si>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</si>
  <si>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</si>
  <si>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</si>
  <si>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</si>
  <si>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</si>
  <si>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</si>
  <si>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</si>
  <si>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</si>
  <si>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</si>
  <si>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</si>
  <si>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</si>
  <si>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</si>
  <si>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</si>
  <si>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</si>
  <si>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</si>
  <si>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</si>
  <si>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</si>
  <si>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</si>
  <si>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</si>
  <si>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</si>
  <si>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</si>
  <si>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</si>
  <si>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</si>
  <si>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</si>
  <si>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</si>
  <si>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</si>
  <si>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</si>
  <si>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</si>
  <si>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</si>
  <si>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</si>
  <si>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</si>
  <si>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</si>
  <si>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</si>
  <si>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</si>
  <si>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</si>
  <si>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</si>
  <si>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</si>
  <si>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</si>
  <si>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</si>
  <si>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</si>
  <si>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</si>
  <si>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</si>
  <si>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</si>
  <si>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</si>
  <si>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</si>
  <si>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</si>
  <si>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</si>
  <si>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</si>
  <si>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</si>
  <si>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</si>
  <si>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</si>
  <si>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</si>
  <si>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</si>
  <si>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</si>
  <si>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</si>
  <si>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</si>
  <si>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</si>
  <si>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</si>
  <si>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</si>
  <si>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</si>
  <si>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</si>
  <si>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</si>
  <si>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</si>
  <si>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</si>
  <si>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</si>
  <si>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</si>
  <si>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</si>
  <si>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</si>
  <si>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</si>
  <si>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</si>
  <si>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</si>
  <si>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</si>
  <si>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</si>
  <si>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</si>
  <si>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</si>
  <si>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</si>
  <si>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</si>
  <si>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</si>
  <si>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</si>
  <si>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</si>
  <si>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</si>
  <si>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</si>
  <si>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</si>
  <si>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</si>
  <si>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</si>
  <si>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</si>
  <si>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</si>
  <si>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</si>
  <si>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</si>
  <si>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</si>
  <si>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</si>
  <si>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</si>
  <si>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</si>
  <si>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</si>
  <si>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</si>
  <si>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</si>
  <si>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</si>
  <si>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</si>
  <si>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</si>
  <si>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</si>
  <si>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</si>
  <si>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</si>
  <si>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</si>
  <si>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</si>
  <si>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</si>
  <si>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</si>
  <si>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</si>
  <si>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</si>
  <si>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</si>
  <si>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</si>
  <si>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</si>
  <si>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</si>
  <si>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</si>
  <si>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</si>
  <si>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</si>
  <si>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</si>
  <si>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</si>
  <si>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</si>
  <si>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</si>
  <si>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</si>
  <si>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</si>
  <si>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</si>
  <si>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</si>
  <si>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</si>
  <si>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</si>
  <si>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</si>
  <si>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</si>
  <si>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</si>
  <si>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</si>
  <si>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</si>
  <si>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</si>
  <si>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</si>
  <si>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</si>
  <si>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</si>
  <si>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</si>
  <si>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</si>
  <si>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</si>
  <si>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</si>
  <si>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</si>
  <si>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</si>
  <si>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</si>
  <si>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</si>
  <si>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</si>
  <si>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</si>
  <si>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</si>
  <si>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</si>
  <si>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</si>
  <si>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</si>
  <si>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</si>
  <si>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</si>
  <si>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</si>
  <si>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</si>
  <si>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</si>
  <si>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</si>
  <si>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</si>
  <si>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</si>
  <si>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</si>
  <si>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</si>
  <si>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</si>
  <si>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</si>
  <si>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</si>
  <si>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</si>
  <si>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</si>
  <si>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</si>
  <si>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</si>
  <si>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</si>
  <si>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</si>
  <si>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</si>
  <si>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</si>
  <si>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</si>
  <si>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</si>
  <si>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</si>
  <si>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</si>
  <si>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</si>
  <si>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</si>
  <si>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</si>
  <si>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</si>
  <si>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</si>
  <si>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</si>
  <si>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</si>
  <si>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</si>
  <si>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</si>
  <si>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</si>
  <si>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</si>
  <si>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</si>
  <si>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</si>
  <si>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</si>
  <si>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</si>
  <si>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</si>
  <si>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</si>
  <si>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</si>
  <si>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</si>
  <si>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</si>
  <si>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</si>
  <si>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</si>
  <si>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</si>
  <si>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</si>
  <si>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</si>
  <si>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</si>
  <si>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</si>
  <si>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</si>
  <si>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</si>
  <si>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</si>
  <si>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</si>
  <si>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</si>
  <si>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</si>
  <si>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</si>
  <si>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</si>
  <si>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</si>
  <si>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</si>
  <si>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</si>
  <si>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</si>
  <si>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</si>
  <si>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</si>
  <si>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</si>
  <si>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</si>
  <si>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</si>
  <si>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</si>
  <si>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</si>
  <si>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</si>
  <si>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</si>
  <si>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</si>
  <si>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</si>
  <si>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</si>
  <si>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</si>
  <si>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</si>
  <si>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</si>
  <si>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</si>
  <si>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</si>
  <si>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</si>
  <si>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</si>
  <si>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</si>
  <si>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</si>
  <si>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</si>
  <si>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</si>
  <si>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</si>
  <si>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</si>
  <si>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</si>
  <si>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</si>
  <si>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</si>
  <si>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</si>
  <si>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</si>
  <si>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</si>
  <si>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</si>
  <si>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</si>
  <si>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</si>
  <si>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</si>
  <si>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</si>
  <si>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</si>
  <si>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</si>
  <si>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</si>
  <si>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</si>
  <si>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</si>
  <si>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</si>
  <si>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</si>
  <si>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</si>
  <si>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</si>
  <si>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</si>
  <si>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</si>
  <si>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</si>
  <si>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</si>
  <si>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</si>
  <si>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</si>
  <si>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</si>
  <si>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</si>
  <si>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</si>
  <si>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</si>
  <si>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</si>
  <si>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</si>
  <si>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</si>
  <si>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</si>
  <si>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</si>
  <si>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</si>
  <si>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</si>
  <si>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</si>
  <si>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</si>
  <si>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</si>
  <si>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</si>
  <si>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</si>
  <si>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</si>
  <si>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</si>
  <si>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</si>
  <si>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</si>
  <si>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</si>
  <si>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</si>
  <si>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</si>
  <si>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</si>
  <si>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</si>
  <si>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</si>
  <si>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</si>
  <si>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</si>
  <si>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</si>
  <si>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</si>
  <si>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</si>
  <si>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</si>
  <si>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</si>
  <si>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</si>
  <si>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</si>
  <si>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</si>
  <si>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</si>
  <si>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</si>
  <si>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</si>
  <si>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</si>
  <si>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</si>
  <si>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</si>
  <si>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</si>
  <si>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</si>
  <si>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</si>
  <si>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</si>
  <si>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</si>
  <si>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</si>
  <si>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</si>
  <si>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</si>
  <si>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</si>
  <si>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</si>
  <si>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</si>
  <si>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</si>
  <si>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</si>
  <si>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</si>
  <si>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</si>
  <si>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</si>
  <si>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</si>
  <si>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</si>
  <si>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</si>
  <si>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</si>
  <si>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</si>
  <si>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</si>
  <si>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</si>
  <si>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</si>
  <si>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</si>
  <si>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</si>
  <si>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</si>
  <si>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</si>
  <si>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</si>
  <si>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</si>
  <si>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</si>
  <si>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</si>
  <si>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</si>
  <si>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</si>
  <si>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</si>
  <si>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</si>
  <si>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</si>
  <si>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</si>
  <si>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</si>
  <si>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</si>
  <si>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</si>
  <si>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</si>
  <si>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</si>
  <si>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</si>
  <si>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</si>
  <si>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</si>
  <si>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</si>
  <si>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</si>
  <si>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</si>
  <si>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</si>
  <si>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</si>
  <si>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</si>
  <si>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</si>
  <si>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</si>
  <si>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</si>
  <si>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</si>
  <si>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</si>
  <si>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</si>
  <si>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</si>
  <si>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</si>
  <si>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</si>
  <si>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</si>
  <si>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</si>
  <si>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</si>
  <si>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</si>
  <si>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</si>
  <si>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</si>
  <si>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</si>
  <si>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</si>
  <si>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</si>
  <si>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</si>
  <si>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</si>
  <si>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</si>
  <si>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</si>
  <si>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</si>
  <si>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</si>
  <si>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</si>
  <si>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</si>
  <si>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</si>
  <si>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</si>
  <si>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</si>
  <si>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</si>
  <si>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</si>
  <si>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</si>
  <si>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</si>
  <si>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</si>
  <si>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</si>
  <si>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</si>
  <si>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</si>
  <si>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</si>
  <si>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</si>
  <si>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</si>
  <si>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</si>
  <si>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</si>
  <si>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</si>
  <si>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</si>
  <si>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</si>
  <si>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</si>
  <si>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</si>
  <si>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</si>
  <si>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</si>
  <si>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</si>
  <si>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</si>
  <si>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</si>
  <si>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</si>
  <si>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</si>
  <si>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</si>
  <si>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</si>
  <si>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</si>
  <si>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</si>
  <si>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</si>
  <si>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</si>
  <si>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</si>
  <si>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</si>
  <si>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</si>
  <si>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</si>
  <si>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</si>
  <si>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</si>
  <si>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</si>
  <si>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</si>
  <si>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</si>
  <si>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</si>
  <si>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</si>
  <si>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</si>
  <si>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</si>
  <si>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</si>
  <si>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</si>
  <si>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</si>
  <si>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</si>
  <si>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</si>
  <si>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</si>
  <si>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</si>
  <si>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</si>
  <si>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</si>
  <si>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</si>
  <si>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</si>
  <si>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</si>
  <si>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</si>
  <si>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</si>
  <si>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</si>
  <si>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</si>
  <si>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</si>
  <si>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</si>
  <si>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</si>
  <si>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</si>
  <si>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</si>
  <si>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</si>
  <si>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</si>
  <si>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</si>
  <si>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</si>
  <si>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</si>
  <si>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</si>
  <si>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</si>
  <si>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</si>
  <si>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</si>
  <si>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</si>
  <si>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</si>
  <si>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</si>
  <si>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</si>
  <si>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</si>
  <si>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</si>
  <si>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</si>
  <si>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</si>
  <si>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</si>
  <si>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</si>
  <si>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</si>
  <si>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</si>
  <si>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</si>
  <si>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</si>
  <si>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</si>
  <si>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</si>
  <si>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</si>
  <si>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</si>
  <si>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</si>
  <si>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</si>
  <si>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</si>
  <si>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</si>
  <si>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</si>
  <si>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</si>
  <si>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</si>
  <si>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</si>
  <si>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</si>
  <si>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</si>
  <si>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</si>
  <si>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</si>
  <si>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</si>
  <si>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</si>
  <si>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</si>
  <si>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</si>
  <si>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</si>
  <si>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</si>
  <si>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</si>
  <si>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</si>
  <si>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</si>
  <si>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</si>
  <si>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</si>
  <si>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</si>
  <si>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</si>
  <si>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</si>
  <si>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</si>
  <si>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</si>
  <si>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</si>
  <si>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</si>
  <si>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</si>
  <si>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</si>
  <si>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</si>
  <si>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</si>
  <si>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</si>
  <si>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</si>
  <si>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</si>
  <si>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</si>
  <si>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</si>
  <si>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</si>
  <si>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</si>
  <si>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</si>
  <si>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</si>
  <si>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</si>
  <si>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</si>
  <si>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</si>
  <si>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</si>
  <si>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</si>
  <si>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</si>
  <si>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</si>
  <si>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</si>
  <si>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</si>
  <si>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</si>
  <si>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</si>
  <si>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</si>
  <si>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</si>
  <si>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</si>
  <si>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</si>
  <si>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</si>
  <si>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</si>
  <si>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</si>
  <si>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</si>
  <si>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</si>
  <si>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</si>
  <si>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</si>
  <si>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</si>
  <si>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</si>
  <si>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</si>
  <si>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</si>
  <si>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</si>
  <si>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</si>
  <si>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</si>
  <si>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</si>
  <si>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</si>
  <si>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</si>
  <si>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</si>
  <si>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</si>
  <si>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</si>
  <si>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</si>
  <si>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</si>
  <si>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</si>
  <si>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</si>
  <si>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</si>
  <si>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</si>
  <si>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</si>
  <si>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</si>
  <si>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</si>
  <si>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</si>
  <si>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</si>
  <si>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</si>
  <si>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</si>
  <si>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</si>
  <si>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</si>
  <si>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</si>
  <si>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</si>
  <si>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</si>
  <si>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</si>
  <si>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</si>
  <si>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</si>
  <si>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</si>
  <si>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</si>
  <si>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</si>
  <si>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</si>
  <si>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</si>
  <si>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</si>
  <si>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</si>
  <si>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</si>
  <si>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</si>
  <si>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</si>
  <si>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</si>
  <si>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</si>
  <si>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</si>
  <si>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</si>
  <si>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</si>
  <si>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</si>
  <si>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</si>
  <si>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</si>
  <si>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</si>
  <si>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</si>
  <si>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</si>
  <si>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</si>
  <si>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</si>
  <si>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</si>
  <si>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</si>
  <si>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</si>
  <si>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</si>
  <si>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</si>
  <si>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</si>
  <si>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</si>
  <si>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</si>
  <si>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</si>
  <si>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</si>
  <si>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</si>
  <si>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</si>
  <si>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</si>
  <si>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</si>
  <si>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</si>
  <si>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</si>
  <si>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</si>
  <si>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</si>
  <si>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</si>
  <si>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</si>
  <si>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</si>
  <si>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</si>
  <si>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</si>
  <si>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</si>
  <si>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</si>
  <si>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</si>
  <si>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</si>
  <si>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</si>
  <si>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</si>
  <si>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</si>
  <si>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</si>
  <si>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</si>
  <si>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</si>
  <si>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</si>
  <si>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</si>
  <si>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</si>
  <si>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</si>
  <si>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</si>
  <si>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</si>
  <si>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</si>
  <si>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</si>
  <si>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</si>
  <si>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</si>
  <si>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</si>
  <si>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</si>
  <si>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</si>
  <si>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</si>
  <si>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</si>
  <si>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</si>
  <si>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</si>
  <si>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</si>
  <si>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</si>
  <si>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</si>
  <si>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</si>
  <si>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</si>
  <si>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</si>
  <si>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</si>
  <si>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</si>
  <si>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</si>
  <si>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</si>
  <si>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</si>
  <si>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</si>
  <si>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</si>
  <si>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</si>
  <si>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</si>
  <si>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</si>
  <si>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</si>
  <si>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</si>
  <si>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</si>
  <si>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</si>
  <si>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</si>
  <si>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</si>
  <si>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</si>
  <si>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</si>
  <si>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</si>
  <si>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</si>
  <si>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</si>
  <si>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</si>
  <si>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</si>
  <si>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</si>
  <si>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</si>
  <si>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</si>
  <si>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</si>
  <si>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</si>
  <si>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</si>
  <si>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</si>
  <si>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</si>
  <si>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</si>
  <si>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</si>
  <si>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</si>
  <si>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</si>
  <si>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</si>
  <si>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</si>
  <si>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</si>
  <si>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</si>
  <si>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</si>
  <si>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</si>
  <si>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</si>
  <si>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</si>
  <si>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</si>
  <si>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</si>
  <si>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</si>
  <si>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</si>
  <si>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</si>
  <si>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</si>
  <si>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</si>
  <si>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</si>
  <si>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</si>
  <si>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</si>
  <si>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</si>
  <si>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</si>
  <si>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</si>
  <si>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</si>
  <si>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</si>
  <si>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</si>
  <si>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</si>
  <si>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</si>
  <si>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</si>
  <si>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</si>
  <si>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</si>
  <si>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</si>
  <si>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</si>
  <si>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</si>
  <si>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</si>
  <si>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</si>
  <si>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</si>
  <si>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</si>
  <si>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</si>
  <si>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</si>
  <si>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</si>
  <si>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</si>
  <si>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</si>
  <si>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</si>
  <si>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</si>
  <si>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</si>
  <si>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</si>
  <si>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</si>
  <si>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</si>
  <si>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</si>
  <si>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</si>
  <si>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</si>
  <si>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</si>
  <si>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</si>
  <si>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</si>
  <si>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</si>
  <si>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</si>
  <si>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</si>
  <si>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</si>
  <si>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</si>
  <si>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</si>
  <si>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</si>
  <si>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</si>
  <si>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</si>
  <si>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</si>
  <si>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</si>
  <si>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</si>
  <si>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</si>
  <si>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</si>
  <si>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</si>
  <si>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</si>
  <si>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</si>
  <si>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</si>
  <si>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</si>
  <si>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</si>
  <si>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</si>
  <si>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</si>
  <si>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</si>
  <si>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</si>
  <si>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</si>
  <si>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</si>
  <si>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</si>
  <si>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</si>
  <si>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</si>
  <si>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</si>
  <si>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</si>
  <si>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</si>
  <si>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</si>
  <si>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</si>
  <si>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</si>
  <si>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</si>
  <si>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</si>
  <si>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</si>
  <si>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</si>
  <si>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</si>
  <si>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</si>
  <si>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</si>
  <si>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</si>
  <si>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</si>
  <si>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</si>
  <si>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</si>
  <si>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</si>
  <si>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</si>
  <si>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</si>
  <si>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</si>
  <si>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</si>
  <si>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</si>
  <si>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</si>
  <si>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</si>
  <si>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</si>
  <si>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</si>
  <si>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</si>
  <si>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</si>
  <si>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</si>
  <si>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</si>
  <si>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</si>
  <si>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</si>
  <si>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</si>
  <si>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</si>
  <si>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</si>
  <si>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</si>
  <si>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</si>
  <si>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</si>
  <si>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</si>
  <si>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</si>
  <si>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</si>
  <si>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</si>
  <si>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</si>
  <si>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</si>
  <si>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</si>
  <si>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</si>
  <si>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</si>
  <si>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</si>
  <si>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</si>
  <si>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</si>
  <si>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</si>
  <si>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</si>
  <si>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</si>
  <si>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</si>
  <si>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</si>
  <si>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</si>
  <si>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</si>
  <si>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</si>
  <si>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</si>
  <si>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</si>
  <si>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</si>
  <si>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</si>
  <si>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</si>
  <si>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</si>
  <si>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</si>
  <si>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</si>
  <si>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</si>
  <si>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</si>
  <si>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</si>
  <si>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</si>
  <si>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</si>
  <si>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</si>
  <si>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</si>
  <si>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</si>
  <si>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</si>
  <si>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</si>
  <si>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</si>
  <si>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</si>
  <si>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</si>
  <si>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</si>
  <si>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</si>
  <si>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</si>
  <si>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</si>
  <si>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</si>
  <si>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</si>
  <si>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</si>
  <si>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</si>
  <si>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</si>
  <si>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</si>
  <si>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</si>
  <si>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</si>
  <si>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</si>
  <si>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</si>
  <si>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</si>
  <si>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</si>
  <si>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</si>
  <si>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</si>
  <si>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</si>
  <si>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</si>
  <si>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</si>
  <si>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</si>
  <si>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</si>
  <si>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</si>
  <si>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</si>
  <si>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</si>
  <si>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</si>
  <si>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</si>
  <si>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</si>
  <si>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</si>
  <si>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</si>
  <si>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</si>
  <si>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</si>
  <si>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</si>
  <si>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</si>
  <si>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</si>
  <si>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</si>
  <si>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</si>
  <si>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</si>
  <si>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</si>
  <si>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</si>
  <si>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</si>
  <si>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</si>
  <si>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</si>
  <si>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</si>
  <si>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</si>
  <si>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</si>
  <si>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</si>
  <si>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</si>
  <si>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</si>
  <si>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</si>
  <si>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</si>
  <si>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</si>
  <si>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</si>
  <si>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</si>
  <si>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</si>
  <si>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</si>
  <si>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</si>
  <si>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</si>
  <si>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</si>
  <si>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</si>
  <si>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</si>
  <si>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</si>
  <si>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</si>
  <si>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</si>
  <si>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</si>
  <si>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</si>
  <si>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</si>
  <si>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</si>
  <si>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</si>
  <si>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</si>
  <si>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</si>
  <si>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</si>
  <si>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</si>
  <si>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</si>
  <si>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</si>
  <si>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</si>
  <si>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</si>
  <si>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</si>
  <si>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</si>
  <si>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</si>
  <si>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</si>
  <si>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</si>
  <si>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</si>
  <si>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</si>
  <si>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</si>
  <si>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</si>
  <si>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</si>
  <si>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</si>
  <si>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</si>
  <si>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</si>
  <si>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</si>
  <si>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</si>
  <si>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</si>
  <si>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</si>
  <si>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</si>
  <si>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</si>
  <si>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</si>
  <si>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</si>
  <si>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</si>
  <si>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</si>
  <si>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</si>
  <si>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</si>
  <si>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</si>
  <si>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</si>
  <si>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</si>
  <si>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</si>
  <si>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</si>
  <si>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</si>
  <si>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</si>
  <si>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</si>
  <si>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</si>
  <si>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</si>
  <si>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</si>
  <si>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</si>
  <si>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</si>
  <si>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</si>
  <si>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</si>
  <si>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</si>
  <si>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</si>
  <si>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</si>
  <si>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</si>
  <si>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</si>
  <si>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</si>
  <si>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</si>
  <si>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</si>
  <si>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</si>
  <si>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</si>
  <si>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</si>
  <si>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</si>
  <si>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</si>
  <si>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</si>
  <si>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</si>
  <si>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</si>
  <si>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</si>
  <si>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</si>
  <si>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</si>
  <si>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</si>
  <si>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</si>
  <si>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</si>
  <si>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</si>
  <si>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</si>
  <si>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</si>
  <si>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</si>
  <si>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</si>
  <si>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</si>
  <si>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</si>
  <si>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</si>
  <si>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</si>
  <si>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</si>
  <si>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</si>
  <si>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</si>
  <si>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</si>
  <si>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</si>
  <si>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</si>
  <si>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</si>
  <si>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</si>
  <si>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</si>
  <si>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</si>
  <si>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</si>
  <si>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</si>
  <si>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</si>
  <si>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</si>
  <si>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</si>
  <si>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</si>
  <si>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</si>
  <si>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</si>
  <si>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</si>
  <si>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</si>
  <si>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</si>
  <si>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</si>
  <si>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</si>
  <si>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</si>
  <si>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</si>
  <si>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</si>
  <si>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</si>
  <si>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</si>
  <si>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</si>
  <si>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</si>
  <si>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</si>
  <si>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</si>
  <si>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</si>
  <si>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</si>
  <si>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</si>
  <si>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</si>
  <si>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</si>
  <si>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</si>
  <si>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</si>
  <si>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</si>
  <si>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</si>
  <si>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</si>
  <si>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</si>
  <si>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</si>
  <si>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</si>
  <si>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</si>
  <si>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</si>
  <si>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</si>
  <si>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</si>
  <si>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</si>
  <si>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</si>
  <si>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</si>
  <si>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</si>
  <si>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</si>
  <si>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</si>
  <si>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</si>
  <si>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</si>
  <si>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</si>
  <si>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</si>
  <si>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</si>
  <si>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</si>
  <si>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</si>
  <si>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</si>
  <si>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</si>
  <si>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</si>
  <si>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</si>
  <si>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</si>
  <si>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</si>
  <si>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</si>
  <si>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</si>
  <si>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</si>
  <si>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</si>
  <si>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</si>
  <si>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</si>
  <si>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</si>
  <si>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</si>
  <si>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</si>
  <si>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</si>
  <si>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</si>
  <si>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</si>
  <si>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</si>
  <si>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</si>
  <si>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</si>
  <si>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</si>
  <si>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</si>
  <si>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</si>
  <si>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</si>
  <si>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</si>
  <si>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</si>
  <si>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</si>
  <si>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</si>
  <si>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</si>
  <si>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</si>
  <si>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</si>
  <si>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</si>
  <si>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</si>
  <si>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</si>
  <si>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</si>
  <si>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</si>
  <si>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</si>
  <si>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</si>
  <si>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</si>
  <si>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</si>
  <si>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</si>
  <si>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</si>
  <si>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</si>
  <si>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</si>
  <si>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</si>
  <si>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</si>
  <si>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</si>
  <si>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</si>
  <si>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</si>
  <si>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</si>
  <si>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</si>
  <si>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</si>
  <si>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</si>
  <si>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</si>
  <si>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</si>
  <si>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</si>
  <si>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</si>
  <si>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</si>
  <si>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</si>
  <si>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</si>
  <si>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</si>
  <si>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</si>
  <si>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</si>
  <si>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</si>
  <si>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</si>
  <si>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</si>
  <si>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</si>
  <si>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</si>
  <si>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</si>
  <si>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</si>
  <si>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</si>
  <si>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</si>
  <si>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</si>
  <si>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</si>
  <si>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</si>
  <si>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</si>
  <si>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</si>
  <si>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</si>
  <si>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</si>
  <si>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</si>
  <si>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</si>
  <si>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</si>
  <si>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</si>
  <si>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</si>
  <si>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</si>
  <si>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</si>
  <si>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</si>
  <si>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</si>
  <si>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</si>
  <si>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</si>
  <si>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</si>
  <si>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</si>
  <si>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</si>
  <si>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</si>
  <si>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</si>
  <si>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</si>
  <si>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</si>
  <si>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</si>
  <si>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</si>
  <si>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</si>
  <si>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</si>
  <si>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</si>
  <si>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</si>
  <si>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</si>
  <si>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</si>
  <si>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</si>
  <si>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</si>
  <si>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</si>
  <si>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</si>
  <si>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</si>
  <si>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</si>
  <si>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</si>
  <si>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</si>
  <si>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</si>
  <si>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</si>
  <si>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</si>
  <si>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</si>
  <si>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</si>
  <si>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</si>
  <si>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</si>
  <si>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</si>
  <si>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</si>
  <si>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</si>
  <si>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</si>
  <si>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</si>
  <si>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</si>
  <si>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</si>
  <si>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</si>
  <si>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</si>
  <si>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</si>
  <si>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</si>
  <si>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</si>
  <si>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</si>
  <si>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</si>
  <si>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</si>
  <si>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</si>
  <si>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</si>
  <si>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</si>
  <si>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</si>
  <si>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</si>
  <si>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</si>
  <si>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</si>
  <si>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</si>
  <si>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</si>
  <si>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</si>
  <si>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</si>
  <si>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</si>
  <si>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</si>
  <si>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</si>
  <si>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</si>
  <si>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</si>
  <si>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</si>
  <si>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</si>
  <si>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</si>
  <si>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</si>
  <si>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</si>
  <si>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</si>
  <si>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</si>
  <si>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</si>
  <si>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</si>
  <si>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</si>
  <si>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</si>
  <si>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</si>
  <si>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</si>
  <si>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</si>
  <si>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</si>
  <si>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</si>
  <si>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</si>
  <si>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</si>
  <si>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</si>
  <si>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</si>
  <si>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</si>
  <si>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</si>
  <si>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</si>
  <si>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</si>
  <si>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</si>
  <si>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</si>
  <si>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</si>
  <si>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</si>
  <si>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</si>
  <si>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</si>
  <si>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</si>
  <si>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</si>
  <si>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</si>
  <si>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</si>
  <si>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</si>
  <si>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</si>
  <si>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</si>
  <si>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</si>
  <si>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</si>
  <si>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</si>
  <si>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</si>
  <si>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</si>
  <si>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</si>
  <si>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</si>
  <si>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</si>
  <si>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</si>
  <si>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</si>
  <si>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</si>
  <si>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</si>
  <si>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</si>
  <si>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</si>
  <si>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</si>
  <si>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</si>
  <si>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</si>
  <si>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</si>
  <si>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</si>
  <si>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</si>
  <si>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</si>
  <si>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</si>
  <si>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</si>
  <si>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</si>
  <si>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</si>
  <si>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</si>
  <si>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</si>
  <si>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</si>
  <si>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</si>
  <si>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</si>
  <si>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</si>
  <si>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</si>
  <si>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</si>
  <si>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</si>
  <si>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</si>
  <si>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</si>
  <si>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</si>
  <si>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</si>
  <si>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</si>
  <si>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</si>
  <si>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</si>
  <si>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</si>
  <si>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</si>
  <si>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</si>
  <si>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</si>
  <si>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</si>
  <si>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</si>
  <si>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</si>
  <si>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</si>
  <si>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</si>
  <si>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</si>
  <si>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</si>
  <si>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</si>
  <si>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</si>
  <si>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</si>
  <si>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</si>
  <si>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</si>
  <si>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</si>
  <si>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</si>
  <si>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</si>
  <si>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</si>
  <si>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</si>
  <si>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</si>
  <si>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</si>
  <si>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</si>
  <si>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</si>
  <si>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</si>
  <si>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</si>
  <si>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</si>
  <si>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</si>
  <si>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</si>
  <si>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</si>
  <si>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</si>
  <si>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</si>
  <si>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</si>
  <si>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</si>
  <si>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</si>
  <si>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</si>
  <si>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</si>
  <si>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</si>
  <si>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</si>
  <si>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</si>
  <si>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</si>
  <si>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</si>
  <si>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</si>
  <si>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</si>
  <si>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</si>
  <si>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</si>
  <si>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</si>
  <si>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</si>
  <si>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</si>
  <si>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</si>
  <si>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</si>
  <si>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</si>
  <si>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</si>
  <si>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</si>
  <si>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</si>
  <si>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</si>
  <si>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</si>
  <si>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</si>
  <si>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</si>
  <si>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</si>
  <si>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</si>
  <si>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</si>
  <si>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</si>
  <si>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</si>
  <si>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</si>
  <si>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</si>
  <si>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</si>
  <si>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</si>
  <si>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</si>
  <si>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</si>
  <si>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</si>
  <si>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</si>
  <si>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</si>
  <si>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</si>
  <si>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</si>
  <si>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</si>
  <si>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</si>
  <si>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</si>
  <si>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</si>
  <si>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</si>
  <si>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</si>
  <si>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</si>
  <si>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</si>
  <si>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</si>
  <si>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</si>
  <si>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</si>
  <si>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</si>
  <si>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</si>
  <si>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</si>
  <si>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</si>
  <si>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</si>
  <si>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</si>
  <si>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</si>
  <si>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</si>
  <si>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</si>
  <si>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</si>
  <si>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</si>
  <si>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</si>
  <si>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</si>
  <si>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</si>
  <si>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</si>
  <si>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</si>
  <si>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</si>
  <si>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</si>
  <si>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</si>
  <si>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</si>
  <si>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</si>
  <si>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</si>
  <si>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</si>
  <si>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</si>
  <si>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</si>
  <si>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</si>
  <si>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</si>
  <si>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</si>
  <si>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</si>
  <si>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</si>
  <si>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</si>
  <si>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</si>
  <si>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</si>
  <si>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</si>
  <si>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</si>
  <si>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</si>
  <si>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</si>
  <si>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</si>
  <si>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</si>
  <si>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</si>
  <si>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</si>
  <si>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</si>
  <si>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</si>
  <si>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</si>
  <si>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</si>
  <si>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</si>
  <si>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</si>
  <si>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</si>
  <si>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</si>
  <si>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</si>
  <si>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</si>
  <si>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</si>
  <si>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</si>
  <si>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</si>
  <si>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</si>
  <si>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</si>
  <si>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</si>
  <si>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</si>
  <si>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</si>
  <si>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</si>
  <si>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</si>
  <si>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</si>
  <si>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</si>
  <si>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</si>
  <si>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</si>
  <si>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</si>
  <si>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</si>
  <si>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</si>
  <si>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</si>
  <si>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</si>
  <si>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</si>
  <si>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</si>
  <si>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</si>
  <si>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</si>
  <si>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</si>
  <si>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</si>
  <si>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</si>
  <si>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</si>
  <si>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</si>
  <si>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</si>
  <si>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</si>
  <si>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</si>
  <si>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</si>
  <si>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</si>
  <si>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</si>
  <si>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</si>
  <si>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</si>
  <si>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</si>
  <si>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</si>
  <si>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</si>
  <si>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</si>
  <si>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</si>
  <si>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</si>
  <si>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</si>
  <si>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</si>
  <si>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</si>
  <si>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</si>
  <si>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</si>
  <si>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</si>
  <si>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</si>
  <si>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</si>
  <si>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</si>
  <si>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</si>
  <si>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</si>
  <si>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</si>
  <si>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</si>
  <si>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</si>
  <si>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</si>
  <si>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</si>
  <si>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</si>
  <si>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</si>
  <si>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</si>
  <si>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</si>
  <si>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</si>
  <si>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</si>
  <si>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</si>
  <si>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</si>
  <si>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</si>
  <si>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</si>
  <si>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</si>
  <si>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</si>
  <si>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</si>
  <si>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</si>
  <si>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</si>
  <si>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</si>
  <si>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</si>
  <si>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</si>
  <si>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</si>
  <si>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</si>
  <si>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</si>
  <si>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</si>
  <si>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</si>
  <si>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</si>
  <si>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</si>
  <si>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</si>
  <si>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</si>
  <si>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</si>
  <si>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</si>
  <si>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</si>
  <si>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</si>
  <si>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</si>
  <si>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</si>
  <si>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</si>
  <si>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</si>
  <si>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</si>
  <si>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</si>
  <si>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</si>
  <si>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</si>
  <si>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</si>
  <si>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</si>
  <si>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</si>
  <si>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</si>
  <si>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</si>
  <si>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</si>
  <si>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</si>
  <si>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</si>
  <si>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</si>
  <si>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</si>
  <si>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</si>
  <si>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</si>
  <si>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</si>
  <si>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</si>
  <si>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</si>
  <si>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</si>
  <si>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</si>
  <si>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</si>
  <si>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</si>
  <si>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</si>
  <si>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</si>
  <si>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</si>
  <si>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</si>
  <si>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</si>
  <si>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</si>
  <si>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</si>
  <si>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</si>
  <si>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</si>
  <si>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</si>
  <si>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</si>
  <si>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</si>
  <si>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</si>
  <si>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</si>
  <si>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</si>
  <si>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</si>
  <si>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</si>
  <si>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</si>
  <si>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</si>
  <si>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</si>
  <si>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</si>
  <si>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</si>
  <si>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</si>
  <si>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</si>
  <si>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</si>
  <si>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</si>
  <si>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</si>
  <si>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</si>
  <si>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</si>
  <si>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</si>
  <si>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</si>
  <si>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</si>
  <si>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</si>
  <si>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</si>
  <si>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</si>
  <si>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</si>
  <si>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</si>
  <si>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</si>
  <si>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</si>
  <si>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</si>
  <si>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</si>
  <si>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</si>
  <si>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</si>
  <si>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</si>
  <si>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</si>
  <si>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</si>
  <si>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</si>
  <si>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</si>
  <si>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</si>
  <si>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</si>
  <si>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</si>
  <si>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</si>
  <si>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</si>
  <si>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</si>
  <si>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</si>
  <si>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</si>
  <si>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</si>
  <si>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</si>
  <si>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</si>
  <si>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</si>
  <si>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</si>
  <si>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</si>
  <si>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</si>
  <si>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</si>
  <si>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</si>
  <si>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</si>
  <si>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</si>
  <si>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</si>
  <si>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</si>
  <si>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</si>
  <si>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</si>
  <si>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</si>
  <si>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</si>
  <si>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</si>
  <si>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</si>
  <si>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</si>
  <si>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</si>
  <si>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</si>
  <si>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</si>
  <si>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</si>
  <si>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</si>
  <si>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</si>
  <si>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</si>
  <si>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</si>
  <si>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</si>
  <si>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</si>
  <si>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</si>
  <si>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</si>
  <si>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</si>
  <si>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</si>
  <si>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</si>
  <si>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</si>
  <si>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</si>
  <si>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</si>
  <si>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</si>
  <si>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</si>
  <si>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</si>
  <si>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</si>
  <si>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</si>
  <si>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</si>
  <si>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</si>
  <si>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</si>
  <si>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</si>
  <si>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</si>
  <si>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</si>
  <si>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</si>
  <si>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</si>
  <si>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</si>
  <si>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</si>
  <si>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</si>
  <si>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</si>
  <si>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</si>
  <si>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</si>
  <si>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</si>
  <si>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</si>
  <si>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</si>
  <si>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</si>
  <si>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</si>
  <si>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</si>
  <si>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</si>
  <si>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</si>
  <si>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</si>
  <si>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</si>
  <si>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</si>
  <si>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</si>
  <si>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</si>
  <si>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</si>
  <si>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</si>
  <si>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</si>
  <si>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</si>
  <si>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</si>
  <si>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</si>
  <si>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</si>
  <si>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</si>
  <si>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</si>
  <si>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</si>
  <si>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</si>
  <si>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</si>
  <si>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</si>
  <si>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</si>
  <si>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</si>
  <si>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</si>
  <si>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</si>
  <si>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</si>
  <si>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</si>
  <si>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</si>
  <si>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</si>
  <si>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</si>
  <si>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</si>
  <si>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</si>
  <si>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</si>
  <si>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</si>
  <si>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</si>
  <si>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</si>
  <si>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</si>
  <si>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</si>
  <si>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</si>
  <si>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</si>
  <si>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</si>
  <si>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</si>
  <si>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</si>
  <si>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</si>
  <si>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</si>
  <si>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</si>
  <si>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</si>
  <si>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</si>
  <si>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</si>
  <si>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</si>
  <si>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</si>
  <si>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</si>
  <si>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</si>
  <si>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</si>
  <si>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</si>
  <si>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</si>
  <si>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</si>
  <si>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Western Area Career System</t>
  </si>
  <si>
    <t>Ginoli &amp; Company Ltd</t>
  </si>
  <si>
    <t>7625 N. University Street, Suite A</t>
  </si>
  <si>
    <t>Peoria</t>
  </si>
  <si>
    <t>IL</t>
  </si>
  <si>
    <t>61614-8303</t>
  </si>
  <si>
    <t>309-671-2350</t>
  </si>
  <si>
    <t>309-671-5459</t>
  </si>
  <si>
    <t>Macomb</t>
  </si>
  <si>
    <t>McDonough, Hancock</t>
  </si>
  <si>
    <t>130 S. Lafayette Street, Suite 200</t>
  </si>
  <si>
    <t>309-837-4821</t>
  </si>
  <si>
    <t>309-837-2887</t>
  </si>
  <si>
    <t>2017-001</t>
  </si>
  <si>
    <t>dmessersmith@roe26.net</t>
  </si>
  <si>
    <t>Dave Messersmith</t>
  </si>
  <si>
    <t>MICHAEL P REMMELE</t>
  </si>
  <si>
    <t>mremmele@ginolicpa.com</t>
  </si>
  <si>
    <t>066-005055</t>
  </si>
  <si>
    <t>X</t>
  </si>
  <si>
    <t>CTE - Perkins - page 13, line 227, column 1</t>
  </si>
  <si>
    <t>Perkins Grant</t>
  </si>
  <si>
    <t>Other Restricted Revenue from State Sources - page 12, line 171, column 1</t>
  </si>
  <si>
    <t>STEP/DORS Grants</t>
  </si>
  <si>
    <t>Western Area Career System is responsible for establishing and maintaining an effective system of internal controls over financial reporting in order to detect, prevent, or correct misstatements in the drafted financial statements (including disclosures) in accordance with the comprehensive basis of accounting used for financial statement presentation.  The System's internal controls over financial reporting should include personnel with the knowledge and expertise to complete a thorough review of drafted financial statements to ensure that they are free of material misstatements.</t>
  </si>
  <si>
    <t>The System does not have personnel with the needed expertise and knowledge to conduct a thorough review of the drafted financial statements in conformity with the comprehensive basis of accounting used for financial statement preparation</t>
  </si>
  <si>
    <t>The System's bookkeeper or other employees do not have the necessary training to conduct the thorough review necessary to detect material misstatements.</t>
  </si>
  <si>
    <t>Management or employees in the normal course of performing their assigned functions may not prevent or detect financial statement misstatements and disclosure ommisions in a timely manner.</t>
  </si>
  <si>
    <t>The System has no one with the necessary expertise to perform a thorough review of their drafted financial statements and note disclosures.</t>
  </si>
  <si>
    <t>As part of its internal control over the preparation of its financial statements, including disclosures, Western Area Career System should implement a comprehensive review procedure to ensure that the financial statements and disclosures are complete and accurate.  Such review procedures should be prepared by a properly trained individual(s) possessing a thorough understanding of applicable generally accepted accounting principles and knowledge of the System's activities and operations.</t>
  </si>
  <si>
    <t xml:space="preserve">The System understands the nature of this finding and realizes that this circumstance is not unusual in an organization of this size.  The System accepts the degree of risk associated with this condition because the added expense of seeking additional accounting expertise to prepare and/or review financial statements would take away from the funds available to provide educational services for individuals in the region. </t>
  </si>
  <si>
    <t>Repeat 2018-001</t>
  </si>
  <si>
    <t>The System does not have sufficient internal</t>
  </si>
  <si>
    <t>control over the financial reporting process.</t>
  </si>
  <si>
    <t>None</t>
  </si>
  <si>
    <t>Adverse due to the regulatory basis of accounting</t>
  </si>
  <si>
    <t>Finding 2018-001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</si>
</sst>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6" fontId="55" fillId="0" borderId="0" xfId="0" applyNumberFormat="1" applyFont="1"/>
    <xf numFmtId="0" fontId="1" fillId="0" borderId="158" xfId="17" applyFont="1" applyBorder="1" applyAlignment="1" applyProtection="1">
      <alignment horizontal="left" vertical="top" wrapText="1"/>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3</xdr:row>
          <xdr:rowOff>47625</xdr:rowOff>
        </xdr:from>
        <xdr:to>
          <xdr:col>1</xdr:col>
          <xdr:colOff>1085850</xdr:colOff>
          <xdr:row>7</xdr:row>
          <xdr:rowOff>85725</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0" t="s">
        <v>425</v>
      </c>
      <c r="J1" s="2001"/>
      <c r="K1" s="2001"/>
      <c r="L1" s="2001"/>
      <c r="M1" s="2001"/>
      <c r="N1" s="2001"/>
      <c r="O1" s="2001"/>
      <c r="P1" s="2001"/>
      <c r="Q1" s="2001"/>
      <c r="R1" s="2001"/>
      <c r="S1" s="2001"/>
    </row>
    <row r="2" spans="1:28" ht="12" customHeight="1" x14ac:dyDescent="0.2">
      <c r="A2" s="47" t="s">
        <v>1684</v>
      </c>
      <c r="D2" s="48"/>
      <c r="I2" s="2002" t="s">
        <v>1036</v>
      </c>
      <c r="J2" s="2001"/>
      <c r="K2" s="2001"/>
      <c r="L2" s="2001"/>
      <c r="M2" s="2001"/>
      <c r="N2" s="2001"/>
      <c r="O2" s="2001"/>
      <c r="P2" s="2001"/>
      <c r="Q2" s="2001"/>
      <c r="R2" s="2001"/>
      <c r="S2" s="2001"/>
    </row>
    <row r="3" spans="1:28" ht="12" customHeight="1" x14ac:dyDescent="0.2">
      <c r="A3" s="155" t="s">
        <v>1685</v>
      </c>
      <c r="B3" s="156"/>
      <c r="C3" s="156"/>
      <c r="D3" s="157"/>
      <c r="I3" s="2002" t="s">
        <v>54</v>
      </c>
      <c r="J3" s="2001"/>
      <c r="K3" s="2001"/>
      <c r="L3" s="2001"/>
      <c r="M3" s="2001"/>
      <c r="N3" s="2001"/>
      <c r="O3" s="2001"/>
      <c r="P3" s="2001"/>
      <c r="Q3" s="2001"/>
      <c r="R3" s="2001"/>
      <c r="S3" s="2001"/>
    </row>
    <row r="4" spans="1:28" ht="12" customHeight="1" x14ac:dyDescent="0.2">
      <c r="A4" s="37"/>
      <c r="I4" s="2002" t="s">
        <v>545</v>
      </c>
      <c r="J4" s="2001"/>
      <c r="K4" s="2001"/>
      <c r="L4" s="2001"/>
      <c r="M4" s="2001"/>
      <c r="N4" s="2001"/>
      <c r="O4" s="2001"/>
      <c r="P4" s="2001"/>
      <c r="Q4" s="2001"/>
      <c r="R4" s="2001"/>
      <c r="S4" s="2001"/>
    </row>
    <row r="5" spans="1:28" ht="14.1" customHeight="1" x14ac:dyDescent="0.2">
      <c r="B5" s="104"/>
      <c r="C5" s="26" t="s">
        <v>966</v>
      </c>
      <c r="D5" s="84"/>
      <c r="E5" s="84"/>
      <c r="H5" s="38"/>
      <c r="I5" s="2010" t="s">
        <v>701</v>
      </c>
      <c r="J5" s="2009"/>
      <c r="K5" s="2009"/>
      <c r="L5" s="2009"/>
      <c r="M5" s="2009"/>
      <c r="N5" s="2009"/>
      <c r="O5" s="2009"/>
      <c r="P5" s="2009"/>
      <c r="Q5" s="2009"/>
      <c r="R5" s="2009"/>
      <c r="S5" s="2009"/>
    </row>
    <row r="6" spans="1:28" ht="14.1" customHeight="1" x14ac:dyDescent="0.2">
      <c r="B6" s="104" t="s">
        <v>2077</v>
      </c>
      <c r="C6" s="26" t="s">
        <v>967</v>
      </c>
      <c r="D6" s="84"/>
      <c r="E6" s="84"/>
      <c r="I6" s="2008" t="s">
        <v>938</v>
      </c>
      <c r="J6" s="2009"/>
      <c r="K6" s="2009"/>
      <c r="L6" s="2009"/>
      <c r="M6" s="2009"/>
      <c r="N6" s="2009"/>
      <c r="O6" s="2009"/>
      <c r="P6" s="2009"/>
      <c r="Q6" s="2009"/>
      <c r="R6" s="2009"/>
      <c r="S6" s="2009"/>
    </row>
    <row r="7" spans="1:28" ht="12.2" customHeight="1" x14ac:dyDescent="0.2">
      <c r="I7" s="2003">
        <v>43281</v>
      </c>
      <c r="J7" s="2004"/>
      <c r="K7" s="2004"/>
      <c r="L7" s="2004"/>
      <c r="M7" s="2004"/>
      <c r="N7" s="2004"/>
      <c r="O7" s="2004"/>
      <c r="P7" s="2004"/>
      <c r="Q7" s="2004"/>
      <c r="R7" s="2004"/>
      <c r="S7" s="200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5" t="s">
        <v>695</v>
      </c>
      <c r="J9" s="2006"/>
      <c r="K9" s="2006"/>
      <c r="L9" s="2006"/>
      <c r="M9" s="2006"/>
      <c r="N9" s="2006"/>
      <c r="O9" s="2006"/>
      <c r="P9" s="2006"/>
      <c r="Q9" s="2006"/>
      <c r="R9" s="2006"/>
      <c r="S9" s="2007"/>
      <c r="T9" s="2021" t="s">
        <v>554</v>
      </c>
      <c r="U9" s="2022"/>
      <c r="V9" s="2022"/>
      <c r="W9" s="2022"/>
      <c r="X9" s="2022"/>
      <c r="Y9" s="2022"/>
      <c r="Z9" s="2022"/>
      <c r="AA9" s="2023"/>
    </row>
    <row r="10" spans="1:28" ht="13.5" customHeight="1" x14ac:dyDescent="0.2">
      <c r="A10" s="2028" t="s">
        <v>696</v>
      </c>
      <c r="B10" s="2029"/>
      <c r="C10" s="2029"/>
      <c r="D10" s="2029"/>
      <c r="E10" s="2029"/>
      <c r="F10" s="2029"/>
      <c r="G10" s="2029"/>
      <c r="H10" s="2030"/>
      <c r="I10" s="29"/>
      <c r="J10" s="30"/>
      <c r="K10" s="28"/>
      <c r="R10" s="30"/>
      <c r="S10" s="30"/>
      <c r="T10" s="2024"/>
      <c r="U10" s="2009"/>
      <c r="V10" s="2009"/>
      <c r="W10" s="2009"/>
      <c r="X10" s="2009"/>
      <c r="Y10" s="2009"/>
      <c r="Z10" s="2009"/>
      <c r="AA10" s="2015"/>
    </row>
    <row r="11" spans="1:28" ht="14.25" customHeight="1" x14ac:dyDescent="0.2">
      <c r="A11" s="2031" t="s">
        <v>1012</v>
      </c>
      <c r="B11" s="2032"/>
      <c r="C11" s="2032"/>
      <c r="D11" s="2032"/>
      <c r="E11" s="2032"/>
      <c r="F11" s="2032"/>
      <c r="G11" s="2032"/>
      <c r="H11" s="2033"/>
      <c r="I11" s="27"/>
      <c r="J11" s="74"/>
      <c r="K11" s="27"/>
      <c r="O11" s="148" t="s">
        <v>2077</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5">
        <v>26000000046</v>
      </c>
      <c r="B13" s="2036"/>
      <c r="C13" s="2036"/>
      <c r="D13" s="2036"/>
      <c r="E13" s="2036"/>
      <c r="F13" s="2036"/>
      <c r="G13" s="2036"/>
      <c r="H13" s="2037"/>
      <c r="I13" s="31"/>
      <c r="J13" s="30"/>
      <c r="K13" s="28"/>
      <c r="L13" s="30"/>
      <c r="M13" s="30"/>
      <c r="N13" s="30"/>
      <c r="O13" s="30"/>
      <c r="P13" s="30"/>
      <c r="Q13" s="30"/>
      <c r="R13" s="30"/>
      <c r="S13" s="30"/>
      <c r="T13" s="2040" t="s">
        <v>2079</v>
      </c>
      <c r="U13" s="2041"/>
      <c r="V13" s="2041"/>
      <c r="W13" s="2041"/>
      <c r="X13" s="2041"/>
      <c r="Y13" s="2042"/>
      <c r="Z13" s="2042"/>
      <c r="AA13" s="2043"/>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4" t="s">
        <v>2087</v>
      </c>
      <c r="B15" s="2038"/>
      <c r="C15" s="2038"/>
      <c r="D15" s="2038"/>
      <c r="E15" s="2038"/>
      <c r="F15" s="2038"/>
      <c r="G15" s="2038"/>
      <c r="H15" s="2039"/>
      <c r="T15" s="2044" t="s">
        <v>2094</v>
      </c>
      <c r="U15" s="1988"/>
      <c r="V15" s="1988"/>
      <c r="W15" s="1988"/>
      <c r="X15" s="1988"/>
      <c r="Y15" s="2045"/>
      <c r="Z15" s="2045"/>
      <c r="AA15" s="2046"/>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4" t="s">
        <v>2078</v>
      </c>
      <c r="B17" s="1995"/>
      <c r="C17" s="1995"/>
      <c r="D17" s="1995"/>
      <c r="E17" s="1995"/>
      <c r="F17" s="1995"/>
      <c r="G17" s="1995"/>
      <c r="H17" s="2020"/>
      <c r="T17" s="2051" t="s">
        <v>2080</v>
      </c>
      <c r="U17" s="2052"/>
      <c r="V17" s="2052"/>
      <c r="W17" s="2052"/>
      <c r="X17" s="2052"/>
      <c r="Y17" s="2052"/>
      <c r="Z17" s="2052"/>
      <c r="AA17" s="2053"/>
    </row>
    <row r="18" spans="1:27" ht="13.5" customHeight="1" x14ac:dyDescent="0.2">
      <c r="A18" s="85" t="s">
        <v>551</v>
      </c>
      <c r="B18" s="76"/>
      <c r="C18" s="72"/>
      <c r="D18" s="76"/>
      <c r="E18" s="76"/>
      <c r="F18" s="76"/>
      <c r="G18" s="76"/>
      <c r="H18" s="56"/>
      <c r="I18" s="2019" t="s">
        <v>697</v>
      </c>
      <c r="J18" s="1970"/>
      <c r="K18" s="1970"/>
      <c r="L18" s="1970"/>
      <c r="M18" s="1970"/>
      <c r="N18" s="1970"/>
      <c r="O18" s="1970"/>
      <c r="P18" s="1970"/>
      <c r="Q18" s="1970"/>
      <c r="R18" s="1970"/>
      <c r="S18" s="1971"/>
      <c r="T18" s="85" t="s">
        <v>735</v>
      </c>
      <c r="U18" s="51"/>
      <c r="V18" s="72"/>
      <c r="W18" s="50"/>
      <c r="X18" s="85" t="s">
        <v>284</v>
      </c>
      <c r="Y18" s="81"/>
      <c r="Z18" s="159" t="s">
        <v>698</v>
      </c>
      <c r="AA18" s="46"/>
    </row>
    <row r="19" spans="1:27" ht="13.5" customHeight="1" x14ac:dyDescent="0.2">
      <c r="A19" s="2034" t="s">
        <v>2088</v>
      </c>
      <c r="B19" s="1980"/>
      <c r="C19" s="1980"/>
      <c r="D19" s="1980"/>
      <c r="E19" s="1980"/>
      <c r="F19" s="1980"/>
      <c r="G19" s="1980"/>
      <c r="H19" s="1960"/>
      <c r="I19" s="30"/>
      <c r="J19" s="99"/>
      <c r="K19" s="40"/>
      <c r="L19" s="38"/>
      <c r="M19" s="112" t="s">
        <v>333</v>
      </c>
      <c r="P19" s="27"/>
      <c r="Q19" s="27"/>
      <c r="R19" s="27"/>
      <c r="S19" s="31"/>
      <c r="T19" s="2034" t="s">
        <v>2081</v>
      </c>
      <c r="U19" s="1959"/>
      <c r="V19" s="1959"/>
      <c r="W19" s="1960"/>
      <c r="X19" s="2049" t="s">
        <v>2082</v>
      </c>
      <c r="Y19" s="2050"/>
      <c r="Z19" s="2047" t="s">
        <v>2083</v>
      </c>
      <c r="AA19" s="2048"/>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8" t="s">
        <v>2086</v>
      </c>
      <c r="B21" s="1959"/>
      <c r="C21" s="1959"/>
      <c r="D21" s="1959"/>
      <c r="E21" s="1959"/>
      <c r="F21" s="1959"/>
      <c r="G21" s="1959"/>
      <c r="H21" s="1960"/>
      <c r="I21" s="2014" t="s">
        <v>699</v>
      </c>
      <c r="J21" s="2009"/>
      <c r="K21" s="2009"/>
      <c r="L21" s="2009"/>
      <c r="M21" s="2009"/>
      <c r="N21" s="2009"/>
      <c r="O21" s="2009"/>
      <c r="P21" s="2009"/>
      <c r="Q21" s="2009"/>
      <c r="R21" s="2009"/>
      <c r="S21" s="2015"/>
      <c r="T21" s="2058" t="s">
        <v>2084</v>
      </c>
      <c r="U21" s="2059"/>
      <c r="V21" s="2059"/>
      <c r="W21" s="2059"/>
      <c r="X21" s="2064" t="s">
        <v>2085</v>
      </c>
      <c r="Y21" s="2065"/>
      <c r="Z21" s="2065"/>
      <c r="AA21" s="2066"/>
    </row>
    <row r="22" spans="1:27" ht="13.5" customHeight="1" x14ac:dyDescent="0.2">
      <c r="A22" s="87" t="s">
        <v>552</v>
      </c>
      <c r="B22" s="59"/>
      <c r="C22" s="59"/>
      <c r="D22" s="59"/>
      <c r="E22" s="59"/>
      <c r="F22" s="59"/>
      <c r="G22" s="59"/>
      <c r="H22" s="60"/>
      <c r="I22" s="2016" t="s">
        <v>1504</v>
      </c>
      <c r="J22" s="2017"/>
      <c r="K22" s="2017"/>
      <c r="L22" s="2017"/>
      <c r="M22" s="2017"/>
      <c r="N22" s="2017"/>
      <c r="O22" s="2017"/>
      <c r="P22" s="2017"/>
      <c r="Q22" s="2017"/>
      <c r="R22" s="2017"/>
      <c r="S22" s="2018"/>
      <c r="T22" s="85" t="s">
        <v>1596</v>
      </c>
      <c r="U22" s="51"/>
      <c r="V22" s="72"/>
      <c r="W22" s="51"/>
      <c r="X22" s="160" t="s">
        <v>1385</v>
      </c>
      <c r="Z22" s="45"/>
      <c r="AA22" s="46"/>
    </row>
    <row r="23" spans="1:27" ht="13.5" customHeight="1" x14ac:dyDescent="0.2">
      <c r="A23" s="2011" t="s">
        <v>2092</v>
      </c>
      <c r="B23" s="2012"/>
      <c r="C23" s="2012"/>
      <c r="D23" s="2012"/>
      <c r="E23" s="2012"/>
      <c r="F23" s="2012"/>
      <c r="G23" s="2012"/>
      <c r="H23" s="2013"/>
      <c r="T23" s="1994" t="s">
        <v>2096</v>
      </c>
      <c r="U23" s="2057"/>
      <c r="V23" s="2057"/>
      <c r="W23" s="2057"/>
      <c r="X23" s="2061">
        <v>44530</v>
      </c>
      <c r="Y23" s="2062"/>
      <c r="Z23" s="2062"/>
      <c r="AA23" s="2063"/>
    </row>
    <row r="24" spans="1:27" ht="14.1" customHeight="1" x14ac:dyDescent="0.2">
      <c r="A24" s="88" t="s">
        <v>698</v>
      </c>
      <c r="B24" s="49"/>
      <c r="C24" s="49"/>
      <c r="D24" s="49"/>
      <c r="E24" s="49"/>
      <c r="F24" s="49"/>
      <c r="G24" s="49"/>
      <c r="H24" s="61"/>
      <c r="J24" s="1981" t="str">
        <f>IF(B5="x",IF(AUDITCHECK!D29="AFR form Incomplete.","",IF(AUDITCHECK!D29="Deficit reduction plan is required.","School District must complete a deficit reduction plan in the 2018-2019 Budget",)),"")</f>
        <v/>
      </c>
      <c r="K24" s="1981"/>
      <c r="L24" s="1981"/>
      <c r="M24" s="1981"/>
      <c r="N24" s="1981"/>
      <c r="O24" s="1981"/>
      <c r="P24" s="1981"/>
      <c r="Q24" s="1981"/>
      <c r="R24" s="1981"/>
      <c r="S24" s="1982"/>
      <c r="T24" s="105" t="s">
        <v>552</v>
      </c>
      <c r="U24" s="106"/>
      <c r="V24" s="106"/>
      <c r="W24" s="106"/>
      <c r="X24" s="107"/>
      <c r="Y24" s="107"/>
      <c r="Z24" s="107"/>
      <c r="AA24" s="108"/>
    </row>
    <row r="25" spans="1:27" ht="14.1" customHeight="1" x14ac:dyDescent="0.2">
      <c r="A25" s="1958">
        <v>61455</v>
      </c>
      <c r="B25" s="1959"/>
      <c r="C25" s="1959"/>
      <c r="D25" s="1959"/>
      <c r="E25" s="1959"/>
      <c r="F25" s="1959"/>
      <c r="G25" s="1959"/>
      <c r="H25" s="1960"/>
      <c r="I25" s="113"/>
      <c r="J25" s="1983"/>
      <c r="K25" s="1983"/>
      <c r="L25" s="1983"/>
      <c r="M25" s="1983"/>
      <c r="N25" s="1983"/>
      <c r="O25" s="1983"/>
      <c r="P25" s="1983"/>
      <c r="Q25" s="1983"/>
      <c r="R25" s="1983"/>
      <c r="S25" s="1984"/>
      <c r="T25" s="2054" t="s">
        <v>2095</v>
      </c>
      <c r="U25" s="2055"/>
      <c r="V25" s="2055"/>
      <c r="W25" s="2055"/>
      <c r="X25" s="2055"/>
      <c r="Y25" s="2055"/>
      <c r="Z25" s="2055"/>
      <c r="AA25" s="20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9" t="s">
        <v>1591</v>
      </c>
      <c r="J27" s="1970"/>
      <c r="K27" s="1970"/>
      <c r="L27" s="1970"/>
      <c r="M27" s="1970"/>
      <c r="N27" s="1970"/>
      <c r="O27" s="1970"/>
      <c r="P27" s="1970"/>
      <c r="Q27" s="1970"/>
      <c r="R27" s="1970"/>
      <c r="S27" s="197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0"/>
      <c r="Q35" s="1959"/>
      <c r="R35" s="195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4" t="s">
        <v>2093</v>
      </c>
      <c r="B38" s="1995"/>
      <c r="C38" s="1995"/>
      <c r="D38" s="1995"/>
      <c r="E38" s="1995"/>
      <c r="F38" s="1959"/>
      <c r="G38" s="1959"/>
      <c r="H38" s="1960"/>
      <c r="I38" s="1987"/>
      <c r="J38" s="1988"/>
      <c r="K38" s="1988"/>
      <c r="L38" s="1988"/>
      <c r="M38" s="1988"/>
      <c r="N38" s="1988"/>
      <c r="O38" s="1988"/>
      <c r="P38" s="1989"/>
      <c r="Q38" s="1989"/>
      <c r="R38" s="1989"/>
      <c r="S38" s="1990"/>
      <c r="T38" s="2044"/>
      <c r="U38" s="1988"/>
      <c r="V38" s="1988"/>
      <c r="W38" s="1988"/>
      <c r="X38" s="1989"/>
      <c r="Y38" s="1989"/>
      <c r="Z38" s="1989"/>
      <c r="AA38" s="1990"/>
    </row>
    <row r="39" spans="1:27" ht="12" customHeight="1" x14ac:dyDescent="0.2">
      <c r="A39" s="1964" t="s">
        <v>552</v>
      </c>
      <c r="B39" s="1965"/>
      <c r="C39" s="72"/>
      <c r="D39" s="69"/>
      <c r="E39" s="69"/>
      <c r="F39" s="79"/>
      <c r="G39" s="69"/>
      <c r="H39" s="56"/>
      <c r="I39" s="1964" t="s">
        <v>552</v>
      </c>
      <c r="J39" s="1965"/>
      <c r="K39" s="1965"/>
      <c r="L39" s="1965"/>
      <c r="M39" s="1965"/>
      <c r="N39" s="67"/>
      <c r="O39" s="72"/>
      <c r="P39" s="72"/>
      <c r="Q39" s="78"/>
      <c r="R39" s="72"/>
      <c r="S39" s="56"/>
      <c r="T39" s="72" t="s">
        <v>552</v>
      </c>
      <c r="U39" s="51"/>
      <c r="V39" s="72"/>
      <c r="W39" s="50"/>
      <c r="X39" s="78"/>
      <c r="Y39" s="45"/>
      <c r="Z39" s="45"/>
      <c r="AA39" s="46"/>
    </row>
    <row r="40" spans="1:27" ht="13.5" customHeight="1" x14ac:dyDescent="0.2">
      <c r="A40" s="1972" t="s">
        <v>2092</v>
      </c>
      <c r="B40" s="1973"/>
      <c r="C40" s="1974"/>
      <c r="D40" s="1974"/>
      <c r="E40" s="1974"/>
      <c r="F40" s="1975"/>
      <c r="G40" s="1975"/>
      <c r="H40" s="1976"/>
      <c r="I40" s="1997"/>
      <c r="J40" s="1998"/>
      <c r="K40" s="1998"/>
      <c r="L40" s="1998"/>
      <c r="M40" s="1998"/>
      <c r="N40" s="1998"/>
      <c r="O40" s="1998"/>
      <c r="P40" s="1998"/>
      <c r="Q40" s="1998"/>
      <c r="R40" s="1998"/>
      <c r="S40" s="1999"/>
      <c r="T40" s="1997"/>
      <c r="U40" s="2060"/>
      <c r="V40" s="1998"/>
      <c r="W40" s="1998"/>
      <c r="X40" s="1998"/>
      <c r="Y40" s="1998"/>
      <c r="Z40" s="1998"/>
      <c r="AA40" s="1999"/>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6" t="s">
        <v>2089</v>
      </c>
      <c r="B42" s="1978"/>
      <c r="C42" s="1979"/>
      <c r="D42" s="1977" t="s">
        <v>2090</v>
      </c>
      <c r="E42" s="1978"/>
      <c r="F42" s="1978"/>
      <c r="G42" s="1978"/>
      <c r="H42" s="1979"/>
      <c r="I42" s="1961"/>
      <c r="J42" s="1962"/>
      <c r="K42" s="1962"/>
      <c r="L42" s="1962"/>
      <c r="M42" s="1962"/>
      <c r="N42" s="1962"/>
      <c r="O42" s="1963"/>
      <c r="P42" s="1996"/>
      <c r="Q42" s="1962"/>
      <c r="R42" s="1962"/>
      <c r="S42" s="1963"/>
      <c r="T42" s="1961"/>
      <c r="U42" s="1962"/>
      <c r="V42" s="1962"/>
      <c r="W42" s="1963"/>
      <c r="X42" s="1996"/>
      <c r="Y42" s="1962"/>
      <c r="Z42" s="1962"/>
      <c r="AA42" s="1963"/>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1"/>
      <c r="B44" s="1992"/>
      <c r="C44" s="1992"/>
      <c r="D44" s="1992"/>
      <c r="E44" s="1992"/>
      <c r="F44" s="1992"/>
      <c r="G44" s="1992"/>
      <c r="H44" s="1993"/>
      <c r="I44" s="1966"/>
      <c r="J44" s="1967"/>
      <c r="K44" s="1967"/>
      <c r="L44" s="1967"/>
      <c r="M44" s="1967"/>
      <c r="N44" s="1967"/>
      <c r="O44" s="1967"/>
      <c r="P44" s="1967"/>
      <c r="Q44" s="1967"/>
      <c r="R44" s="1967"/>
      <c r="S44" s="1968"/>
      <c r="T44" s="1966"/>
      <c r="U44" s="1985"/>
      <c r="V44" s="1985"/>
      <c r="W44" s="1985"/>
      <c r="X44" s="1985"/>
      <c r="Y44" s="1985"/>
      <c r="Z44" s="1967"/>
      <c r="AA44" s="1968"/>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8" sqref="C8"/>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0" t="s">
        <v>1905</v>
      </c>
      <c r="B2" s="1550" t="s">
        <v>2037</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H36" sqref="H36"/>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2" t="s">
        <v>650</v>
      </c>
      <c r="B1" s="2220"/>
      <c r="C1" s="722"/>
    </row>
    <row r="2" spans="1:7" ht="33.75" x14ac:dyDescent="0.2">
      <c r="A2" s="2227" t="s">
        <v>1905</v>
      </c>
      <c r="B2" s="2228"/>
      <c r="C2" s="1909" t="s">
        <v>2038</v>
      </c>
      <c r="D2" s="724" t="s">
        <v>2045</v>
      </c>
      <c r="E2" s="724" t="s">
        <v>2046</v>
      </c>
      <c r="F2" s="1909" t="s">
        <v>2039</v>
      </c>
    </row>
    <row r="3" spans="1:7" ht="15.75" customHeight="1" x14ac:dyDescent="0.2">
      <c r="A3" s="2229" t="s">
        <v>1176</v>
      </c>
      <c r="B3" s="2230"/>
      <c r="C3" s="2223"/>
      <c r="D3" s="2224"/>
      <c r="E3" s="2224"/>
      <c r="F3" s="2225"/>
    </row>
    <row r="4" spans="1:7" ht="12.75" customHeight="1" thickBot="1" x14ac:dyDescent="0.25">
      <c r="A4" s="2217" t="s">
        <v>651</v>
      </c>
      <c r="B4" s="2218"/>
      <c r="C4" s="581"/>
      <c r="D4" s="581"/>
      <c r="E4" s="581"/>
      <c r="F4" s="1777">
        <f>SUM(C4+D4)-E4</f>
        <v>0</v>
      </c>
    </row>
    <row r="5" spans="1:7" ht="15.75" customHeight="1" thickTop="1" x14ac:dyDescent="0.2">
      <c r="A5" s="2221" t="s">
        <v>1172</v>
      </c>
      <c r="B5" s="2216"/>
      <c r="C5" s="2210"/>
      <c r="D5" s="2211"/>
      <c r="E5" s="2211"/>
      <c r="F5" s="2212"/>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3" t="s">
        <v>652</v>
      </c>
      <c r="B15" s="2214"/>
      <c r="C15" s="1777">
        <f>SUM(C6:C14)</f>
        <v>0</v>
      </c>
      <c r="D15" s="1777">
        <f>SUM(D6:D14)</f>
        <v>0</v>
      </c>
      <c r="E15" s="1777">
        <f>SUM(E6:E14)</f>
        <v>0</v>
      </c>
      <c r="F15" s="1777">
        <f>SUM(F6:F14)</f>
        <v>0</v>
      </c>
      <c r="G15" s="552"/>
    </row>
    <row r="16" spans="1:7" s="202" customFormat="1" ht="15.75" customHeight="1" thickTop="1" x14ac:dyDescent="0.2">
      <c r="A16" s="2226" t="s">
        <v>1173</v>
      </c>
      <c r="B16" s="2216"/>
      <c r="C16" s="2210"/>
      <c r="D16" s="2211"/>
      <c r="E16" s="2211"/>
      <c r="F16" s="2212"/>
    </row>
    <row r="17" spans="1:11" ht="12.75" customHeight="1" thickBot="1" x14ac:dyDescent="0.25">
      <c r="A17" s="2208" t="s">
        <v>66</v>
      </c>
      <c r="B17" s="2209"/>
      <c r="C17" s="727"/>
      <c r="D17" s="585"/>
      <c r="E17" s="727"/>
      <c r="F17" s="1777">
        <f>SUM(C17+D17)-E17</f>
        <v>0</v>
      </c>
    </row>
    <row r="18" spans="1:11" ht="12.75" customHeight="1" thickTop="1" thickBot="1" x14ac:dyDescent="0.25">
      <c r="A18" s="2208" t="s">
        <v>6</v>
      </c>
      <c r="B18" s="2209"/>
      <c r="C18" s="727"/>
      <c r="D18" s="585"/>
      <c r="E18" s="727"/>
      <c r="F18" s="1777">
        <f>SUM(C18+D18)-E18</f>
        <v>0</v>
      </c>
    </row>
    <row r="19" spans="1:11" ht="12.75" customHeight="1" thickTop="1" thickBot="1" x14ac:dyDescent="0.25">
      <c r="A19" s="2208" t="s">
        <v>406</v>
      </c>
      <c r="B19" s="2209"/>
      <c r="C19" s="727"/>
      <c r="D19" s="585"/>
      <c r="E19" s="727"/>
      <c r="F19" s="1777">
        <f>SUM(C19+D19)-E19</f>
        <v>0</v>
      </c>
    </row>
    <row r="20" spans="1:11" ht="12.75" customHeight="1" thickTop="1" thickBot="1" x14ac:dyDescent="0.25">
      <c r="A20" s="2208" t="s">
        <v>468</v>
      </c>
      <c r="B20" s="2209"/>
      <c r="C20" s="727"/>
      <c r="D20" s="585"/>
      <c r="E20" s="727"/>
      <c r="F20" s="1777">
        <f>SUM(C20+D20)-E20</f>
        <v>0</v>
      </c>
    </row>
    <row r="21" spans="1:11" ht="14.25" thickTop="1" thickBot="1" x14ac:dyDescent="0.25">
      <c r="A21" s="2213" t="s">
        <v>653</v>
      </c>
      <c r="B21" s="2214"/>
      <c r="C21" s="1777">
        <f>SUM(C17:C20)</f>
        <v>0</v>
      </c>
      <c r="D21" s="1777">
        <f>SUM(D17:D20)</f>
        <v>0</v>
      </c>
      <c r="E21" s="1777">
        <f>SUM(E17:E20)</f>
        <v>0</v>
      </c>
      <c r="F21" s="1777">
        <f>SUM(F17:F20)</f>
        <v>0</v>
      </c>
      <c r="G21" s="552"/>
    </row>
    <row r="22" spans="1:11" ht="15.75" customHeight="1" thickTop="1" x14ac:dyDescent="0.2">
      <c r="A22" s="2215" t="s">
        <v>1174</v>
      </c>
      <c r="B22" s="2216"/>
      <c r="C22" s="2210"/>
      <c r="D22" s="2211"/>
      <c r="E22" s="2211"/>
      <c r="F22" s="2212"/>
    </row>
    <row r="23" spans="1:11" ht="13.5" thickBot="1" x14ac:dyDescent="0.25">
      <c r="A23" s="2217" t="s">
        <v>654</v>
      </c>
      <c r="B23" s="2218"/>
      <c r="C23" s="581"/>
      <c r="D23" s="581"/>
      <c r="E23" s="581"/>
      <c r="F23" s="1777">
        <f>SUM(C23+D23)-E23</f>
        <v>0</v>
      </c>
      <c r="G23" s="552"/>
    </row>
    <row r="24" spans="1:11" ht="15.75" customHeight="1" thickTop="1" x14ac:dyDescent="0.2">
      <c r="A24" s="2215" t="s">
        <v>1175</v>
      </c>
      <c r="B24" s="2216"/>
      <c r="C24" s="2210"/>
      <c r="D24" s="2211"/>
      <c r="E24" s="2211"/>
      <c r="F24" s="2212"/>
    </row>
    <row r="25" spans="1:11" ht="13.5" thickBot="1" x14ac:dyDescent="0.25">
      <c r="A25" s="2217" t="s">
        <v>655</v>
      </c>
      <c r="B25" s="2218"/>
      <c r="C25" s="581"/>
      <c r="D25" s="581"/>
      <c r="E25" s="581"/>
      <c r="F25" s="1777">
        <f>SUM(C25+D25)-E25</f>
        <v>0</v>
      </c>
      <c r="G25" s="552"/>
    </row>
    <row r="26" spans="1:11" ht="15.75" customHeight="1" thickTop="1" x14ac:dyDescent="0.2">
      <c r="A26" s="2221" t="s">
        <v>678</v>
      </c>
      <c r="B26" s="2216"/>
      <c r="C26" s="728"/>
      <c r="D26" s="728"/>
      <c r="E26" s="728"/>
      <c r="F26" s="729"/>
    </row>
    <row r="27" spans="1:11" ht="13.5" thickBot="1" x14ac:dyDescent="0.25">
      <c r="A27" s="2213" t="s">
        <v>1130</v>
      </c>
      <c r="B27" s="2214"/>
      <c r="C27" s="585"/>
      <c r="D27" s="585"/>
      <c r="E27" s="585"/>
      <c r="F27" s="1777">
        <f>SUM(C27+D27)-E27</f>
        <v>0</v>
      </c>
      <c r="G27" s="552"/>
    </row>
    <row r="28" spans="1:11" ht="7.5" customHeight="1" thickTop="1" x14ac:dyDescent="0.2">
      <c r="A28" s="594"/>
    </row>
    <row r="29" spans="1:11" ht="23.25" customHeight="1" x14ac:dyDescent="0.2">
      <c r="A29" s="2219" t="s">
        <v>603</v>
      </c>
      <c r="B29" s="2220"/>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2" t="s">
        <v>605</v>
      </c>
      <c r="C52" s="2203"/>
      <c r="D52" s="2203"/>
      <c r="E52" s="750" t="s">
        <v>900</v>
      </c>
      <c r="F52" s="2204"/>
      <c r="G52" s="2205"/>
      <c r="H52" s="737"/>
      <c r="I52" s="737"/>
      <c r="J52" s="747"/>
    </row>
    <row r="53" spans="1:11" ht="11.25" customHeight="1" x14ac:dyDescent="0.2">
      <c r="A53" s="751" t="s">
        <v>969</v>
      </c>
      <c r="B53" s="752" t="s">
        <v>1008</v>
      </c>
      <c r="C53" s="747"/>
      <c r="D53" s="738"/>
      <c r="E53" s="750" t="s">
        <v>518</v>
      </c>
      <c r="F53" s="2206"/>
      <c r="G53" s="2207"/>
      <c r="H53" s="737"/>
      <c r="I53" s="737"/>
      <c r="J53" s="747"/>
    </row>
    <row r="54" spans="1:11" ht="11.25" customHeight="1" x14ac:dyDescent="0.2">
      <c r="A54" s="753" t="s">
        <v>970</v>
      </c>
      <c r="B54" s="748" t="s">
        <v>1009</v>
      </c>
      <c r="C54" s="747"/>
      <c r="D54" s="738"/>
      <c r="E54" s="750" t="s">
        <v>519</v>
      </c>
      <c r="F54" s="2206"/>
      <c r="G54" s="220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H8" sqref="H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1" t="s">
        <v>911</v>
      </c>
      <c r="B1" s="2232"/>
      <c r="C1" s="2232"/>
      <c r="D1" s="2232"/>
      <c r="E1" s="2232"/>
      <c r="F1" s="2232"/>
      <c r="G1" s="2233"/>
      <c r="H1" s="1552"/>
      <c r="I1" s="761"/>
      <c r="J1" s="433"/>
    </row>
    <row r="2" spans="1:11" ht="26.25" x14ac:dyDescent="0.2">
      <c r="A2" s="2250" t="s">
        <v>1776</v>
      </c>
      <c r="B2" s="2251"/>
      <c r="C2" s="2251"/>
      <c r="D2" s="2251"/>
      <c r="E2" s="2252"/>
      <c r="F2" s="762" t="s">
        <v>960</v>
      </c>
      <c r="G2" s="763" t="s">
        <v>1773</v>
      </c>
      <c r="H2" s="763" t="s">
        <v>430</v>
      </c>
      <c r="I2" s="763" t="s">
        <v>1220</v>
      </c>
      <c r="J2" s="763" t="s">
        <v>1919</v>
      </c>
      <c r="K2" s="763" t="s">
        <v>140</v>
      </c>
    </row>
    <row r="3" spans="1:11" x14ac:dyDescent="0.2">
      <c r="A3" s="2253" t="s">
        <v>1698</v>
      </c>
      <c r="B3" s="2254"/>
      <c r="C3" s="2254"/>
      <c r="D3" s="2254"/>
      <c r="E3" s="2255"/>
      <c r="F3" s="764"/>
      <c r="G3" s="765"/>
      <c r="H3" s="765"/>
      <c r="I3" s="765"/>
      <c r="J3" s="766"/>
      <c r="K3" s="766"/>
    </row>
    <row r="4" spans="1:11" x14ac:dyDescent="0.2">
      <c r="A4" s="2256" t="s">
        <v>387</v>
      </c>
      <c r="B4" s="2257"/>
      <c r="C4" s="2257"/>
      <c r="D4" s="2257"/>
      <c r="E4" s="2203"/>
      <c r="F4" s="767"/>
      <c r="G4" s="768"/>
      <c r="H4" s="769"/>
      <c r="I4" s="768"/>
      <c r="J4" s="770"/>
      <c r="K4" s="770"/>
    </row>
    <row r="5" spans="1:11" x14ac:dyDescent="0.2">
      <c r="A5" s="2234" t="s">
        <v>1129</v>
      </c>
      <c r="B5" s="2235"/>
      <c r="C5" s="2235"/>
      <c r="D5" s="2235"/>
      <c r="E5" s="2236"/>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4" t="s">
        <v>1920</v>
      </c>
      <c r="B10" s="2235"/>
      <c r="C10" s="2235"/>
      <c r="D10" s="2235"/>
      <c r="E10" s="2237"/>
      <c r="F10" s="784" t="s">
        <v>917</v>
      </c>
      <c r="G10" s="783"/>
      <c r="H10" s="785"/>
      <c r="I10" s="765"/>
      <c r="J10" s="766"/>
      <c r="K10" s="766"/>
    </row>
    <row r="11" spans="1:11" x14ac:dyDescent="0.2">
      <c r="A11" s="2234" t="s">
        <v>162</v>
      </c>
      <c r="B11" s="2235"/>
      <c r="C11" s="2235"/>
      <c r="D11" s="2235"/>
      <c r="E11" s="2236"/>
      <c r="F11" s="771" t="s">
        <v>907</v>
      </c>
      <c r="G11" s="772"/>
      <c r="H11" s="765"/>
      <c r="I11" s="765"/>
      <c r="J11" s="766"/>
      <c r="K11" s="774"/>
    </row>
    <row r="12" spans="1:11" ht="13.5" thickBot="1" x14ac:dyDescent="0.25">
      <c r="A12" s="2261" t="s">
        <v>961</v>
      </c>
      <c r="B12" s="2262"/>
      <c r="C12" s="2262"/>
      <c r="D12" s="2262"/>
      <c r="E12" s="2263"/>
      <c r="F12" s="1779"/>
      <c r="G12" s="1780">
        <f>SUM(G5:G11)</f>
        <v>0</v>
      </c>
      <c r="H12" s="1780">
        <f>SUM(H5:H11)</f>
        <v>0</v>
      </c>
      <c r="I12" s="1780">
        <f>SUM(I5:I11)</f>
        <v>0</v>
      </c>
      <c r="J12" s="1780">
        <f>SUM(J5:J11)</f>
        <v>0</v>
      </c>
      <c r="K12" s="1780">
        <f>SUM(K5:K11)</f>
        <v>0</v>
      </c>
    </row>
    <row r="13" spans="1:11" ht="13.5" thickTop="1" x14ac:dyDescent="0.2">
      <c r="A13" s="2258" t="s">
        <v>388</v>
      </c>
      <c r="B13" s="2259"/>
      <c r="C13" s="2259"/>
      <c r="D13" s="2259"/>
      <c r="E13" s="2260"/>
      <c r="F13" s="786"/>
      <c r="G13" s="787"/>
      <c r="H13" s="788"/>
      <c r="I13" s="789"/>
      <c r="J13" s="789"/>
      <c r="K13" s="789"/>
    </row>
    <row r="14" spans="1:11" x14ac:dyDescent="0.2">
      <c r="A14" s="2241" t="s">
        <v>476</v>
      </c>
      <c r="B14" s="2241"/>
      <c r="C14" s="2241"/>
      <c r="D14" s="2241"/>
      <c r="E14" s="2242"/>
      <c r="F14" s="790" t="s">
        <v>909</v>
      </c>
      <c r="G14" s="783"/>
      <c r="H14" s="765"/>
      <c r="I14" s="772"/>
      <c r="J14" s="774"/>
      <c r="K14" s="766"/>
    </row>
    <row r="15" spans="1:11" x14ac:dyDescent="0.2">
      <c r="A15" s="2235" t="s">
        <v>4</v>
      </c>
      <c r="B15" s="2235"/>
      <c r="C15" s="2235"/>
      <c r="D15" s="2235"/>
      <c r="E15" s="2236"/>
      <c r="F15" s="790" t="s">
        <v>910</v>
      </c>
      <c r="G15" s="772"/>
      <c r="H15" s="765"/>
      <c r="I15" s="765"/>
      <c r="J15" s="766"/>
      <c r="K15" s="766"/>
    </row>
    <row r="16" spans="1:11" x14ac:dyDescent="0.2">
      <c r="A16" s="2235" t="s">
        <v>316</v>
      </c>
      <c r="B16" s="2235"/>
      <c r="C16" s="2235"/>
      <c r="D16" s="2235"/>
      <c r="E16" s="2236"/>
      <c r="F16" s="790" t="s">
        <v>980</v>
      </c>
      <c r="G16" s="773"/>
      <c r="H16" s="768"/>
      <c r="I16" s="768"/>
      <c r="J16" s="770"/>
      <c r="K16" s="770"/>
    </row>
    <row r="17" spans="1:11" x14ac:dyDescent="0.2">
      <c r="A17" s="2266" t="s">
        <v>992</v>
      </c>
      <c r="B17" s="2266"/>
      <c r="C17" s="2266"/>
      <c r="D17" s="2266"/>
      <c r="E17" s="2267"/>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43" t="s">
        <v>1916</v>
      </c>
      <c r="B19" s="2243"/>
      <c r="C19" s="2243"/>
      <c r="D19" s="2243"/>
      <c r="E19" s="2244"/>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64" t="s">
        <v>659</v>
      </c>
      <c r="B21" s="2264"/>
      <c r="C21" s="2264"/>
      <c r="D21" s="2264"/>
      <c r="E21" s="2264"/>
      <c r="F21" s="1781"/>
      <c r="G21" s="793"/>
      <c r="H21" s="797"/>
      <c r="I21" s="797"/>
      <c r="J21" s="1782">
        <f>SUM(J18:J20)</f>
        <v>0</v>
      </c>
      <c r="K21" s="794"/>
    </row>
    <row r="22" spans="1:11" ht="13.5" thickTop="1" x14ac:dyDescent="0.2">
      <c r="A22" s="2235" t="s">
        <v>1922</v>
      </c>
      <c r="B22" s="2235"/>
      <c r="C22" s="2235"/>
      <c r="D22" s="2235"/>
      <c r="E22" s="2236"/>
      <c r="F22" s="790" t="s">
        <v>917</v>
      </c>
      <c r="G22" s="783"/>
      <c r="H22" s="765"/>
      <c r="I22" s="765"/>
      <c r="J22" s="798"/>
      <c r="K22" s="766"/>
    </row>
    <row r="23" spans="1:11" ht="13.5" thickBot="1" x14ac:dyDescent="0.25">
      <c r="A23" s="2265" t="s">
        <v>962</v>
      </c>
      <c r="B23" s="2264"/>
      <c r="C23" s="2264"/>
      <c r="D23" s="2264"/>
      <c r="E23" s="2264"/>
      <c r="F23" s="1783"/>
      <c r="G23" s="1780">
        <f>SUM(G14:G16,G21,G22)</f>
        <v>0</v>
      </c>
      <c r="H23" s="1780">
        <f>SUM(H14:H16,H21,H22)</f>
        <v>0</v>
      </c>
      <c r="I23" s="1780">
        <f>SUM(I14:I16,I21,I22)</f>
        <v>0</v>
      </c>
      <c r="J23" s="1780">
        <f>SUM(J14:J16,J21,J22)</f>
        <v>0</v>
      </c>
      <c r="K23" s="1780">
        <f>SUM(K14:K16,K21,K22)</f>
        <v>0</v>
      </c>
    </row>
    <row r="24" spans="1:11" ht="14.25" thickTop="1" thickBot="1" x14ac:dyDescent="0.25">
      <c r="A24" s="2265" t="s">
        <v>2026</v>
      </c>
      <c r="B24" s="2264"/>
      <c r="C24" s="2264"/>
      <c r="D24" s="2264"/>
      <c r="E24" s="2264"/>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8"/>
      <c r="I31" s="2239"/>
      <c r="J31" s="2239"/>
      <c r="K31" s="2239"/>
    </row>
    <row r="32" spans="1:11" x14ac:dyDescent="0.2">
      <c r="A32" s="810"/>
      <c r="B32" s="237"/>
      <c r="C32" s="237"/>
      <c r="D32" s="237"/>
      <c r="E32" s="806"/>
      <c r="F32" s="812" t="s">
        <v>561</v>
      </c>
      <c r="G32" s="765"/>
      <c r="H32" s="2240"/>
      <c r="I32" s="2239"/>
      <c r="J32" s="2239"/>
      <c r="K32" s="2239"/>
    </row>
    <row r="33" spans="1:11" ht="1.5" customHeight="1" x14ac:dyDescent="0.2">
      <c r="A33" s="813" t="s">
        <v>1231</v>
      </c>
      <c r="B33" s="364"/>
      <c r="C33" s="364"/>
      <c r="D33" s="364"/>
      <c r="E33" s="364"/>
      <c r="F33" s="364"/>
      <c r="G33" s="814"/>
      <c r="H33" s="2240"/>
      <c r="I33" s="2239"/>
      <c r="J33" s="2239"/>
      <c r="K33" s="2239"/>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5" t="s">
        <v>562</v>
      </c>
      <c r="B41" s="2248"/>
      <c r="C41" s="2248"/>
      <c r="D41" s="2248"/>
      <c r="E41" s="2248"/>
      <c r="F41" s="2249"/>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2035</v>
      </c>
      <c r="B1" s="2271"/>
      <c r="C1" s="2272"/>
      <c r="D1" s="827"/>
      <c r="E1" s="828"/>
      <c r="F1" s="828"/>
      <c r="G1" s="829"/>
      <c r="H1" s="830"/>
      <c r="I1" s="831"/>
      <c r="J1" s="2268"/>
      <c r="K1" s="2269"/>
      <c r="L1" s="2269"/>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12677</v>
      </c>
      <c r="D12" s="845"/>
      <c r="E12" s="845"/>
      <c r="F12" s="1782">
        <f>(C12+D12)-E12</f>
        <v>12677</v>
      </c>
      <c r="G12" s="844">
        <v>10</v>
      </c>
      <c r="H12" s="766">
        <v>8463</v>
      </c>
      <c r="I12" s="766">
        <v>1120</v>
      </c>
      <c r="J12" s="766"/>
      <c r="K12" s="1791">
        <f>(H12+I12)-J12</f>
        <v>9583</v>
      </c>
      <c r="L12" s="1791">
        <f>F12-K12</f>
        <v>3094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12677</v>
      </c>
      <c r="D16" s="1782">
        <f>SUM(D3,D5:D6,D8:D10,D12:D15)</f>
        <v>0</v>
      </c>
      <c r="E16" s="1782">
        <f>SUM(E3,E5:E6,E8:E10,E12:E15)</f>
        <v>0</v>
      </c>
      <c r="F16" s="1782">
        <f>SUM(F3,F5:F6,F8:F10,F12:F15)</f>
        <v>12677</v>
      </c>
      <c r="G16" s="844"/>
      <c r="H16" s="1782">
        <f>SUM(H3,H6,H8:H10,H12:H14,)</f>
        <v>8463</v>
      </c>
      <c r="I16" s="1782">
        <f>SUM(I3,I6,I8:I10,I12:I14,)</f>
        <v>1120</v>
      </c>
      <c r="J16" s="1782">
        <f>SUM(J3,J6,J8:J10,J12:J14,)</f>
        <v>0</v>
      </c>
      <c r="K16" s="1782">
        <f>(H16+I16)-J16</f>
        <v>9583</v>
      </c>
      <c r="L16" s="1782">
        <f>F16-K16</f>
        <v>3094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175682</v>
      </c>
      <c r="G17" s="838">
        <v>10</v>
      </c>
      <c r="H17" s="770"/>
      <c r="I17" s="1791">
        <f>F17/G17</f>
        <v>17568.2</v>
      </c>
      <c r="J17" s="770"/>
      <c r="K17" s="796"/>
      <c r="L17" s="796"/>
    </row>
    <row r="18" spans="1:12" ht="14.25" thickTop="1" thickBot="1" x14ac:dyDescent="0.25">
      <c r="A18" s="1789" t="s">
        <v>706</v>
      </c>
      <c r="B18" s="1790"/>
      <c r="C18" s="772"/>
      <c r="D18" s="772"/>
      <c r="E18" s="772"/>
      <c r="F18" s="851"/>
      <c r="G18" s="852"/>
      <c r="H18" s="774"/>
      <c r="I18" s="1782">
        <f>SUM(I16,I17)</f>
        <v>18688.2</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0" activePane="bottomLeft" state="frozen"/>
      <selection activeCell="A47" sqref="A47"/>
      <selection pane="bottomLeft" activeCell="D99" sqref="D9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702983</v>
      </c>
      <c r="G8" s="866"/>
    </row>
    <row r="9" spans="1:7" x14ac:dyDescent="0.2">
      <c r="A9" s="870" t="s">
        <v>480</v>
      </c>
      <c r="B9" s="871" t="s">
        <v>1989</v>
      </c>
      <c r="C9" s="872"/>
      <c r="D9" s="870" t="s">
        <v>522</v>
      </c>
      <c r="E9" s="869"/>
      <c r="F9" s="1935">
        <f>'Expenditures 15-22'!K151</f>
        <v>0</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0</v>
      </c>
      <c r="G11" s="873"/>
    </row>
    <row r="12" spans="1:7" x14ac:dyDescent="0.2">
      <c r="A12" s="870" t="s">
        <v>482</v>
      </c>
      <c r="B12" s="871" t="s">
        <v>1992</v>
      </c>
      <c r="C12" s="872"/>
      <c r="D12" s="870" t="s">
        <v>522</v>
      </c>
      <c r="E12" s="869"/>
      <c r="F12" s="1935">
        <f>'Expenditures 15-22'!K295</f>
        <v>0</v>
      </c>
      <c r="G12" s="873"/>
    </row>
    <row r="13" spans="1:7" x14ac:dyDescent="0.2">
      <c r="A13" s="870" t="s">
        <v>108</v>
      </c>
      <c r="B13" s="871" t="s">
        <v>1993</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702983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121043</v>
      </c>
      <c r="G53" s="866"/>
    </row>
    <row r="54" spans="1:7" x14ac:dyDescent="0.2">
      <c r="A54" s="870" t="s">
        <v>479</v>
      </c>
      <c r="B54" s="870" t="s">
        <v>1552</v>
      </c>
      <c r="C54" s="890" t="s">
        <v>1039</v>
      </c>
      <c r="D54" s="886" t="s">
        <v>1157</v>
      </c>
      <c r="E54" s="869"/>
      <c r="F54" s="1939">
        <f>'Expenditures 15-22'!G114</f>
        <v>0</v>
      </c>
      <c r="G54" s="866"/>
    </row>
    <row r="55" spans="1:7" x14ac:dyDescent="0.2">
      <c r="A55" s="870" t="s">
        <v>479</v>
      </c>
      <c r="B55" s="870" t="s">
        <v>1553</v>
      </c>
      <c r="C55" s="890" t="s">
        <v>1039</v>
      </c>
      <c r="D55" s="886" t="s">
        <v>309</v>
      </c>
      <c r="E55" s="869"/>
      <c r="F55" s="1939">
        <f>'Expenditures 15-22'!I114</f>
        <v>175682</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0</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0</v>
      </c>
      <c r="G64" s="866"/>
    </row>
    <row r="65" spans="1:8" x14ac:dyDescent="0.2">
      <c r="A65" s="870" t="s">
        <v>481</v>
      </c>
      <c r="B65" s="870" t="s">
        <v>2002</v>
      </c>
      <c r="C65" s="887" t="s">
        <v>1039</v>
      </c>
      <c r="D65" s="886" t="s">
        <v>1157</v>
      </c>
      <c r="E65" s="869"/>
      <c r="F65" s="1939">
        <f>'Expenditures 15-22'!G210</f>
        <v>0</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296725</v>
      </c>
      <c r="G76" s="866"/>
    </row>
    <row r="77" spans="1:8" s="894" customFormat="1" ht="12" customHeight="1" thickTop="1" thickBot="1" x14ac:dyDescent="0.25">
      <c r="A77" s="1801"/>
      <c r="B77" s="1798"/>
      <c r="C77" s="1794"/>
      <c r="D77" s="1799" t="s">
        <v>2012</v>
      </c>
      <c r="E77" s="1796"/>
      <c r="F77" s="1802">
        <f>(F14-F76)</f>
        <v>406258</v>
      </c>
      <c r="G77" s="870"/>
    </row>
    <row r="78" spans="1:8" s="894" customFormat="1" ht="12" customHeight="1" thickTop="1" x14ac:dyDescent="0.2">
      <c r="A78" s="1803"/>
      <c r="B78" s="1798"/>
      <c r="C78" s="1794"/>
      <c r="D78" s="1799" t="s">
        <v>2059</v>
      </c>
      <c r="E78" s="1796"/>
      <c r="F78" s="899">
        <v>0</v>
      </c>
      <c r="G78" s="900"/>
      <c r="H78" s="870"/>
    </row>
    <row r="79" spans="1:8" s="894" customFormat="1" ht="12" customHeight="1" thickBot="1" x14ac:dyDescent="0.25">
      <c r="A79" s="1804"/>
      <c r="B79" s="1798"/>
      <c r="C79" s="1794"/>
      <c r="D79" s="1799" t="s">
        <v>2013</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42244</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691162</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11272</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142543</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887221</v>
      </c>
    </row>
    <row r="179" spans="1:7" ht="12" customHeight="1" x14ac:dyDescent="0.2">
      <c r="A179" s="1792"/>
      <c r="B179" s="1806"/>
      <c r="C179" s="1807"/>
      <c r="D179" s="1808" t="s">
        <v>2015</v>
      </c>
      <c r="E179" s="1809"/>
      <c r="F179" s="1811">
        <f>'PCTC-OEPP 27-28'!F77-F178</f>
        <v>-480963</v>
      </c>
    </row>
    <row r="180" spans="1:7" ht="12" customHeight="1" x14ac:dyDescent="0.2">
      <c r="A180" s="1792"/>
      <c r="B180" s="1806"/>
      <c r="C180" s="1807"/>
      <c r="D180" s="1808" t="s">
        <v>1924</v>
      </c>
      <c r="E180" s="1809"/>
      <c r="F180" s="1811">
        <f>'Cap Outlay Deprec 26'!I18</f>
        <v>18688.2</v>
      </c>
    </row>
    <row r="181" spans="1:7" ht="12" customHeight="1" x14ac:dyDescent="0.2">
      <c r="A181" s="1792"/>
      <c r="B181" s="1806"/>
      <c r="C181" s="1807"/>
      <c r="D181" s="1808" t="s">
        <v>2016</v>
      </c>
      <c r="E181" s="1809"/>
      <c r="F181" s="1811">
        <f>F179+F180</f>
        <v>-462274.8</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2017</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2075</v>
      </c>
      <c r="B7" s="2294"/>
      <c r="C7" s="2294"/>
      <c r="D7" s="2294"/>
      <c r="E7" s="2294"/>
      <c r="F7" s="2294"/>
      <c r="G7" s="2295"/>
    </row>
    <row r="8" spans="1:7" ht="15.75" customHeight="1" x14ac:dyDescent="0.25">
      <c r="A8" s="2296" t="s">
        <v>2024</v>
      </c>
      <c r="B8" s="2297"/>
      <c r="C8" s="2297"/>
      <c r="D8" s="2297"/>
      <c r="E8" s="2297"/>
      <c r="F8" s="2297"/>
      <c r="G8" s="2298"/>
    </row>
    <row r="9" spans="1:7" ht="35.25" customHeight="1" x14ac:dyDescent="0.25">
      <c r="A9" s="2293" t="s">
        <v>2023</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1941</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7" t="s">
        <v>2112</v>
      </c>
      <c r="B17" s="1868"/>
      <c r="C17" s="1678"/>
      <c r="D17" s="1867"/>
      <c r="E17" s="1562">
        <f t="shared" ref="E17:E141" si="1">IF(D17&lt;=25000,D17,IF(D17&gt;25000,25000,0))</f>
        <v>0</v>
      </c>
      <c r="F17" s="1815">
        <f t="shared" si="0"/>
        <v>0</v>
      </c>
      <c r="G17" s="1816">
        <f>IF(F17=0,0,D17-F17)</f>
        <v>0</v>
      </c>
      <c r="H17" s="1669"/>
    </row>
    <row r="18" spans="1:8"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0</v>
      </c>
      <c r="E141" s="1563">
        <f t="shared" si="1"/>
        <v>0</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C19" sqref="C19:C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4" t="s">
        <v>1945</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226393</v>
      </c>
      <c r="F19" s="1822"/>
      <c r="G19" s="1824">
        <f>'Expenditures 15-22'!K33-SUM('Expenditures 15-22'!G33,'Expenditures 15-22'!I33)+'Expenditures 15-22'!D229</f>
        <v>226393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14954</v>
      </c>
      <c r="F21" s="1825"/>
      <c r="G21" s="1828">
        <f>'Expenditures 15-22'!K42-SUM('Expenditures 15-22'!G42,'Expenditures 15-22'!I42)+'Expenditures 15-22'!K120-SUM('Expenditures 15-22'!G120,'Expenditures 15-22'!I120)+'Expenditures 15-22'!K180-SUM('Expenditures 15-22'!G180,'Expenditures 15-22'!I180)+'Expenditures 15-22'!D238</f>
        <v>14954</v>
      </c>
      <c r="H21" s="988"/>
      <c r="I21" s="162"/>
    </row>
    <row r="22" spans="1:9" s="669" customFormat="1" ht="12" customHeight="1" x14ac:dyDescent="0.2">
      <c r="A22" s="995" t="s">
        <v>585</v>
      </c>
      <c r="B22" s="996"/>
      <c r="C22" s="994">
        <v>2200</v>
      </c>
      <c r="D22" s="1825"/>
      <c r="E22" s="1827">
        <f>'Expenditures 15-22'!K47-SUM('Expenditures 15-22'!G47,'Expenditures 15-22'!I47)+'Expenditures 15-22'!D243</f>
        <v>32682</v>
      </c>
      <c r="F22" s="1825"/>
      <c r="G22" s="1828">
        <f>'Expenditures 15-22'!K47-SUM('Expenditures 15-22'!G47,'Expenditures 15-22'!I47)+'Expenditures 15-22'!D243</f>
        <v>32682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132229</v>
      </c>
      <c r="F23" s="1825"/>
      <c r="G23" s="1827">
        <f>'Expenditures 15-22'!K53-SUM('Expenditures 15-22'!G53,'Expenditures 15-22'!I53)+'Expenditures 15-22'!D257+'Expenditures 15-22'!K330-SUM('Expenditures 15-22'!G330,'Expenditures 15-22'!I330)</f>
        <v>132229</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406258</v>
      </c>
      <c r="F41" s="1829">
        <f>SUM(F19:F39)</f>
        <v>0</v>
      </c>
      <c r="G41" s="1829">
        <f>SUM(G19:G40)</f>
        <v>406258</v>
      </c>
    </row>
    <row r="42" spans="1:7" x14ac:dyDescent="0.2">
      <c r="A42" s="988"/>
      <c r="B42" s="162"/>
      <c r="C42" s="1002"/>
      <c r="D42" s="2302" t="s">
        <v>543</v>
      </c>
      <c r="E42" s="2303"/>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406258</v>
      </c>
      <c r="F44" s="1830" t="s">
        <v>494</v>
      </c>
      <c r="G44" s="1831">
        <f>G41</f>
        <v>406258</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1" t="s">
        <v>1446</v>
      </c>
      <c r="B1" s="2321"/>
      <c r="C1" s="2321"/>
      <c r="D1" s="2321"/>
      <c r="E1" s="2321"/>
      <c r="F1" s="2321"/>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2" t="s">
        <v>1627</v>
      </c>
      <c r="B5" s="2323"/>
      <c r="C5" s="2324"/>
      <c r="D5" s="2324"/>
      <c r="E5" s="2324"/>
      <c r="F5" s="2324"/>
    </row>
    <row r="6" spans="1:10" ht="12" customHeight="1" x14ac:dyDescent="0.25">
      <c r="A6" s="1875"/>
      <c r="B6" s="1876"/>
      <c r="C6" s="2325" t="str">
        <f>COVER!A17</f>
        <v>Western Area Career System</v>
      </c>
      <c r="D6" s="2325"/>
      <c r="E6" s="2325"/>
      <c r="F6" s="1877"/>
    </row>
    <row r="7" spans="1:10" ht="11.25" customHeight="1" thickBot="1" x14ac:dyDescent="0.3">
      <c r="A7" s="1875"/>
      <c r="B7" s="1876"/>
      <c r="C7" s="2326">
        <f>COVER!A13</f>
        <v>26000000046</v>
      </c>
      <c r="D7" s="2326"/>
      <c r="E7" s="2326"/>
      <c r="F7" s="1877"/>
    </row>
    <row r="8" spans="1:10" ht="25.5" customHeight="1" thickBot="1" x14ac:dyDescent="0.25">
      <c r="A8" s="1918" t="s">
        <v>2025</v>
      </c>
      <c r="B8" s="1878" t="s">
        <v>2077</v>
      </c>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0</v>
      </c>
      <c r="I34" s="1903">
        <f>SUM(I11:I32)</f>
        <v>0</v>
      </c>
      <c r="J34" s="1903">
        <f>SUM(J11:J32)</f>
        <v>0</v>
      </c>
      <c r="K34" s="1903">
        <f>SUM(H34:J34)</f>
        <v>0</v>
      </c>
    </row>
    <row r="35" spans="1:11" ht="12" customHeight="1" x14ac:dyDescent="0.2">
      <c r="A35" s="1896" t="s">
        <v>1459</v>
      </c>
      <c r="B35" s="1897"/>
      <c r="C35" s="2327"/>
      <c r="D35" s="2327"/>
      <c r="E35" s="2327"/>
      <c r="F35" s="2328"/>
    </row>
    <row r="36" spans="1:11" ht="12" customHeight="1" x14ac:dyDescent="0.2">
      <c r="A36" s="2310"/>
      <c r="B36" s="2311"/>
      <c r="C36" s="2311"/>
      <c r="D36" s="2311"/>
      <c r="E36" s="2311"/>
      <c r="F36" s="2312"/>
    </row>
    <row r="37" spans="1:11" ht="12" customHeight="1" x14ac:dyDescent="0.2">
      <c r="A37" s="2310"/>
      <c r="B37" s="2311"/>
      <c r="C37" s="2311"/>
      <c r="D37" s="2311"/>
      <c r="E37" s="2311"/>
      <c r="F37" s="2312"/>
    </row>
    <row r="38" spans="1:11" ht="12" customHeight="1" x14ac:dyDescent="0.2">
      <c r="A38" s="2313"/>
      <c r="B38" s="2314"/>
      <c r="C38" s="2314"/>
      <c r="D38" s="2314"/>
      <c r="E38" s="2314"/>
      <c r="F38" s="2315"/>
    </row>
    <row r="39" spans="1:11" ht="4.5" hidden="1" customHeight="1" x14ac:dyDescent="0.2">
      <c r="A39" s="1898"/>
      <c r="B39" s="1898"/>
      <c r="C39" s="1898"/>
      <c r="D39" s="1898"/>
      <c r="E39" s="1898"/>
      <c r="F39" s="1898"/>
    </row>
    <row r="40" spans="1:11" s="1895" customFormat="1" ht="12" customHeight="1" x14ac:dyDescent="0.25">
      <c r="A40" s="1899" t="s">
        <v>1458</v>
      </c>
      <c r="B40" s="1900"/>
      <c r="C40" s="2316"/>
      <c r="D40" s="2316"/>
      <c r="E40" s="2316"/>
      <c r="F40" s="2317"/>
      <c r="H40" s="1904"/>
      <c r="I40" s="1904"/>
      <c r="J40" s="1904"/>
      <c r="K40" s="1904"/>
    </row>
    <row r="41" spans="1:11" s="1895" customFormat="1" ht="12" customHeight="1" x14ac:dyDescent="0.25">
      <c r="A41" s="2318"/>
      <c r="B41" s="2319"/>
      <c r="C41" s="2319"/>
      <c r="D41" s="2319"/>
      <c r="E41" s="2319"/>
      <c r="F41" s="2320"/>
      <c r="H41" s="1904"/>
      <c r="I41" s="1904"/>
      <c r="J41" s="1904"/>
      <c r="K41" s="1904"/>
    </row>
    <row r="42" spans="1:11" s="1895" customFormat="1" ht="12" customHeight="1" x14ac:dyDescent="0.25">
      <c r="A42" s="2318"/>
      <c r="B42" s="2319"/>
      <c r="C42" s="2319"/>
      <c r="D42" s="2319"/>
      <c r="E42" s="2319"/>
      <c r="F42" s="2320"/>
      <c r="H42" s="1904"/>
      <c r="I42" s="1904"/>
      <c r="J42" s="1904"/>
      <c r="K42" s="1904"/>
    </row>
    <row r="43" spans="1:11" s="1895" customFormat="1" ht="15" x14ac:dyDescent="0.25">
      <c r="A43" s="2307"/>
      <c r="B43" s="2308"/>
      <c r="C43" s="2308"/>
      <c r="D43" s="2308"/>
      <c r="E43" s="2308"/>
      <c r="F43" s="2309"/>
      <c r="H43" s="1904"/>
      <c r="I43" s="1904"/>
      <c r="J43" s="1904"/>
      <c r="K43" s="1904"/>
    </row>
    <row r="44" spans="1:11" s="1895" customFormat="1" ht="12" hidden="1" customHeight="1" x14ac:dyDescent="0.25">
      <c r="A44" s="2307"/>
      <c r="B44" s="2308"/>
      <c r="C44" s="2308"/>
      <c r="D44" s="2308"/>
      <c r="E44" s="2308"/>
      <c r="F44" s="2309"/>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4" t="str">
        <f>COVER!A17</f>
        <v>Western Area Career System</v>
      </c>
      <c r="J6" s="2335"/>
      <c r="Q6" s="1686"/>
    </row>
    <row r="7" spans="1:17" x14ac:dyDescent="0.2">
      <c r="A7" s="2336" t="s">
        <v>924</v>
      </c>
      <c r="B7" s="2337"/>
      <c r="C7" s="2337"/>
      <c r="D7" s="2337"/>
      <c r="E7" s="2338"/>
      <c r="F7" s="1018"/>
      <c r="G7" s="1010"/>
      <c r="H7" s="1017" t="s">
        <v>390</v>
      </c>
      <c r="I7" s="2339">
        <f>COVER!A13</f>
        <v>26000000046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136168</v>
      </c>
      <c r="F12" s="1040"/>
      <c r="G12" s="1834">
        <f t="shared" ref="G12:G18" si="0">SUM(E12:F12)</f>
        <v>136168</v>
      </c>
      <c r="H12" s="1041">
        <v>108461</v>
      </c>
      <c r="I12" s="1040"/>
      <c r="J12" s="1834">
        <f t="shared" ref="J12:J18" si="1">SUM(H12:I12)</f>
        <v>108461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3" t="s">
        <v>7</v>
      </c>
      <c r="C18" s="2344"/>
      <c r="D18" s="2345"/>
      <c r="E18" s="1044">
        <v>1479</v>
      </c>
      <c r="F18" s="1044"/>
      <c r="G18" s="1835">
        <f t="shared" si="0"/>
        <v>1479</v>
      </c>
      <c r="H18" s="1041"/>
      <c r="I18" s="1041"/>
      <c r="J18" s="1834">
        <f t="shared" si="1"/>
        <v>0</v>
      </c>
    </row>
    <row r="19" spans="1:10" ht="12.75" customHeight="1" thickBot="1" x14ac:dyDescent="0.25">
      <c r="A19" s="1036">
        <v>8</v>
      </c>
      <c r="B19" s="1045" t="s">
        <v>1223</v>
      </c>
      <c r="D19" s="1046"/>
      <c r="E19" s="1836">
        <f t="shared" ref="E19:J19" si="2">SUM(E12:E17)-E18</f>
        <v>134689</v>
      </c>
      <c r="F19" s="1836">
        <f t="shared" si="2"/>
        <v>0</v>
      </c>
      <c r="G19" s="1836">
        <f t="shared" si="2"/>
        <v>134689</v>
      </c>
      <c r="H19" s="1836">
        <f t="shared" si="2"/>
        <v>108461</v>
      </c>
      <c r="I19" s="1836">
        <f t="shared" si="2"/>
        <v>0</v>
      </c>
      <c r="J19" s="1836">
        <f t="shared" si="2"/>
        <v>108461</v>
      </c>
    </row>
    <row r="20" spans="1:10" ht="13.5" thickTop="1" x14ac:dyDescent="0.2">
      <c r="A20" s="1036">
        <v>9</v>
      </c>
      <c r="B20" s="2346" t="s">
        <v>1703</v>
      </c>
      <c r="C20" s="2346"/>
      <c r="D20" s="2347"/>
      <c r="E20" s="1047"/>
      <c r="F20" s="1047"/>
      <c r="G20" s="1047"/>
      <c r="H20" s="1047"/>
      <c r="I20" s="1047"/>
      <c r="J20" s="1837">
        <f>IF(AND(G19&gt;0,J19&gt;0),(((J19-G19)/G19)),"Enter Budget Data")</f>
        <v>-0.19473008189235944</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1944</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C65"/>
  <sheetViews>
    <sheetView showGridLines="0" zoomScale="110" zoomScaleNormal="110" workbookViewId="0">
      <selection activeCell="B11" sqref="B11:B12"/>
    </sheetView>
  </sheetViews>
  <sheetFormatPr defaultRowHeight="12.75" x14ac:dyDescent="0.2"/>
  <cols>
    <col min="1" max="1" width="3" style="329" customWidth="1"/>
    <col min="2" max="2" width="37.28515625" style="329" customWidth="1"/>
    <col min="3" max="3" width="13.140625" style="329" customWidth="1"/>
    <col min="4" max="16384" width="9.140625" style="329"/>
  </cols>
  <sheetData>
    <row r="2" spans="1:3" x14ac:dyDescent="0.2">
      <c r="A2" s="389" t="s">
        <v>276</v>
      </c>
    </row>
    <row r="3" spans="1:3" x14ac:dyDescent="0.2">
      <c r="A3" s="329" t="s">
        <v>277</v>
      </c>
    </row>
    <row r="5" spans="1:3" x14ac:dyDescent="0.2">
      <c r="A5" s="1069">
        <v>1</v>
      </c>
      <c r="B5" s="329" t="s">
        <v>2098</v>
      </c>
    </row>
    <row r="6" spans="1:3" x14ac:dyDescent="0.2">
      <c r="B6" s="329" t="s">
        <v>2099</v>
      </c>
      <c r="C6" s="1956">
        <v>142543</v>
      </c>
    </row>
    <row r="8" spans="1:3" x14ac:dyDescent="0.2">
      <c r="A8" s="1069">
        <v>2</v>
      </c>
      <c r="B8" s="329" t="s">
        <v>2100</v>
      </c>
    </row>
    <row r="9" spans="1:3" x14ac:dyDescent="0.2">
      <c r="A9" s="1069"/>
      <c r="B9" s="329" t="s">
        <v>2101</v>
      </c>
      <c r="C9" s="1956">
        <v>11272</v>
      </c>
    </row>
    <row r="10" spans="1:3" x14ac:dyDescent="0.2">
      <c r="A10" s="1069"/>
    </row>
    <row r="11" spans="1:3" x14ac:dyDescent="0.2">
      <c r="A11" s="1070"/>
    </row>
    <row r="12" spans="1:3" x14ac:dyDescent="0.2">
      <c r="A12" s="1070"/>
    </row>
    <row r="13" spans="1:3" x14ac:dyDescent="0.2">
      <c r="A13" s="1070"/>
    </row>
    <row r="14" spans="1:3" x14ac:dyDescent="0.2">
      <c r="A14" s="1070"/>
    </row>
    <row r="15" spans="1:3" x14ac:dyDescent="0.2">
      <c r="A15" s="1070"/>
    </row>
    <row r="16" spans="1:3"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Western Area Career System</v>
      </c>
    </row>
    <row r="65" spans="2:2" x14ac:dyDescent="0.2">
      <c r="B65" s="1071">
        <f>COVER!A13</f>
        <v>26000000046</v>
      </c>
    </row>
  </sheetData>
  <phoneticPr fontId="13"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171450</xdr:colOff>
                <xdr:row>3</xdr:row>
                <xdr:rowOff>47625</xdr:rowOff>
              </from>
              <to>
                <xdr:col>1</xdr:col>
                <xdr:colOff>1085850</xdr:colOff>
                <xdr:row>7</xdr:row>
                <xdr:rowOff>85725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9" sqref="D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2056</v>
      </c>
      <c r="B4" s="2374"/>
      <c r="C4" s="2374"/>
      <c r="D4" s="2374"/>
      <c r="E4" s="2374"/>
      <c r="F4" s="2375"/>
      <c r="G4" s="1075"/>
      <c r="H4" s="1075"/>
    </row>
    <row r="5" spans="1:8" ht="14.25" customHeight="1" x14ac:dyDescent="0.2">
      <c r="A5" s="2376" t="s">
        <v>2057</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887355</v>
      </c>
      <c r="C8" s="1838">
        <f>'Acct Summary 7-8'!D8</f>
        <v>0</v>
      </c>
      <c r="D8" s="1838">
        <f>'Acct Summary 7-8'!F8</f>
        <v>0</v>
      </c>
      <c r="E8" s="1838">
        <f>'Acct Summary 7-8'!I8</f>
        <v>0</v>
      </c>
      <c r="F8" s="1838">
        <f>SUM(B8:E8)</f>
        <v>887355</v>
      </c>
    </row>
    <row r="9" spans="1:8" s="1080" customFormat="1" ht="14.25" customHeight="1" thickBot="1" x14ac:dyDescent="0.25">
      <c r="A9" s="1079" t="s">
        <v>1436</v>
      </c>
      <c r="B9" s="1839">
        <f>'Acct Summary 7-8'!C17</f>
        <v>702983</v>
      </c>
      <c r="C9" s="1839">
        <f>'Acct Summary 7-8'!D17</f>
        <v>0</v>
      </c>
      <c r="D9" s="1839">
        <f>'Acct Summary 7-8'!F17</f>
        <v>0</v>
      </c>
      <c r="E9" s="1838"/>
      <c r="F9" s="1838">
        <f>SUM(B9:E9)</f>
        <v>702983</v>
      </c>
    </row>
    <row r="10" spans="1:8" s="1080" customFormat="1" ht="14.25" thickTop="1" thickBot="1" x14ac:dyDescent="0.25">
      <c r="A10" s="1081" t="s">
        <v>1437</v>
      </c>
      <c r="B10" s="1840">
        <f>(B8-B9)</f>
        <v>184372</v>
      </c>
      <c r="C10" s="1840">
        <f>(C8-C9)</f>
        <v>0</v>
      </c>
      <c r="D10" s="1840">
        <f>(D8-D9)</f>
        <v>0</v>
      </c>
      <c r="E10" s="1839">
        <f>(E8-E9)</f>
        <v>0</v>
      </c>
      <c r="F10" s="1841">
        <f>SUM(F8-F9)</f>
        <v>184372</v>
      </c>
    </row>
    <row r="11" spans="1:8" s="1080" customFormat="1" ht="14.25" thickTop="1" thickBot="1" x14ac:dyDescent="0.25">
      <c r="A11" s="1082" t="s">
        <v>1785</v>
      </c>
      <c r="B11" s="1842">
        <f>'Acct Summary 7-8'!C81</f>
        <v>585588</v>
      </c>
      <c r="C11" s="1842">
        <f>'Acct Summary 7-8'!D81</f>
        <v>0</v>
      </c>
      <c r="D11" s="1842">
        <f>'Acct Summary 7-8'!F81</f>
        <v>0</v>
      </c>
      <c r="E11" s="1842">
        <f>'Acct Summary 7-8'!I81</f>
        <v>0</v>
      </c>
      <c r="F11" s="1843">
        <f>SUM(B11:E11)</f>
        <v>585588</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PLEASE ENTER CONTRACTS PAID IN CURRENT YEAR.</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26000000046</v>
      </c>
    </row>
    <row r="3" spans="1:2" x14ac:dyDescent="0.2">
      <c r="A3" t="s">
        <v>1013</v>
      </c>
      <c r="B3" s="138" t="str">
        <f>COVER!A15</f>
        <v>McDonough, Hancock</v>
      </c>
    </row>
    <row r="4" spans="1:2" x14ac:dyDescent="0.2">
      <c r="A4" t="s">
        <v>1064</v>
      </c>
      <c r="B4" s="138" t="str">
        <f>COVER!A17</f>
        <v>Western Area Career System</v>
      </c>
    </row>
    <row r="5" spans="1:2" x14ac:dyDescent="0.2">
      <c r="A5" t="s">
        <v>728</v>
      </c>
      <c r="B5" s="138" t="str">
        <f>COVER!A38</f>
        <v>Dave Messersmith</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066-005055</v>
      </c>
    </row>
    <row r="16" spans="1:2" x14ac:dyDescent="0.2">
      <c r="A16" t="s">
        <v>442</v>
      </c>
      <c r="B16" s="138" t="str">
        <f>COVER!T13</f>
        <v>Ginoli &amp; Company Ltd</v>
      </c>
    </row>
    <row r="17" spans="1:2" x14ac:dyDescent="0.2">
      <c r="A17" t="s">
        <v>939</v>
      </c>
      <c r="B17" s="138" t="str">
        <f>COVER!T15</f>
        <v>MICHAEL P REMMELE</v>
      </c>
    </row>
    <row r="18" spans="1:2" x14ac:dyDescent="0.2">
      <c r="A18" t="s">
        <v>1212</v>
      </c>
      <c r="B18" s="138" t="str">
        <f>COVER!T17</f>
        <v>7625 N. University Street, Suite A</v>
      </c>
    </row>
    <row r="19" spans="1:2" x14ac:dyDescent="0.2">
      <c r="A19" t="s">
        <v>941</v>
      </c>
      <c r="B19" s="138" t="str">
        <f>COVER!T25</f>
        <v>mremmele@ginolicpa.com</v>
      </c>
    </row>
    <row r="20" spans="1:2" x14ac:dyDescent="0.2">
      <c r="A20" t="s">
        <v>942</v>
      </c>
      <c r="B20" s="138" t="str">
        <f>COVER!T19</f>
        <v>Peoria</v>
      </c>
    </row>
    <row r="21" spans="1:2" x14ac:dyDescent="0.2">
      <c r="A21" t="s">
        <v>500</v>
      </c>
      <c r="B21" s="138" t="str">
        <f>COVER!X19</f>
        <v>IL</v>
      </c>
    </row>
    <row r="22" spans="1:2" x14ac:dyDescent="0.2">
      <c r="A22" t="s">
        <v>943</v>
      </c>
      <c r="B22" s="138" t="str">
        <f>COVER!Z19</f>
        <v>61614-8303</v>
      </c>
    </row>
    <row r="23" spans="1:2" x14ac:dyDescent="0.2">
      <c r="A23" t="s">
        <v>1214</v>
      </c>
      <c r="B23" s="138" t="str">
        <f>COVER!T21</f>
        <v>309-671-2350</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585588</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585588</v>
      </c>
      <c r="D92" s="2" t="str">
        <f t="shared" si="0"/>
        <v>Error?</v>
      </c>
    </row>
    <row r="93" spans="1:4" x14ac:dyDescent="0.2">
      <c r="A93" s="5">
        <v>32</v>
      </c>
      <c r="B93" s="138">
        <f>'Assets-Liab 5-6'!C41</f>
        <v>585588</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12677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12677</v>
      </c>
      <c r="C279" s="2" t="s">
        <v>594</v>
      </c>
      <c r="D279" s="2" t="str">
        <f t="shared" si="3"/>
        <v>Error?</v>
      </c>
    </row>
    <row r="280" spans="1:4" x14ac:dyDescent="0.2">
      <c r="A280" s="5">
        <v>219</v>
      </c>
      <c r="B280" s="138">
        <f>'Assets-Liab 5-6'!M40</f>
        <v>12677</v>
      </c>
      <c r="D280" s="2" t="str">
        <f t="shared" si="3"/>
        <v>Error?</v>
      </c>
    </row>
    <row r="281" spans="1:4" x14ac:dyDescent="0.2">
      <c r="A281" s="5">
        <v>220</v>
      </c>
      <c r="B281" s="138">
        <f>'Assets-Liab 5-6'!M41</f>
        <v>12677</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1540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1540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91525</v>
      </c>
      <c r="D733" s="2" t="str">
        <f t="shared" si="10"/>
        <v>Error?</v>
      </c>
    </row>
    <row r="734" spans="1:4" x14ac:dyDescent="0.2">
      <c r="A734" s="5">
        <v>673</v>
      </c>
      <c r="B734" s="138">
        <f>'Expenditures 15-22'!C53</f>
        <v>91525</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93065</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93065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18</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118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20931</v>
      </c>
      <c r="D791" s="2" t="str">
        <f t="shared" si="11"/>
        <v>Error?</v>
      </c>
    </row>
    <row r="792" spans="1:4" x14ac:dyDescent="0.2">
      <c r="A792" s="5">
        <v>731</v>
      </c>
      <c r="B792" s="138">
        <f>'Expenditures 15-22'!D53</f>
        <v>20931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21049</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21067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10274</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10274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14398</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14398</v>
      </c>
      <c r="C843" s="2" t="s">
        <v>594</v>
      </c>
      <c r="D843" s="2" t="str">
        <f t="shared" si="12"/>
        <v>Error?</v>
      </c>
    </row>
    <row r="844" spans="1:4" x14ac:dyDescent="0.2">
      <c r="A844" s="5">
        <v>783</v>
      </c>
      <c r="B844" s="138">
        <f>'Expenditures 15-22'!E44</f>
        <v>29121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29121</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17132</v>
      </c>
      <c r="D849" s="2" t="str">
        <f t="shared" si="12"/>
        <v>Error?</v>
      </c>
    </row>
    <row r="850" spans="1:4" x14ac:dyDescent="0.2">
      <c r="A850" s="5">
        <v>789</v>
      </c>
      <c r="B850" s="138">
        <f>'Expenditures 15-22'!E53</f>
        <v>17132</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60651</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191968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216101</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216101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556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556</v>
      </c>
      <c r="C901" s="2" t="s">
        <v>594</v>
      </c>
      <c r="D901" s="2" t="str">
        <f t="shared" si="13"/>
        <v>Error?</v>
      </c>
    </row>
    <row r="902" spans="1:4" x14ac:dyDescent="0.2">
      <c r="A902" s="5">
        <v>841</v>
      </c>
      <c r="B902" s="138">
        <f>'Expenditures 15-22'!F44</f>
        <v>1903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1903</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263</v>
      </c>
      <c r="D907" s="2" t="str">
        <f t="shared" si="13"/>
        <v>Error?</v>
      </c>
    </row>
    <row r="908" spans="1:4" x14ac:dyDescent="0.2">
      <c r="A908" s="5">
        <v>847</v>
      </c>
      <c r="B908" s="138">
        <f>'Expenditures 15-22'!F53</f>
        <v>263</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2722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218823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2378</v>
      </c>
      <c r="D1023" s="2" t="str">
        <f t="shared" ref="D1023:D1086" si="15">IF(ISBLANK(B1023),"OK",IF(A1023-B1023=0,"OK","Error?"))</f>
        <v>Error?</v>
      </c>
    </row>
    <row r="1024" spans="1:4" x14ac:dyDescent="0.2">
      <c r="A1024" s="5">
        <v>963</v>
      </c>
      <c r="B1024" s="138">
        <f>'Expenditures 15-22'!H53</f>
        <v>2378</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2378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2378</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398136</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398136</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14954</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14954</v>
      </c>
      <c r="C1115" s="2" t="s">
        <v>594</v>
      </c>
      <c r="D1115" s="2" t="str">
        <f t="shared" si="16"/>
        <v>Error?</v>
      </c>
    </row>
    <row r="1116" spans="1:4" x14ac:dyDescent="0.2">
      <c r="A1116" s="5">
        <v>1055</v>
      </c>
      <c r="B1116" s="138">
        <f>'Expenditures 15-22'!K44</f>
        <v>32682</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32682</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136168</v>
      </c>
      <c r="C1121" s="2" t="s">
        <v>594</v>
      </c>
      <c r="D1121" s="2" t="str">
        <f t="shared" si="16"/>
        <v>Error?</v>
      </c>
    </row>
    <row r="1122" spans="1:4" x14ac:dyDescent="0.2">
      <c r="A1122" s="5">
        <v>1061</v>
      </c>
      <c r="B1122" s="138">
        <f>'Expenditures 15-22'!K53</f>
        <v>136168</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183804</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121043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702983</v>
      </c>
      <c r="C1152" s="2" t="s">
        <v>594</v>
      </c>
      <c r="D1152" s="2" t="str">
        <f t="shared" si="17"/>
        <v>Error?</v>
      </c>
    </row>
    <row r="1153" spans="1:4" x14ac:dyDescent="0.2">
      <c r="A1153" s="5">
        <v>1092</v>
      </c>
      <c r="B1153" s="138">
        <f>'Expenditures 15-22'!K115</f>
        <v>184372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401216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585588</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12677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12677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12677</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12677</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8463</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8463</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1120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1120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9583</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9583</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3094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3094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121043</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42378</v>
      </c>
      <c r="C2551" s="2" t="s">
        <v>594</v>
      </c>
      <c r="D2551" s="2" t="str">
        <f t="shared" si="38"/>
        <v>Error?</v>
      </c>
    </row>
    <row r="2552" spans="1:4" x14ac:dyDescent="0.2">
      <c r="A2552" s="10">
        <v>2491</v>
      </c>
      <c r="D2552" s="2" t="str">
        <f t="shared" si="38"/>
        <v>OK</v>
      </c>
    </row>
    <row r="2553" spans="1:4" x14ac:dyDescent="0.2">
      <c r="A2553" s="5">
        <v>2492</v>
      </c>
      <c r="B2553" s="138">
        <f>'Acct Summary 7-8'!C6</f>
        <v>702434</v>
      </c>
      <c r="C2553" s="2" t="s">
        <v>594</v>
      </c>
      <c r="D2553" s="2" t="str">
        <f t="shared" si="38"/>
        <v>Error?</v>
      </c>
    </row>
    <row r="2554" spans="1:4" x14ac:dyDescent="0.2">
      <c r="A2554" s="5">
        <v>2493</v>
      </c>
      <c r="B2554" s="138">
        <f>'Acct Summary 7-8'!C7</f>
        <v>142543</v>
      </c>
      <c r="C2554" s="2" t="s">
        <v>594</v>
      </c>
      <c r="D2554" s="2" t="str">
        <f t="shared" si="38"/>
        <v>Error?</v>
      </c>
    </row>
    <row r="2555" spans="1:4" x14ac:dyDescent="0.2">
      <c r="A2555" s="5">
        <v>2494</v>
      </c>
      <c r="B2555" s="138">
        <f>'Acct Summary 7-8'!C8</f>
        <v>887355</v>
      </c>
      <c r="C2555" s="2" t="s">
        <v>594</v>
      </c>
      <c r="D2555" s="2" t="str">
        <f t="shared" si="38"/>
        <v>Error?</v>
      </c>
    </row>
    <row r="2556" spans="1:4" x14ac:dyDescent="0.2">
      <c r="A2556" s="5">
        <v>2495</v>
      </c>
      <c r="B2556" s="138">
        <f>'Acct Summary 7-8'!C12</f>
        <v>398136</v>
      </c>
      <c r="C2556" s="2" t="s">
        <v>594</v>
      </c>
      <c r="D2556" s="2" t="str">
        <f t="shared" si="38"/>
        <v>Error?</v>
      </c>
    </row>
    <row r="2557" spans="1:4" x14ac:dyDescent="0.2">
      <c r="A2557" s="5">
        <v>2496</v>
      </c>
      <c r="B2557" s="138">
        <f>'Acct Summary 7-8'!C13</f>
        <v>183804</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121043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702983</v>
      </c>
      <c r="C2561" s="2" t="s">
        <v>594</v>
      </c>
      <c r="D2561" s="2" t="str">
        <f t="shared" si="39"/>
        <v>Error?</v>
      </c>
    </row>
    <row r="2562" spans="1:4" x14ac:dyDescent="0.2">
      <c r="A2562" s="5">
        <v>2501</v>
      </c>
      <c r="B2562" s="138">
        <f>'Acct Summary 7-8'!C20</f>
        <v>184372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121043</v>
      </c>
      <c r="C2789" s="2" t="s">
        <v>594</v>
      </c>
      <c r="D2789" s="2" t="str">
        <f t="shared" si="42"/>
        <v>Error?</v>
      </c>
    </row>
    <row r="2790" spans="1:4" x14ac:dyDescent="0.2">
      <c r="A2790" s="5">
        <v>2729</v>
      </c>
      <c r="B2790" s="138">
        <f>'Expenditures 15-22'!E102</f>
        <v>121043</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121043</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121043</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184372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585588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887355</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702983</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585588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142543</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42244</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11272</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134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42244</v>
      </c>
      <c r="C5120" s="2" t="s">
        <v>594</v>
      </c>
      <c r="D5120" s="2" t="str">
        <f t="shared" si="79"/>
        <v>Error?</v>
      </c>
    </row>
    <row r="5121" spans="1:4" x14ac:dyDescent="0.2">
      <c r="A5121" s="5">
        <v>5060</v>
      </c>
      <c r="B5121" s="138">
        <f>'Revenues 9-14'!C109</f>
        <v>42378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691162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691162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702434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702434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142543</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142543</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142543</v>
      </c>
      <c r="C5326" s="2" t="s">
        <v>594</v>
      </c>
      <c r="D5326" s="2" t="str">
        <f t="shared" si="82"/>
        <v>Error?</v>
      </c>
    </row>
    <row r="5327" spans="1:4" x14ac:dyDescent="0.2">
      <c r="A5327" s="5">
        <v>5266</v>
      </c>
      <c r="B5327" s="138">
        <f>'Revenues 9-14'!C275</f>
        <v>887355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184372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0.31484934800576514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171743</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171743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3939</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3939</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3939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175682</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175682</v>
      </c>
      <c r="D7624" s="2" t="str">
        <f t="shared" si="124"/>
        <v>Error?</v>
      </c>
      <c r="E7624" s="2" t="s">
        <v>19</v>
      </c>
    </row>
    <row r="7625" spans="1:5" x14ac:dyDescent="0.2">
      <c r="A7625">
        <f t="shared" si="123"/>
        <v>7564</v>
      </c>
      <c r="B7625" s="138">
        <f>'Cap Outlay Deprec 26'!I17</f>
        <v>17568.2</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18688.2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I13" sqref="I13:L1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1" t="s">
        <v>1253</v>
      </c>
      <c r="B2" s="2421"/>
      <c r="C2" s="2421"/>
      <c r="D2" s="2421"/>
      <c r="E2" s="2421"/>
      <c r="F2" s="2421"/>
      <c r="G2" s="2421"/>
      <c r="H2" s="2421"/>
      <c r="I2" s="2421"/>
      <c r="J2" s="2421"/>
      <c r="K2" s="2421"/>
      <c r="L2" s="2421"/>
    </row>
    <row r="3" spans="1:29" ht="13.5" customHeight="1" x14ac:dyDescent="0.2">
      <c r="A3" s="2407" t="s">
        <v>1252</v>
      </c>
      <c r="B3" s="2407"/>
      <c r="C3" s="2407"/>
      <c r="D3" s="2407"/>
      <c r="E3" s="2407"/>
      <c r="F3" s="2407"/>
      <c r="G3" s="2407"/>
      <c r="H3" s="2407"/>
      <c r="I3" s="2407"/>
      <c r="J3" s="2407"/>
      <c r="K3" s="2407"/>
      <c r="L3" s="2407"/>
    </row>
    <row r="4" spans="1:29" ht="13.5" customHeight="1" x14ac:dyDescent="0.2">
      <c r="A4" s="2421" t="s">
        <v>1799</v>
      </c>
      <c r="B4" s="2438"/>
      <c r="C4" s="2438"/>
      <c r="D4" s="2438"/>
      <c r="E4" s="2438"/>
      <c r="F4" s="2438"/>
      <c r="G4" s="2438"/>
      <c r="H4" s="2438"/>
      <c r="I4" s="2438"/>
      <c r="J4" s="2438"/>
      <c r="K4" s="2438"/>
      <c r="L4" s="2438"/>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1" t="str">
        <f>COVER!A17</f>
        <v>Western Area Career System</v>
      </c>
      <c r="B7" s="2402"/>
      <c r="C7" s="2402"/>
      <c r="D7" s="2439"/>
      <c r="E7" s="2440">
        <f>COVER!A13</f>
        <v>26000000046</v>
      </c>
      <c r="F7" s="2441"/>
      <c r="G7" s="2408" t="str">
        <f>COVER!T23</f>
        <v>066-005055</v>
      </c>
      <c r="H7" s="2409"/>
      <c r="I7" s="2409"/>
      <c r="J7" s="2409"/>
      <c r="K7" s="2409"/>
      <c r="L7" s="241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1"/>
      <c r="B9" s="2412"/>
      <c r="C9" s="2412"/>
      <c r="D9" s="2412"/>
      <c r="E9" s="2412"/>
      <c r="F9" s="2413"/>
      <c r="G9" s="2414" t="str">
        <f>COVER!T13</f>
        <v>Ginoli &amp; Company Ltd</v>
      </c>
      <c r="H9" s="2415"/>
      <c r="I9" s="2415"/>
      <c r="J9" s="2415"/>
      <c r="K9" s="2415"/>
      <c r="L9" s="2416"/>
    </row>
    <row r="10" spans="1:29" ht="13.5" customHeight="1" x14ac:dyDescent="0.2">
      <c r="A10" s="2398" t="str">
        <f>COVER!A38</f>
        <v>Dave Messersmith</v>
      </c>
      <c r="B10" s="2399"/>
      <c r="C10" s="2399"/>
      <c r="D10" s="2399"/>
      <c r="E10" s="2399"/>
      <c r="F10" s="2400"/>
      <c r="G10" s="2414" t="str">
        <f>COVER!T17</f>
        <v>7625 N. University Street, Suite A</v>
      </c>
      <c r="H10" s="2427"/>
      <c r="I10" s="2427"/>
      <c r="J10" s="2427"/>
      <c r="K10" s="2427"/>
      <c r="L10" s="2428"/>
    </row>
    <row r="11" spans="1:29" ht="13.5" customHeight="1" x14ac:dyDescent="0.2">
      <c r="A11" s="1185" t="s">
        <v>1599</v>
      </c>
      <c r="B11" s="1186"/>
      <c r="C11" s="1187"/>
      <c r="D11" s="1192"/>
      <c r="E11" s="1187"/>
      <c r="F11" s="1191"/>
      <c r="G11" s="2414" t="str">
        <f>COVER!T19</f>
        <v>Peoria</v>
      </c>
      <c r="H11" s="2427"/>
      <c r="I11" s="2427"/>
      <c r="J11" s="2427"/>
      <c r="K11" s="2427"/>
      <c r="L11" s="2428"/>
    </row>
    <row r="12" spans="1:29" ht="13.5" customHeight="1" x14ac:dyDescent="0.2">
      <c r="A12" s="2432" t="s">
        <v>1598</v>
      </c>
      <c r="B12" s="2433"/>
      <c r="C12" s="2433"/>
      <c r="D12" s="2433"/>
      <c r="E12" s="2433"/>
      <c r="F12" s="2434"/>
      <c r="G12" s="2429"/>
      <c r="H12" s="2430"/>
      <c r="I12" s="2430"/>
      <c r="J12" s="2430"/>
      <c r="K12" s="2430"/>
      <c r="L12" s="2431"/>
    </row>
    <row r="13" spans="1:29" ht="13.5" customHeight="1" x14ac:dyDescent="0.2">
      <c r="A13" s="2414"/>
      <c r="B13" s="2427"/>
      <c r="C13" s="2427"/>
      <c r="D13" s="2427"/>
      <c r="E13" s="2427"/>
      <c r="F13" s="2428"/>
      <c r="G13" s="2422" t="s">
        <v>1600</v>
      </c>
      <c r="H13" s="2423"/>
      <c r="I13" s="2435" t="str">
        <f>COVER!T25</f>
        <v>mremmele@ginolicpa.com</v>
      </c>
      <c r="J13" s="2436"/>
      <c r="K13" s="2436"/>
      <c r="L13" s="2437"/>
    </row>
    <row r="14" spans="1:29" ht="13.5" customHeight="1" x14ac:dyDescent="0.2">
      <c r="A14" s="2414" t="str">
        <f>COVER!A19</f>
        <v>130 S. Lafayette Street, Suite 200</v>
      </c>
      <c r="B14" s="2427"/>
      <c r="C14" s="2427"/>
      <c r="D14" s="2427"/>
      <c r="E14" s="2427"/>
      <c r="F14" s="2428"/>
      <c r="G14" s="1196" t="s">
        <v>1247</v>
      </c>
      <c r="H14" s="1194"/>
      <c r="I14" s="1194"/>
      <c r="J14" s="1194"/>
      <c r="K14" s="1194"/>
      <c r="L14" s="1195"/>
    </row>
    <row r="15" spans="1:29" ht="13.5" customHeight="1" x14ac:dyDescent="0.2">
      <c r="A15" s="2414" t="str">
        <f>COVER!A21</f>
        <v>Macomb</v>
      </c>
      <c r="B15" s="2427"/>
      <c r="C15" s="2427"/>
      <c r="D15" s="2427"/>
      <c r="E15" s="2427"/>
      <c r="F15" s="2428"/>
      <c r="G15" s="2424" t="str">
        <f>COVER!T15</f>
        <v>MICHAEL P REMMELE</v>
      </c>
      <c r="H15" s="2425"/>
      <c r="I15" s="2425"/>
      <c r="J15" s="2425"/>
      <c r="K15" s="2425"/>
      <c r="L15" s="2426"/>
    </row>
    <row r="16" spans="1:29" ht="12.2" customHeight="1" x14ac:dyDescent="0.2">
      <c r="A16" s="2404">
        <f>COVER!A25</f>
        <v>61455</v>
      </c>
      <c r="B16" s="2405"/>
      <c r="C16" s="2405"/>
      <c r="D16" s="2405"/>
      <c r="E16" s="2405"/>
      <c r="F16" s="2406"/>
      <c r="G16" s="2417"/>
      <c r="H16" s="2418"/>
      <c r="I16" s="2418"/>
      <c r="J16" s="2418"/>
      <c r="K16" s="2418"/>
      <c r="L16" s="2419"/>
    </row>
    <row r="17" spans="1:13" ht="12.2" customHeight="1" x14ac:dyDescent="0.2">
      <c r="A17" s="2420"/>
      <c r="B17" s="2405"/>
      <c r="C17" s="2405"/>
      <c r="D17" s="2405"/>
      <c r="E17" s="2405"/>
      <c r="F17" s="2406"/>
      <c r="G17" s="1196" t="s">
        <v>1246</v>
      </c>
      <c r="H17" s="1194"/>
      <c r="I17" s="1194"/>
      <c r="J17" s="1194"/>
      <c r="K17" s="1198" t="s">
        <v>1245</v>
      </c>
      <c r="L17" s="1191"/>
      <c r="M17" s="1184"/>
    </row>
    <row r="18" spans="1:13" ht="12.2" customHeight="1" x14ac:dyDescent="0.2">
      <c r="A18" s="2398"/>
      <c r="B18" s="2399"/>
      <c r="C18" s="2399"/>
      <c r="D18" s="2399"/>
      <c r="E18" s="2399"/>
      <c r="F18" s="2400"/>
      <c r="G18" s="2401" t="str">
        <f>COVER!T21</f>
        <v>309-671-2350</v>
      </c>
      <c r="H18" s="2402"/>
      <c r="I18" s="2402"/>
      <c r="J18" s="2402"/>
      <c r="K18" s="2401" t="str">
        <f>COVER!X21</f>
        <v>309-671-5459</v>
      </c>
      <c r="L18" s="240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Western Area Career System</v>
      </c>
      <c r="B1" s="2438"/>
      <c r="C1" s="2438"/>
      <c r="D1" s="2438"/>
    </row>
    <row r="2" spans="1:11" s="1215" customFormat="1" ht="12.75" x14ac:dyDescent="0.2">
      <c r="A2" s="2443">
        <f>'Single Audit Cover'!E7</f>
        <v>26000000046</v>
      </c>
      <c r="B2" s="2444"/>
      <c r="C2" s="2444"/>
      <c r="D2" s="2444"/>
    </row>
    <row r="3" spans="1:11" s="1215" customFormat="1" ht="12.75" x14ac:dyDescent="0.2">
      <c r="A3" s="2442" t="s">
        <v>1593</v>
      </c>
      <c r="B3" s="2438"/>
      <c r="C3" s="2438"/>
      <c r="D3" s="2438"/>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Western Area Career System</v>
      </c>
      <c r="B1" s="2446"/>
      <c r="C1" s="2446"/>
      <c r="D1" s="2446"/>
      <c r="E1" s="2446"/>
    </row>
    <row r="2" spans="1:5" x14ac:dyDescent="0.2">
      <c r="A2" s="2447">
        <f>'Single Audit Cover'!E7</f>
        <v>26000000046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142543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142543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142543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142543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Western Area Career System</v>
      </c>
      <c r="B1" s="2451"/>
      <c r="C1" s="2451"/>
      <c r="D1" s="2451"/>
      <c r="E1" s="2451"/>
      <c r="F1" s="2451"/>
    </row>
    <row r="2" spans="1:7" ht="13.5" customHeight="1" x14ac:dyDescent="0.2">
      <c r="A2" s="2452">
        <f>'Single Audit Cover'!E7</f>
        <v>26000000046</v>
      </c>
      <c r="B2" s="2452"/>
      <c r="C2" s="2452"/>
      <c r="D2" s="2452"/>
      <c r="E2" s="2452"/>
      <c r="F2" s="2452"/>
      <c r="G2" s="1275"/>
    </row>
    <row r="3" spans="1:7" ht="15.75" customHeight="1" x14ac:dyDescent="0.2">
      <c r="A3" s="2453" t="s">
        <v>1333</v>
      </c>
      <c r="B3" s="2453"/>
      <c r="C3" s="2453"/>
      <c r="D3" s="2453"/>
      <c r="E3" s="2453"/>
      <c r="F3" s="2453"/>
    </row>
    <row r="4" spans="1:7" ht="13.5" customHeight="1" x14ac:dyDescent="0.2">
      <c r="A4" s="2454" t="str">
        <f>'Single Audit Cover'!A4</f>
        <v>Year Ending June 30, 2018</v>
      </c>
      <c r="B4" s="2454"/>
      <c r="C4" s="2454"/>
      <c r="D4" s="2454"/>
      <c r="E4" s="2454"/>
      <c r="F4" s="2454"/>
    </row>
    <row r="5" spans="1:7" ht="8.25" customHeight="1" x14ac:dyDescent="0.2">
      <c r="C5" s="317"/>
      <c r="D5" s="317"/>
    </row>
    <row r="6" spans="1:7" ht="13.5" customHeight="1" x14ac:dyDescent="0.2">
      <c r="A6" s="1276" t="s">
        <v>1831</v>
      </c>
      <c r="C6" s="317"/>
      <c r="D6" s="317"/>
    </row>
    <row r="7" spans="1:7" ht="60.95" customHeight="1" x14ac:dyDescent="0.2">
      <c r="A7" s="2450" t="s">
        <v>1832</v>
      </c>
      <c r="B7" s="2450"/>
      <c r="C7" s="2450"/>
      <c r="D7" s="2450"/>
      <c r="E7" s="2450"/>
      <c r="F7" s="2450"/>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0" t="s">
        <v>1834</v>
      </c>
      <c r="B13" s="2450"/>
      <c r="C13" s="2450"/>
      <c r="D13" s="2450"/>
      <c r="E13" s="2450"/>
      <c r="F13" s="2450"/>
    </row>
    <row r="14" spans="1:7" ht="9.75" customHeight="1" x14ac:dyDescent="0.2">
      <c r="C14" s="1260"/>
      <c r="D14" s="1260"/>
    </row>
    <row r="15" spans="1:7" ht="13.5" customHeight="1" x14ac:dyDescent="0.2">
      <c r="C15" s="1871" t="s">
        <v>1332</v>
      </c>
      <c r="D15" s="2456" t="s">
        <v>1331</v>
      </c>
      <c r="E15" s="2456"/>
      <c r="F15" s="2456"/>
    </row>
    <row r="16" spans="1:7" ht="13.5" customHeight="1" x14ac:dyDescent="0.2">
      <c r="A16" s="1282"/>
      <c r="B16" s="1276" t="s">
        <v>1330</v>
      </c>
      <c r="C16" s="1871" t="s">
        <v>1329</v>
      </c>
      <c r="D16" s="2457" t="s">
        <v>1670</v>
      </c>
      <c r="E16" s="2457"/>
      <c r="F16" s="2457"/>
    </row>
    <row r="17" spans="1:6" ht="20.45" customHeight="1" x14ac:dyDescent="0.2">
      <c r="A17" s="1283"/>
      <c r="B17" s="1284"/>
      <c r="C17" s="1285"/>
      <c r="D17" s="2455"/>
      <c r="E17" s="2455"/>
      <c r="F17" s="2455"/>
    </row>
    <row r="18" spans="1:6" ht="20.65" customHeight="1" x14ac:dyDescent="0.2">
      <c r="A18" s="1283"/>
      <c r="B18" s="1284"/>
      <c r="C18" s="1285"/>
      <c r="D18" s="2455"/>
      <c r="E18" s="2455"/>
      <c r="F18" s="2455"/>
    </row>
    <row r="19" spans="1:6" ht="20.65" customHeight="1" x14ac:dyDescent="0.2">
      <c r="A19" s="1283"/>
      <c r="B19" s="1284"/>
      <c r="C19" s="1285"/>
      <c r="D19" s="2455"/>
      <c r="E19" s="2455"/>
      <c r="F19" s="2455"/>
    </row>
    <row r="20" spans="1:6" ht="20.65" customHeight="1" x14ac:dyDescent="0.2">
      <c r="A20" s="1283"/>
      <c r="B20" s="1284"/>
      <c r="C20" s="1285"/>
      <c r="D20" s="2455"/>
      <c r="E20" s="2455"/>
      <c r="F20" s="2455"/>
    </row>
    <row r="21" spans="1:6" ht="20.65" customHeight="1" x14ac:dyDescent="0.2">
      <c r="A21" s="1283"/>
      <c r="B21" s="1284"/>
      <c r="C21" s="1285"/>
      <c r="D21" s="2455"/>
      <c r="E21" s="2455"/>
      <c r="F21" s="2455"/>
    </row>
    <row r="22" spans="1:6" ht="20.65" customHeight="1" x14ac:dyDescent="0.2">
      <c r="A22" s="1283"/>
      <c r="B22" s="1284"/>
      <c r="C22" s="1285"/>
      <c r="D22" s="2455"/>
      <c r="E22" s="2455"/>
      <c r="F22" s="2455"/>
    </row>
    <row r="23" spans="1:6" ht="20.65" customHeight="1" x14ac:dyDescent="0.2">
      <c r="A23" s="1283"/>
      <c r="B23" s="1284"/>
      <c r="C23" s="1285"/>
      <c r="D23" s="2455"/>
      <c r="E23" s="2455"/>
      <c r="F23" s="2455"/>
    </row>
    <row r="24" spans="1:6" ht="20.65" customHeight="1" x14ac:dyDescent="0.2">
      <c r="A24" s="1283"/>
      <c r="B24" s="1284"/>
      <c r="C24" s="1285"/>
      <c r="D24" s="2455"/>
      <c r="E24" s="2455"/>
      <c r="F24" s="2455"/>
    </row>
    <row r="25" spans="1:6" ht="20.65" customHeight="1" x14ac:dyDescent="0.2">
      <c r="A25" s="1283"/>
      <c r="B25" s="1284"/>
      <c r="C25" s="1285"/>
      <c r="D25" s="2455"/>
      <c r="E25" s="2455"/>
      <c r="F25" s="2455"/>
    </row>
    <row r="26" spans="1:6" ht="20.65" customHeight="1" x14ac:dyDescent="0.2">
      <c r="A26" s="1283"/>
      <c r="B26" s="1284"/>
      <c r="C26" s="1285"/>
      <c r="D26" s="2455"/>
      <c r="E26" s="2455"/>
      <c r="F26" s="2455"/>
    </row>
    <row r="27" spans="1:6" ht="20.65" customHeight="1" x14ac:dyDescent="0.2">
      <c r="A27" s="1283"/>
      <c r="B27" s="1284"/>
      <c r="C27" s="1285"/>
      <c r="D27" s="2455"/>
      <c r="E27" s="2455"/>
      <c r="F27" s="2455"/>
    </row>
    <row r="28" spans="1:6" ht="20.65" customHeight="1" x14ac:dyDescent="0.2">
      <c r="A28" s="1283"/>
      <c r="B28" s="1284"/>
      <c r="C28" s="1285"/>
      <c r="D28" s="2455"/>
      <c r="E28" s="2455"/>
      <c r="F28" s="2455"/>
    </row>
    <row r="29" spans="1:6" ht="20.65" customHeight="1" x14ac:dyDescent="0.2">
      <c r="A29" s="1283"/>
      <c r="B29" s="1284"/>
      <c r="C29" s="1285"/>
      <c r="D29" s="2455"/>
      <c r="E29" s="2455"/>
      <c r="F29" s="2455"/>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1835</v>
      </c>
      <c r="B32" s="2459"/>
      <c r="C32" s="2459"/>
      <c r="D32" s="2459"/>
      <c r="E32" s="2459"/>
      <c r="F32" s="2459"/>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0">
        <f>+C33+C34</f>
        <v>0</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8" t="s">
        <v>1632</v>
      </c>
      <c r="C51" s="2458"/>
      <c r="D51" s="2458"/>
    </row>
    <row r="52" spans="1:5" ht="14.25" customHeight="1" x14ac:dyDescent="0.2">
      <c r="A52" s="1301"/>
      <c r="B52" s="2458"/>
      <c r="C52" s="2458"/>
      <c r="D52" s="245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7" t="str">
        <f>'Single Audit Cover'!A7</f>
        <v>Western Area Career System</v>
      </c>
      <c r="C1" s="2463"/>
      <c r="D1" s="2463"/>
      <c r="E1" s="2463"/>
      <c r="F1" s="2463"/>
      <c r="G1" s="2463"/>
      <c r="H1" s="2463"/>
      <c r="I1" s="2463"/>
      <c r="J1" s="2463"/>
      <c r="K1" s="2463"/>
      <c r="L1" s="2463"/>
      <c r="M1" s="2463"/>
    </row>
    <row r="2" spans="2:14" ht="15" x14ac:dyDescent="0.2">
      <c r="B2" s="2452">
        <f>'Single Audit Cover'!E7</f>
        <v>26000000046</v>
      </c>
      <c r="C2" s="2452"/>
      <c r="D2" s="2452"/>
      <c r="E2" s="2452"/>
      <c r="F2" s="2452"/>
      <c r="G2" s="2452"/>
      <c r="H2" s="2452"/>
      <c r="I2" s="2452"/>
      <c r="J2" s="2452"/>
      <c r="K2" s="2452"/>
      <c r="L2" s="2452"/>
      <c r="M2" s="2452"/>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1951</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2097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2097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t="s">
        <v>2113</v>
      </c>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t="s">
        <v>2114</v>
      </c>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2079</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0" t="str">
        <f>'Single Audit Cover'!A7</f>
        <v>Western Area Career System</v>
      </c>
      <c r="C1" s="2471"/>
      <c r="D1" s="2471"/>
      <c r="E1" s="2471"/>
      <c r="F1" s="2471"/>
      <c r="G1" s="2471"/>
      <c r="H1" s="2471"/>
      <c r="I1" s="2471"/>
      <c r="J1" s="1422"/>
    </row>
    <row r="2" spans="2:10" s="317" customFormat="1" ht="12.75" customHeight="1" x14ac:dyDescent="0.2">
      <c r="B2" s="2472">
        <f>'Single Audit Cover'!E7</f>
        <v>26000000046</v>
      </c>
      <c r="C2" s="2473"/>
      <c r="D2" s="2473"/>
      <c r="E2" s="2473"/>
      <c r="F2" s="2473"/>
      <c r="G2" s="2473"/>
      <c r="H2" s="2473"/>
      <c r="I2" s="2473"/>
      <c r="J2" s="1422"/>
    </row>
    <row r="3" spans="2:10" s="317" customFormat="1" ht="12.75" customHeight="1" x14ac:dyDescent="0.2">
      <c r="B3" s="2474" t="s">
        <v>1347</v>
      </c>
      <c r="C3" s="2475"/>
      <c r="D3" s="2475"/>
      <c r="E3" s="2475"/>
      <c r="F3" s="2475"/>
      <c r="G3" s="2475"/>
      <c r="H3" s="2475"/>
      <c r="I3" s="2475"/>
      <c r="J3" s="1423"/>
    </row>
    <row r="4" spans="2:10" s="317" customFormat="1" ht="12.75" customHeight="1" x14ac:dyDescent="0.2">
      <c r="B4" s="2474" t="str">
        <f>'Single Audit Cover'!A4</f>
        <v>Year Ending June 30, 2018</v>
      </c>
      <c r="C4" s="2475"/>
      <c r="D4" s="2475"/>
      <c r="E4" s="2475"/>
      <c r="F4" s="2475"/>
      <c r="G4" s="2475"/>
      <c r="H4" s="2475"/>
      <c r="I4" s="247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4" t="s">
        <v>1346</v>
      </c>
      <c r="C7" s="2475"/>
      <c r="D7" s="2475"/>
      <c r="E7" s="2475"/>
      <c r="F7" s="2475"/>
      <c r="G7" s="2475"/>
      <c r="H7" s="2475"/>
      <c r="I7" s="247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6"/>
      <c r="D11" s="2476"/>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7"/>
      <c r="E29" s="2477"/>
      <c r="F29" s="2477"/>
      <c r="G29" s="2477"/>
      <c r="H29" s="2477"/>
      <c r="I29" s="2477"/>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8" t="s">
        <v>1854</v>
      </c>
      <c r="D37" s="2479"/>
      <c r="E37" s="2479"/>
      <c r="F37" s="2480"/>
      <c r="G37" s="2478" t="s">
        <v>1674</v>
      </c>
      <c r="H37" s="2479"/>
      <c r="I37" s="2480"/>
    </row>
    <row r="38" spans="2:9" ht="16.5" customHeight="1" x14ac:dyDescent="0.2">
      <c r="B38" s="1444"/>
      <c r="C38" s="2466"/>
      <c r="D38" s="2467"/>
      <c r="E38" s="2467"/>
      <c r="F38" s="2468"/>
      <c r="G38" s="2481"/>
      <c r="H38" s="2482"/>
      <c r="I38" s="2483"/>
    </row>
    <row r="39" spans="2:9" ht="16.5" customHeight="1" x14ac:dyDescent="0.2">
      <c r="B39" s="1444"/>
      <c r="C39" s="2466"/>
      <c r="D39" s="2467"/>
      <c r="E39" s="2467"/>
      <c r="F39" s="2468"/>
      <c r="G39" s="2469"/>
      <c r="H39" s="2469"/>
      <c r="I39" s="2469"/>
    </row>
    <row r="40" spans="2:9" ht="16.5" customHeight="1" x14ac:dyDescent="0.2">
      <c r="B40" s="1444"/>
      <c r="C40" s="2466"/>
      <c r="D40" s="2467"/>
      <c r="E40" s="2467"/>
      <c r="F40" s="2468"/>
      <c r="G40" s="2469"/>
      <c r="H40" s="2469"/>
      <c r="I40" s="2469"/>
    </row>
    <row r="41" spans="2:9" ht="16.5" customHeight="1" x14ac:dyDescent="0.2">
      <c r="B41" s="1444"/>
      <c r="C41" s="2466"/>
      <c r="D41" s="2467"/>
      <c r="E41" s="2467"/>
      <c r="F41" s="2468"/>
      <c r="G41" s="2469"/>
      <c r="H41" s="2469"/>
      <c r="I41" s="2469"/>
    </row>
    <row r="42" spans="2:9" ht="16.5" customHeight="1" x14ac:dyDescent="0.2">
      <c r="B42" s="1444"/>
      <c r="C42" s="2466"/>
      <c r="D42" s="2467"/>
      <c r="E42" s="2467"/>
      <c r="F42" s="2468"/>
      <c r="G42" s="2469"/>
      <c r="H42" s="2469"/>
      <c r="I42" s="2469"/>
    </row>
    <row r="43" spans="2:9" ht="16.5" customHeight="1" x14ac:dyDescent="0.2">
      <c r="B43" s="1444"/>
      <c r="C43" s="2484" t="s">
        <v>1675</v>
      </c>
      <c r="D43" s="2485"/>
      <c r="E43" s="2485"/>
      <c r="F43" s="2486"/>
      <c r="G43" s="2487">
        <f>SUM(G38:I42)</f>
        <v>0</v>
      </c>
      <c r="H43" s="2487"/>
      <c r="I43" s="2487"/>
    </row>
    <row r="44" spans="2:9" ht="12.75" customHeight="1" x14ac:dyDescent="0.2"/>
    <row r="45" spans="2:9" ht="12.75" customHeight="1" x14ac:dyDescent="0.2">
      <c r="B45" s="1435" t="s">
        <v>1952</v>
      </c>
      <c r="D45" s="2488">
        <v>0</v>
      </c>
      <c r="E45" s="2489"/>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0"/>
      <c r="F49" s="2490"/>
      <c r="G49" s="2490"/>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G46" sqref="G4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0" t="str">
        <f>'Single Audit Cover'!A7</f>
        <v>Western Area Career System</v>
      </c>
      <c r="C1" s="2470"/>
      <c r="D1" s="2470"/>
      <c r="E1" s="2470"/>
      <c r="F1" s="2470"/>
      <c r="G1" s="2470"/>
      <c r="H1" s="2470"/>
      <c r="I1" s="2470"/>
      <c r="J1" s="2470"/>
      <c r="K1" s="2470"/>
      <c r="L1" s="1374"/>
      <c r="M1" s="1374"/>
    </row>
    <row r="2" spans="1:13" ht="12" customHeight="1" x14ac:dyDescent="0.2">
      <c r="B2" s="2472">
        <f>'Single Audit Cover'!E7</f>
        <v>26000000046</v>
      </c>
      <c r="C2" s="2472"/>
      <c r="D2" s="2472"/>
      <c r="E2" s="2472"/>
      <c r="F2" s="2472"/>
      <c r="G2" s="2472"/>
      <c r="H2" s="2472"/>
      <c r="I2" s="2472"/>
      <c r="J2" s="2472"/>
      <c r="K2" s="2472"/>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2008</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77.25" customHeight="1" x14ac:dyDescent="0.2">
      <c r="B14" s="2492" t="s">
        <v>2102</v>
      </c>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t="s">
        <v>2103</v>
      </c>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t="s">
        <v>2104</v>
      </c>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t="s">
        <v>2105</v>
      </c>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t="s">
        <v>2106</v>
      </c>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81" customHeight="1" x14ac:dyDescent="0.2">
      <c r="B29" s="2491" t="s">
        <v>2107</v>
      </c>
      <c r="C29" s="2491"/>
      <c r="D29" s="2492"/>
      <c r="E29" s="2492"/>
      <c r="F29" s="2492"/>
      <c r="G29" s="2492"/>
      <c r="H29" s="2492"/>
      <c r="I29" s="2492"/>
      <c r="J29" s="2492"/>
      <c r="K29" s="2492"/>
      <c r="L29" s="1381"/>
    </row>
    <row r="30" spans="2:12" ht="8.25" customHeight="1" x14ac:dyDescent="0.2">
      <c r="B30" s="1402"/>
      <c r="C30" s="1402"/>
      <c r="D30" s="322"/>
      <c r="E30" s="322"/>
      <c r="F30" s="322"/>
      <c r="G30" s="1383"/>
      <c r="H30" s="322"/>
      <c r="I30" s="1383"/>
      <c r="J30" s="322"/>
      <c r="K30" s="322"/>
      <c r="L30" s="1381"/>
    </row>
    <row r="31" spans="2:12" s="322" customFormat="1" ht="10.5" customHeight="1" x14ac:dyDescent="0.2">
      <c r="B31" s="1403" t="s">
        <v>1847</v>
      </c>
      <c r="C31" s="1403"/>
      <c r="D31" s="1378"/>
      <c r="E31" s="1379"/>
      <c r="F31" s="1379"/>
      <c r="G31" s="1380"/>
      <c r="H31" s="1379"/>
      <c r="I31" s="1380"/>
      <c r="J31" s="1379"/>
      <c r="K31" s="1379"/>
      <c r="L31" s="1381"/>
    </row>
    <row r="32" spans="2:12" s="322" customFormat="1" ht="81" customHeight="1" x14ac:dyDescent="0.2">
      <c r="B32" s="2491" t="s">
        <v>2108</v>
      </c>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B26" sqref="B26:K2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7" t="str">
        <f>'Single Audit Cover'!A7</f>
        <v>Western Area Career System</v>
      </c>
      <c r="C1" s="2497"/>
      <c r="D1" s="2497"/>
      <c r="E1" s="2497"/>
      <c r="F1" s="2497"/>
      <c r="G1" s="2497"/>
      <c r="H1" s="2497"/>
      <c r="I1" s="2497"/>
      <c r="J1" s="2497"/>
      <c r="K1" s="2497"/>
      <c r="L1" s="1465"/>
    </row>
    <row r="2" spans="1:12" ht="12.75" customHeight="1" x14ac:dyDescent="0.2">
      <c r="B2" s="2498">
        <f>'Single Audit Cover'!E7</f>
        <v>26000000046</v>
      </c>
      <c r="C2" s="2498"/>
      <c r="D2" s="2498"/>
      <c r="E2" s="2498"/>
      <c r="F2" s="2498"/>
      <c r="G2" s="2498"/>
      <c r="H2" s="2498"/>
      <c r="I2" s="2498"/>
      <c r="J2" s="2498"/>
      <c r="K2" s="2498"/>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499" t="s">
        <v>1375</v>
      </c>
      <c r="C6" s="2499"/>
      <c r="D6" s="2499"/>
      <c r="E6" s="2499"/>
      <c r="F6" s="2499"/>
      <c r="G6" s="2499"/>
      <c r="H6" s="2499"/>
      <c r="I6" s="2499"/>
      <c r="J6" s="2499"/>
      <c r="K6" s="2499"/>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7"/>
      <c r="G12" s="2477"/>
      <c r="H12" s="2477"/>
      <c r="I12" s="2477"/>
      <c r="J12" s="2477"/>
      <c r="K12" s="2477"/>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0"/>
      <c r="E14" s="2500"/>
      <c r="F14" s="2500"/>
      <c r="H14" s="1475" t="s">
        <v>1370</v>
      </c>
      <c r="I14" s="2501"/>
      <c r="J14" s="2501"/>
      <c r="K14" s="2501"/>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1"/>
      <c r="E16" s="2501"/>
      <c r="F16" s="2501"/>
      <c r="G16" s="2501"/>
      <c r="H16" s="2501"/>
      <c r="I16" s="2501"/>
      <c r="J16" s="2501"/>
      <c r="K16" s="2501"/>
      <c r="L16" s="322"/>
    </row>
    <row r="17" spans="2:12" ht="13.5" customHeight="1" x14ac:dyDescent="0.2">
      <c r="B17" s="1387" t="s">
        <v>1368</v>
      </c>
      <c r="C17" s="1387"/>
      <c r="D17" s="2502"/>
      <c r="E17" s="2502"/>
      <c r="F17" s="2502"/>
      <c r="G17" s="2502"/>
      <c r="H17" s="2502"/>
      <c r="I17" s="2502"/>
      <c r="J17" s="2502"/>
      <c r="K17" s="2502"/>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0" t="str">
        <f>'Single Audit Cover'!A7</f>
        <v>Western Area Career System</v>
      </c>
      <c r="C1" s="2470"/>
      <c r="D1" s="2470"/>
      <c r="E1" s="1491"/>
    </row>
    <row r="2" spans="2:5" s="1282" customFormat="1" ht="12.75" customHeight="1" x14ac:dyDescent="0.2">
      <c r="B2" s="2472">
        <f>'Single Audit Cover'!E7</f>
        <v>26000000046</v>
      </c>
      <c r="C2" s="2472"/>
      <c r="D2" s="2472"/>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t="s">
        <v>2091</v>
      </c>
      <c r="C7" s="324" t="s">
        <v>2110</v>
      </c>
      <c r="D7" s="324" t="s">
        <v>2109</v>
      </c>
      <c r="E7" s="324"/>
    </row>
    <row r="8" spans="2:5" ht="13.5" customHeight="1" x14ac:dyDescent="0.2">
      <c r="B8" s="1496"/>
      <c r="C8" s="324" t="s">
        <v>2111</v>
      </c>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887355</v>
      </c>
      <c r="E16" s="356"/>
      <c r="F16" s="1755">
        <f>SUM('Acct Summary 7-8'!C17,'Acct Summary 7-8'!D17,'Acct Summary 7-8'!F17)</f>
        <v>702983</v>
      </c>
      <c r="G16" s="356"/>
      <c r="H16" s="1755">
        <f>SUM(D16-F16)</f>
        <v>184372</v>
      </c>
      <c r="I16" s="222"/>
      <c r="J16" s="1755">
        <f>SUM('Acct Summary 7-8'!C81,'Acct Summary 7-8'!D81,'Acct Summary 7-8'!F81,'Acct Summary 7-8'!I81)</f>
        <v>585588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F20" sqref="F2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Western Area Career System</v>
      </c>
      <c r="E7" s="391"/>
      <c r="G7" s="252"/>
      <c r="H7" s="387"/>
      <c r="I7" s="387"/>
      <c r="J7" s="387"/>
      <c r="K7" s="387"/>
      <c r="L7" s="329"/>
      <c r="M7" s="329"/>
      <c r="N7" s="329"/>
      <c r="O7" s="329"/>
      <c r="P7" s="329"/>
    </row>
    <row r="8" spans="1:18" ht="12.75" x14ac:dyDescent="0.2">
      <c r="A8" s="329"/>
      <c r="B8" s="329"/>
      <c r="C8" s="389" t="s">
        <v>1187</v>
      </c>
      <c r="D8" s="392">
        <f>COVER!A13</f>
        <v>26000000046</v>
      </c>
      <c r="E8" s="393"/>
      <c r="G8" s="329"/>
      <c r="H8" s="329"/>
      <c r="I8" s="329"/>
      <c r="J8" s="329"/>
      <c r="K8" s="329"/>
      <c r="L8" s="329"/>
      <c r="M8" s="329"/>
      <c r="N8" s="329"/>
      <c r="O8" s="329"/>
      <c r="P8" s="329"/>
    </row>
    <row r="9" spans="1:18" ht="12.75" x14ac:dyDescent="0.2">
      <c r="A9" s="329"/>
      <c r="B9" s="329"/>
      <c r="C9" s="389" t="s">
        <v>737</v>
      </c>
      <c r="D9" s="394" t="str">
        <f>COVER!A15</f>
        <v>McDonough, 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585588</v>
      </c>
      <c r="I12" s="404"/>
      <c r="J12" s="404"/>
      <c r="K12" s="405">
        <f>TRUNC((H12/H13*100000),5)/100000</f>
        <v>0.6599252834999999</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887355</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702983</v>
      </c>
      <c r="I17" s="404"/>
      <c r="J17" s="416"/>
      <c r="K17" s="405">
        <f>TRUNC((H17/H18*100000),5)/100000</f>
        <v>0.79222295469999993</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887355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585588</v>
      </c>
      <c r="I24" s="422"/>
      <c r="J24" s="422"/>
      <c r="K24" s="423">
        <f>TRUNC(((H24/H25*100000)/100000),2)</f>
        <v>299.88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1952.73056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585588</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585588</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12677</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12677</v>
      </c>
      <c r="N23" s="1710">
        <f>SUM(N21:N22)</f>
        <v>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585588</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12677</v>
      </c>
      <c r="N40" s="497"/>
    </row>
    <row r="41" spans="1:14" ht="13.5" customHeight="1" thickBot="1" x14ac:dyDescent="0.25">
      <c r="A41" s="1758" t="s">
        <v>676</v>
      </c>
      <c r="B41" s="1728"/>
      <c r="C41" s="1710">
        <f>(SUM(C34,C37,C38,C39))</f>
        <v>585588</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12677</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A3" sqref="A3:B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54" t="s">
        <v>1579</v>
      </c>
      <c r="B4" s="1955">
        <v>1000</v>
      </c>
      <c r="C4" s="1764">
        <f>'Revenues 9-14'!C109</f>
        <v>42378</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702434</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142543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887355</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887355</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4">
        <f>'Expenditures 15-22'!K33</f>
        <v>398136</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183804</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121043</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702983</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702983</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3" t="s">
        <v>1754</v>
      </c>
      <c r="B20" s="2144"/>
      <c r="C20" s="1768">
        <f>C8-C17</f>
        <v>184372</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5" t="s">
        <v>1239</v>
      </c>
      <c r="B77" s="2136"/>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39" t="s">
        <v>618</v>
      </c>
      <c r="B78" s="2140"/>
      <c r="C78" s="1724">
        <f t="shared" ref="C78:K78" si="9">C20+C77</f>
        <v>184372</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2073</v>
      </c>
      <c r="B79" s="534"/>
      <c r="C79" s="478">
        <v>401216</v>
      </c>
      <c r="D79" s="535"/>
      <c r="E79" s="535"/>
      <c r="F79" s="535"/>
      <c r="G79" s="535"/>
      <c r="H79" s="535"/>
      <c r="I79" s="535"/>
      <c r="J79" s="535"/>
      <c r="K79" s="535"/>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2074</v>
      </c>
      <c r="B81" s="2138"/>
      <c r="C81" s="1710">
        <f>(SUM(C78:C80))</f>
        <v>585588</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184372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0.31484934800576514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notes to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134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134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42244</v>
      </c>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42244</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42378</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691162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691162</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11272</v>
      </c>
      <c r="D171" s="580"/>
      <c r="E171" s="580"/>
      <c r="F171" s="580"/>
      <c r="G171" s="581"/>
      <c r="H171" s="582"/>
      <c r="I171" s="581"/>
      <c r="J171" s="581"/>
      <c r="K171" s="582"/>
    </row>
    <row r="172" spans="1:11" ht="12.75" customHeight="1" thickTop="1" thickBot="1" x14ac:dyDescent="0.25">
      <c r="A172" s="2161" t="s">
        <v>418</v>
      </c>
      <c r="B172" s="2162"/>
      <c r="C172" s="1744">
        <f t="shared" ref="C172:K172" si="6">SUM(C131,C140,C144,C145:C149,C154,C155:C170,C171)</f>
        <v>702434</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702434</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7" t="s">
        <v>1764</v>
      </c>
      <c r="B178" s="2168"/>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142543</v>
      </c>
      <c r="D227" s="466"/>
      <c r="E227" s="468"/>
      <c r="F227" s="468"/>
      <c r="G227" s="466"/>
      <c r="H227" s="468"/>
      <c r="I227" s="468"/>
      <c r="J227" s="468"/>
      <c r="K227" s="468"/>
    </row>
    <row r="228" spans="1:11" ht="12.75" customHeight="1" thickBot="1" x14ac:dyDescent="0.25">
      <c r="A228" s="1745" t="s">
        <v>1145</v>
      </c>
      <c r="B228" s="1746"/>
      <c r="C228" s="1729">
        <f>SUM(C226:C227)</f>
        <v>142543</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142543</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142543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887355</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&amp;F&amp;CThe notes to financial statements are an integral part of this report.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11" activePane="bottomLeft" state="frozen"/>
      <selection activeCell="A47" sqref="A47"/>
      <selection pane="bottomLeft" activeCell="G50" sqref="G50"/>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5"/>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1" t="s">
        <v>315</v>
      </c>
      <c r="B3" s="2182"/>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v>18</v>
      </c>
      <c r="E13" s="466">
        <v>10274</v>
      </c>
      <c r="F13" s="466">
        <v>216101</v>
      </c>
      <c r="G13" s="466"/>
      <c r="H13" s="466"/>
      <c r="I13" s="467">
        <v>171743</v>
      </c>
      <c r="J13" s="467"/>
      <c r="K13" s="1693">
        <f t="shared" si="0"/>
        <v>398136</v>
      </c>
      <c r="L13" s="466">
        <v>489500</v>
      </c>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18</v>
      </c>
      <c r="E33" s="1692">
        <f t="shared" si="1"/>
        <v>10274</v>
      </c>
      <c r="F33" s="1692">
        <f t="shared" si="1"/>
        <v>216101</v>
      </c>
      <c r="G33" s="1692">
        <f t="shared" si="1"/>
        <v>0</v>
      </c>
      <c r="H33" s="1692">
        <f t="shared" si="1"/>
        <v>0</v>
      </c>
      <c r="I33" s="1692">
        <f t="shared" si="1"/>
        <v>171743</v>
      </c>
      <c r="J33" s="1692">
        <f t="shared" si="1"/>
        <v>0</v>
      </c>
      <c r="K33" s="1692">
        <f t="shared" si="1"/>
        <v>398136</v>
      </c>
      <c r="L33" s="1692">
        <f t="shared" si="1"/>
        <v>489500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v>14398</v>
      </c>
      <c r="F37" s="466">
        <v>556</v>
      </c>
      <c r="G37" s="466"/>
      <c r="H37" s="466"/>
      <c r="I37" s="467"/>
      <c r="J37" s="467"/>
      <c r="K37" s="1693">
        <f t="shared" si="2"/>
        <v>14954</v>
      </c>
      <c r="L37" s="466">
        <v>37500</v>
      </c>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14398</v>
      </c>
      <c r="F42" s="1692">
        <f t="shared" si="3"/>
        <v>556</v>
      </c>
      <c r="G42" s="1692">
        <f t="shared" si="3"/>
        <v>0</v>
      </c>
      <c r="H42" s="1692">
        <f t="shared" si="3"/>
        <v>0</v>
      </c>
      <c r="I42" s="1692">
        <f t="shared" si="3"/>
        <v>0</v>
      </c>
      <c r="J42" s="1692">
        <f t="shared" si="3"/>
        <v>0</v>
      </c>
      <c r="K42" s="1692">
        <f t="shared" si="3"/>
        <v>14954</v>
      </c>
      <c r="L42" s="1692">
        <f t="shared" si="3"/>
        <v>37500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1540</v>
      </c>
      <c r="D44" s="481">
        <v>118</v>
      </c>
      <c r="E44" s="481">
        <v>29121</v>
      </c>
      <c r="F44" s="481">
        <v>1903</v>
      </c>
      <c r="G44" s="481"/>
      <c r="H44" s="481"/>
      <c r="I44" s="467"/>
      <c r="J44" s="467"/>
      <c r="K44" s="1694">
        <f>SUM(C44:J44)</f>
        <v>32682</v>
      </c>
      <c r="L44" s="481">
        <v>50000</v>
      </c>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1540</v>
      </c>
      <c r="D47" s="1692">
        <f t="shared" ref="D47:K47" si="4">SUM(D44:D46)</f>
        <v>118</v>
      </c>
      <c r="E47" s="1692">
        <f t="shared" si="4"/>
        <v>29121</v>
      </c>
      <c r="F47" s="1692">
        <f t="shared" si="4"/>
        <v>1903</v>
      </c>
      <c r="G47" s="1692">
        <f t="shared" si="4"/>
        <v>0</v>
      </c>
      <c r="H47" s="1692">
        <f t="shared" si="4"/>
        <v>0</v>
      </c>
      <c r="I47" s="1692">
        <f t="shared" si="4"/>
        <v>0</v>
      </c>
      <c r="J47" s="1692">
        <f t="shared" si="4"/>
        <v>0</v>
      </c>
      <c r="K47" s="1692">
        <f t="shared" si="4"/>
        <v>32682</v>
      </c>
      <c r="L47" s="1692">
        <f>SUM(L44:L46)</f>
        <v>50000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91525</v>
      </c>
      <c r="D50" s="466">
        <v>20931</v>
      </c>
      <c r="E50" s="466">
        <v>17132</v>
      </c>
      <c r="F50" s="466">
        <v>263</v>
      </c>
      <c r="G50" s="466"/>
      <c r="H50" s="466">
        <v>2378</v>
      </c>
      <c r="I50" s="467">
        <v>3939</v>
      </c>
      <c r="J50" s="467"/>
      <c r="K50" s="1694">
        <f>SUM(C50:J50)</f>
        <v>136168</v>
      </c>
      <c r="L50" s="466">
        <v>153000</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91525</v>
      </c>
      <c r="D53" s="1692">
        <f t="shared" ref="D53:L53" si="5">SUM(D49:D52)</f>
        <v>20931</v>
      </c>
      <c r="E53" s="1692">
        <f t="shared" si="5"/>
        <v>17132</v>
      </c>
      <c r="F53" s="1692">
        <f t="shared" si="5"/>
        <v>263</v>
      </c>
      <c r="G53" s="1692">
        <f t="shared" si="5"/>
        <v>0</v>
      </c>
      <c r="H53" s="1692">
        <f t="shared" si="5"/>
        <v>2378</v>
      </c>
      <c r="I53" s="1692">
        <f t="shared" si="5"/>
        <v>3939</v>
      </c>
      <c r="J53" s="1692">
        <f t="shared" si="5"/>
        <v>0</v>
      </c>
      <c r="K53" s="1692">
        <f t="shared" si="5"/>
        <v>136168</v>
      </c>
      <c r="L53" s="1692">
        <f t="shared" si="5"/>
        <v>153000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93065</v>
      </c>
      <c r="D74" s="1699">
        <f t="shared" ref="D74:K74" si="10">SUM(D42,D47,D53,D57,D65,D72,D73)</f>
        <v>21049</v>
      </c>
      <c r="E74" s="1699">
        <f t="shared" si="10"/>
        <v>60651</v>
      </c>
      <c r="F74" s="1699">
        <f t="shared" si="10"/>
        <v>2722</v>
      </c>
      <c r="G74" s="1699">
        <f t="shared" si="10"/>
        <v>0</v>
      </c>
      <c r="H74" s="1699">
        <f t="shared" si="10"/>
        <v>2378</v>
      </c>
      <c r="I74" s="1699">
        <f t="shared" si="10"/>
        <v>3939</v>
      </c>
      <c r="J74" s="1699">
        <f t="shared" si="10"/>
        <v>0</v>
      </c>
      <c r="K74" s="1699">
        <f t="shared" si="10"/>
        <v>183804</v>
      </c>
      <c r="L74" s="1699">
        <f>SUM(L42,L47,L53,L57,L65,L72,L73)</f>
        <v>240500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v>121043</v>
      </c>
      <c r="F81" s="617"/>
      <c r="G81" s="617"/>
      <c r="H81" s="466"/>
      <c r="I81" s="477"/>
      <c r="J81" s="477"/>
      <c r="K81" s="1693">
        <f t="shared" si="11"/>
        <v>121043</v>
      </c>
      <c r="L81" s="466">
        <v>55000</v>
      </c>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121043</v>
      </c>
      <c r="F84" s="617"/>
      <c r="G84" s="617"/>
      <c r="H84" s="1692">
        <f>SUM(H78:H83)</f>
        <v>0</v>
      </c>
      <c r="I84" s="477"/>
      <c r="J84" s="477"/>
      <c r="K84" s="1692">
        <f>SUM(K78:K83)</f>
        <v>121043</v>
      </c>
      <c r="L84" s="1692">
        <f>SUM(L78:L83)</f>
        <v>55000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121043</v>
      </c>
      <c r="F102" s="617"/>
      <c r="G102" s="617"/>
      <c r="H102" s="1699">
        <f>SUM(H84,H92,H100,H101)</f>
        <v>0</v>
      </c>
      <c r="I102" s="477"/>
      <c r="J102" s="477"/>
      <c r="K102" s="1699">
        <f>SUM(K84,K92,K100,K101)</f>
        <v>121043</v>
      </c>
      <c r="L102" s="1699">
        <f>SUM(L84,L92,L100,L101)</f>
        <v>55000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93065</v>
      </c>
      <c r="D114" s="1692">
        <f t="shared" ref="D114:K114" si="13">SUM(D33,D74,D75,D102,D112,D113)</f>
        <v>21067</v>
      </c>
      <c r="E114" s="1692">
        <f t="shared" si="13"/>
        <v>191968</v>
      </c>
      <c r="F114" s="1692">
        <f t="shared" si="13"/>
        <v>218823</v>
      </c>
      <c r="G114" s="1692">
        <f t="shared" si="13"/>
        <v>0</v>
      </c>
      <c r="H114" s="1692">
        <f>SUM(H33,H74,H75,H102,H112,H113)</f>
        <v>2378</v>
      </c>
      <c r="I114" s="1692">
        <f t="shared" si="13"/>
        <v>175682</v>
      </c>
      <c r="J114" s="1692">
        <f t="shared" si="13"/>
        <v>0</v>
      </c>
      <c r="K114" s="1692">
        <f t="shared" si="13"/>
        <v>702983</v>
      </c>
      <c r="L114" s="1692">
        <f>SUM(L33,L74,L75,L102,L112,L113)</f>
        <v>785000</v>
      </c>
    </row>
    <row r="115" spans="1:14" ht="13.5" thickTop="1" x14ac:dyDescent="0.2">
      <c r="A115" s="2173" t="s">
        <v>1053</v>
      </c>
      <c r="B115" s="2174"/>
      <c r="C115" s="619"/>
      <c r="D115" s="619"/>
      <c r="E115" s="619"/>
      <c r="F115" s="619"/>
      <c r="G115" s="619"/>
      <c r="H115" s="619"/>
      <c r="I115" s="619"/>
      <c r="J115" s="619"/>
      <c r="K115" s="1706">
        <f>'Revenues 9-14'!C275-'Expenditures 15-22'!K114</f>
        <v>184372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314</v>
      </c>
      <c r="B117" s="2179"/>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0" t="s">
        <v>641</v>
      </c>
      <c r="B151" s="2170"/>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3" t="s">
        <v>1240</v>
      </c>
      <c r="B152" s="2194"/>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642</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3" t="s">
        <v>1053</v>
      </c>
      <c r="B175" s="2174"/>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3" t="s">
        <v>1053</v>
      </c>
      <c r="B211" s="2174"/>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1022</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1" t="s">
        <v>526</v>
      </c>
      <c r="B295" s="2192"/>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3" t="s">
        <v>1053</v>
      </c>
      <c r="B296" s="2174"/>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8" t="s">
        <v>295</v>
      </c>
      <c r="B312" s="2189"/>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4" t="s">
        <v>1053</v>
      </c>
      <c r="B313" s="2185"/>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954</v>
      </c>
      <c r="B317" s="2198"/>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6" t="s">
        <v>1053</v>
      </c>
      <c r="B343" s="2187"/>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1023</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3" t="s">
        <v>1053</v>
      </c>
      <c r="B368" s="2174"/>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&amp;F&amp;CThe notes to financial statements are an integral part of this report.</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purl.org/dc/dcmitype/"/>
    <ds:schemaRef ds:uri="http://schemas.openxmlformats.org/package/2006/metadata/core-properties"/>
    <ds:schemaRef ds:uri="http://purl.org/dc/elements/1.1/"/>
    <ds:schemaRef ds:uri="http://schemas.microsoft.com/sharepoint/v3"/>
    <ds:schemaRef ds:uri="6ce3111e-7420-4802-b50a-75d4e9a0b980"/>
    <ds:schemaRef ds:uri="http://schemas.microsoft.com/office/2006/metadata/properties"/>
    <ds:schemaRef ds:uri="4d435f69-8686-490b-bd6d-b153bf22ab50"/>
    <ds:schemaRef ds:uri="http://purl.org/dc/terms/"/>
    <ds:schemaRef ds:uri="http://www.w3.org/XML/1998/namespace"/>
    <ds:schemaRef ds:uri="http://schemas.microsoft.com/office/infopath/2007/PartnerControls"/>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2018-09-14T16:14:32Z</cp:lastPrinted>
  <dcterms:created xsi:type="dcterms:W3CDTF">2003-10-29T19:06:34Z</dcterms:created>
  <dcterms:modified xsi:type="dcterms:W3CDTF">2018-10-17T19:34:31Z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ies>
</file>