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H83" i="29"/>
  <c r="E23" i="179"/>
  <c r="M25" i="179"/>
  <c r="K25" i="179"/>
  <c r="J25" i="179"/>
  <c r="I25" i="179"/>
  <c r="H25" i="179"/>
  <c r="G25" i="179"/>
  <c r="F25" i="179"/>
  <c r="D35" i="171" s="1"/>
  <c r="E25" i="179"/>
  <c r="F19" i="179"/>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F22" i="181"/>
  <c r="G22" i="181" s="1"/>
  <c r="E22" i="18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F128" i="34" s="1"/>
  <c r="C201" i="5"/>
  <c r="C211" i="5"/>
  <c r="C216" i="5"/>
  <c r="C224" i="5"/>
  <c r="B5286" i="106" s="1"/>
  <c r="D5286" i="106" s="1"/>
  <c r="C228" i="5"/>
  <c r="C259" i="5"/>
  <c r="B7761" i="106"/>
  <c r="L127" i="29"/>
  <c r="L129" i="29" s="1"/>
  <c r="L139" i="29"/>
  <c r="L149" i="29"/>
  <c r="I7" i="145"/>
  <c r="I6" i="145"/>
  <c r="D82" i="36"/>
  <c r="D78" i="36"/>
  <c r="K75" i="29"/>
  <c r="K130" i="29"/>
  <c r="B2805" i="106" s="1"/>
  <c r="D2805" i="106" s="1"/>
  <c r="K185" i="29"/>
  <c r="K122" i="29"/>
  <c r="F15" i="145" s="1"/>
  <c r="F19" i="145" s="1"/>
  <c r="K67" i="29"/>
  <c r="K64" i="29"/>
  <c r="D31" i="108" s="1"/>
  <c r="K59" i="29"/>
  <c r="E15" i="145"/>
  <c r="G15" i="145"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E30" i="108" s="1"/>
  <c r="D1132" i="106"/>
  <c r="K68" i="29"/>
  <c r="K69" i="29"/>
  <c r="B1136" i="106" s="1"/>
  <c r="D1136" i="106" s="1"/>
  <c r="K70" i="29"/>
  <c r="B1137" i="106" s="1"/>
  <c r="D1137" i="106" s="1"/>
  <c r="D1138" i="106"/>
  <c r="K71" i="29"/>
  <c r="B1139" i="106" s="1"/>
  <c r="D1139" i="106" s="1"/>
  <c r="D1140" i="106"/>
  <c r="K73" i="29"/>
  <c r="K78" i="29"/>
  <c r="K79" i="29"/>
  <c r="K80" i="29"/>
  <c r="K81" i="29"/>
  <c r="B2976" i="106" s="1"/>
  <c r="D2976" i="106" s="1"/>
  <c r="K82" i="29"/>
  <c r="K83" i="29"/>
  <c r="B2978" i="106" s="1"/>
  <c r="D2978" i="106" s="1"/>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s="1"/>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D27" i="108"/>
  <c r="E27" i="108"/>
  <c r="G27" i="108"/>
  <c r="F31" i="108"/>
  <c r="F37" i="108"/>
  <c r="G28" i="108"/>
  <c r="E29" i="108"/>
  <c r="G29" i="108"/>
  <c r="D36"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c r="D5730" i="106" s="1"/>
  <c r="H18" i="5"/>
  <c r="B5878" i="106" s="1"/>
  <c r="D5878" i="106" s="1"/>
  <c r="I18" i="5"/>
  <c r="B5923" i="106"/>
  <c r="D5923" i="106" s="1"/>
  <c r="J18" i="5"/>
  <c r="B6306" i="106" s="1"/>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c r="D5112" i="106" s="1"/>
  <c r="C108" i="5"/>
  <c r="B5120" i="106" s="1"/>
  <c r="D5120" i="106" s="1"/>
  <c r="D108" i="5"/>
  <c r="B5355" i="106"/>
  <c r="D5355" i="106" s="1"/>
  <c r="E108" i="5"/>
  <c r="B5526" i="106" s="1"/>
  <c r="D5526" i="106" s="1"/>
  <c r="F108" i="5"/>
  <c r="B5587" i="106"/>
  <c r="D5587" i="106" s="1"/>
  <c r="G108" i="5"/>
  <c r="B5737" i="106" s="1"/>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F127" i="34" s="1"/>
  <c r="D184" i="5"/>
  <c r="B5425" i="106"/>
  <c r="D5425" i="106" s="1"/>
  <c r="F184" i="5"/>
  <c r="B5658" i="106" s="1"/>
  <c r="D5658" i="106" s="1"/>
  <c r="G184" i="5"/>
  <c r="B5784" i="106"/>
  <c r="D5784" i="106" s="1"/>
  <c r="H184" i="5"/>
  <c r="B5908" i="106" s="1"/>
  <c r="D5908" i="106" s="1"/>
  <c r="K184" i="5"/>
  <c r="B6016" i="106" s="1"/>
  <c r="D6016"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C14" i="4"/>
  <c r="B2558" i="106" s="1"/>
  <c r="D2558"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9" i="7"/>
  <c r="B1767" i="106" s="1"/>
  <c r="D1767" i="106" s="1"/>
  <c r="F136" i="34"/>
  <c r="F131" i="34"/>
  <c r="F130" i="34"/>
  <c r="F111" i="34"/>
  <c r="B5847" i="106"/>
  <c r="D5847" i="106" s="1"/>
  <c r="B5599" i="106"/>
  <c r="D5599" i="106" s="1"/>
  <c r="K274" i="5"/>
  <c r="F106" i="34"/>
  <c r="B1746" i="106"/>
  <c r="D1746" i="106" s="1"/>
  <c r="D12" i="7"/>
  <c r="B1769" i="106" s="1"/>
  <c r="D1769" i="106" s="1"/>
  <c r="D15" i="7"/>
  <c r="B1772" i="106" s="1"/>
  <c r="D1772" i="106" s="1"/>
  <c r="J129" i="29" l="1"/>
  <c r="B7038" i="106" s="1"/>
  <c r="D7038" i="106" s="1"/>
  <c r="B1142" i="106"/>
  <c r="D1142" i="106" s="1"/>
  <c r="E38" i="108"/>
  <c r="E13" i="145"/>
  <c r="G13" i="145" s="1"/>
  <c r="B2724" i="106"/>
  <c r="D2724" i="106" s="1"/>
  <c r="D109" i="5"/>
  <c r="D13" i="7"/>
  <c r="B3726" i="106" s="1"/>
  <c r="D3726" i="106" s="1"/>
  <c r="B4395" i="106"/>
  <c r="D4395" i="106" s="1"/>
  <c r="G172" i="5"/>
  <c r="C109" i="5"/>
  <c r="B5121" i="106" s="1"/>
  <c r="D5121" i="106" s="1"/>
  <c r="B3668" i="106"/>
  <c r="D3668" i="106" s="1"/>
  <c r="K350" i="29"/>
  <c r="H109" i="5"/>
  <c r="L367" i="29"/>
  <c r="F19" i="7"/>
  <c r="B1807" i="106" s="1"/>
  <c r="D1807" i="106" s="1"/>
  <c r="G38" i="108"/>
  <c r="J352" i="29"/>
  <c r="B7076" i="106"/>
  <c r="D7076" i="106" s="1"/>
  <c r="D11" i="7"/>
  <c r="B1768" i="106" s="1"/>
  <c r="D1768" i="106" s="1"/>
  <c r="D7" i="7"/>
  <c r="B1763" i="106" s="1"/>
  <c r="D1763" i="106" s="1"/>
  <c r="H173" i="5"/>
  <c r="D4" i="7"/>
  <c r="B1760" i="106" s="1"/>
  <c r="D1760" i="106" s="1"/>
  <c r="D14" i="4"/>
  <c r="B2570" i="106" s="1"/>
  <c r="D2570" i="106" s="1"/>
  <c r="J274" i="5"/>
  <c r="B7054" i="106" s="1"/>
  <c r="D7054" i="106" s="1"/>
  <c r="B5232" i="106"/>
  <c r="D5232" i="106" s="1"/>
  <c r="G109" i="5"/>
  <c r="L342" i="29"/>
  <c r="F36" i="108"/>
  <c r="G352" i="29"/>
  <c r="B3647" i="106"/>
  <c r="D3647" i="106" s="1"/>
  <c r="F77" i="4"/>
  <c r="B3255" i="106" s="1"/>
  <c r="D3255" i="106" s="1"/>
  <c r="B3254" i="106"/>
  <c r="D3254" i="106" s="1"/>
  <c r="B1329" i="106"/>
  <c r="D1329" i="106" s="1"/>
  <c r="F61" i="34"/>
  <c r="B1410" i="106"/>
  <c r="D1410" i="106" s="1"/>
  <c r="B1130" i="106"/>
  <c r="D1130" i="106" s="1"/>
  <c r="G30" i="108"/>
  <c r="K92" i="29"/>
  <c r="B2089" i="106" s="1"/>
  <c r="D2089" i="106" s="1"/>
  <c r="B6995" i="106"/>
  <c r="D6995" i="106" s="1"/>
  <c r="D17" i="7"/>
  <c r="B4104" i="106" s="1"/>
  <c r="D4104" i="106" s="1"/>
  <c r="K173" i="5"/>
  <c r="K6" i="4" s="1"/>
  <c r="B3570" i="106" s="1"/>
  <c r="D3570" i="106" s="1"/>
  <c r="G39" i="108"/>
  <c r="B7199" i="106"/>
  <c r="D7199" i="106" s="1"/>
  <c r="C342" i="29"/>
  <c r="B7216" i="106" s="1"/>
  <c r="D7216" i="106" s="1"/>
  <c r="K285" i="29"/>
  <c r="B3723" i="106"/>
  <c r="D3723" i="106" s="1"/>
  <c r="D5" i="7"/>
  <c r="B1761" i="106" s="1"/>
  <c r="D1761" i="106" s="1"/>
  <c r="D5" i="4"/>
  <c r="B3406" i="106" s="1"/>
  <c r="D3406" i="106" s="1"/>
  <c r="I173" i="5"/>
  <c r="B4216" i="106" s="1"/>
  <c r="D4216" i="106" s="1"/>
  <c r="F71" i="34"/>
  <c r="B3454" i="106"/>
  <c r="D3454" i="106" s="1"/>
  <c r="L15" i="11"/>
  <c r="B3459" i="106" s="1"/>
  <c r="D3459" i="106" s="1"/>
  <c r="B1308" i="106"/>
  <c r="D1308" i="106" s="1"/>
  <c r="E174" i="29"/>
  <c r="B1309" i="106" s="1"/>
  <c r="D1309" i="106" s="1"/>
  <c r="B4087" i="106"/>
  <c r="D4087" i="106" s="1"/>
  <c r="C352" i="29"/>
  <c r="K41" i="3"/>
  <c r="H76" i="4"/>
  <c r="B3298" i="106" s="1"/>
  <c r="D3298" i="106" s="1"/>
  <c r="C129" i="29"/>
  <c r="B1225" i="106" s="1"/>
  <c r="D1225" i="106" s="1"/>
  <c r="K24" i="12"/>
  <c r="B1274" i="106"/>
  <c r="D1274" i="106" s="1"/>
  <c r="F28" i="108"/>
  <c r="F41" i="108" s="1"/>
  <c r="G43" i="108" s="1"/>
  <c r="E28" i="108"/>
  <c r="C172" i="5"/>
  <c r="D54"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F275" i="5" s="1"/>
  <c r="J109" i="5"/>
  <c r="J173" i="5"/>
  <c r="C4" i="4"/>
  <c r="B2551" i="106" s="1"/>
  <c r="D255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J7" i="4"/>
  <c r="B2657" i="106"/>
  <c r="D2657" i="106" s="1"/>
  <c r="D274" i="5"/>
  <c r="B3447" i="106"/>
  <c r="D3447" i="106" s="1"/>
  <c r="B7270" i="106"/>
  <c r="I6" i="4" l="1"/>
  <c r="B5011" i="106" s="1"/>
  <c r="D5011" i="106" s="1"/>
  <c r="B3649" i="106"/>
  <c r="D3649" i="106" s="1"/>
  <c r="G367" i="29"/>
  <c r="B3650" i="106" s="1"/>
  <c r="D3650" i="106" s="1"/>
  <c r="B5906" i="106"/>
  <c r="D5906" i="106" s="1"/>
  <c r="H6" i="4"/>
  <c r="B2656" i="106" s="1"/>
  <c r="D2656" i="106" s="1"/>
  <c r="J367" i="29"/>
  <c r="B7245" i="106" s="1"/>
  <c r="D7245" i="106" s="1"/>
  <c r="B7235" i="106"/>
  <c r="D7235" i="106" s="1"/>
  <c r="B6025" i="106"/>
  <c r="D6025" i="106" s="1"/>
  <c r="H4" i="4"/>
  <c r="G173" i="5"/>
  <c r="B5770" i="106"/>
  <c r="D5770" i="106" s="1"/>
  <c r="B1317" i="106"/>
  <c r="D1317" i="106" s="1"/>
  <c r="D7253" i="106"/>
  <c r="B3670" i="106"/>
  <c r="D3670" i="106" s="1"/>
  <c r="K352" i="29"/>
  <c r="B3568" i="106"/>
  <c r="D3568" i="106" s="1"/>
  <c r="D52" i="36"/>
  <c r="F73" i="34"/>
  <c r="G15" i="4"/>
  <c r="B6032" i="106" s="1"/>
  <c r="D6032" i="106" s="1"/>
  <c r="D19" i="7"/>
  <c r="B1775" i="106" s="1"/>
  <c r="D1775" i="106" s="1"/>
  <c r="K365" i="29"/>
  <c r="B7215" i="106"/>
  <c r="D7215" i="106" s="1"/>
  <c r="B7733" i="106"/>
  <c r="D7733" i="106" s="1"/>
  <c r="K26" i="12"/>
  <c r="B7743" i="106" s="1"/>
  <c r="D7743" i="106" s="1"/>
  <c r="B3621" i="106"/>
  <c r="D3621" i="106" s="1"/>
  <c r="C367" i="29"/>
  <c r="B3622" i="106" s="1"/>
  <c r="D3622" i="106" s="1"/>
  <c r="H367" i="29"/>
  <c r="B3660" i="106" s="1"/>
  <c r="D3660" i="106" s="1"/>
  <c r="B6024" i="106"/>
  <c r="D6024" i="106" s="1"/>
  <c r="G4" i="4"/>
  <c r="B2603" i="106" s="1"/>
  <c r="D2603" i="106" s="1"/>
  <c r="B5356" i="106"/>
  <c r="D5356" i="106" s="1"/>
  <c r="D4" i="4"/>
  <c r="B2564" i="106" s="1"/>
  <c r="D2564" i="106" s="1"/>
  <c r="L16" i="11"/>
  <c r="B2061" i="106" s="1"/>
  <c r="D2061" i="106" s="1"/>
  <c r="C114" i="29"/>
  <c r="B757" i="106" s="1"/>
  <c r="D757"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B5778" i="106" l="1"/>
  <c r="D5778" i="106" s="1"/>
  <c r="G6" i="4"/>
  <c r="B2604" i="106" s="1"/>
  <c r="D2604" i="106" s="1"/>
  <c r="K13" i="4"/>
  <c r="B3572" i="106" s="1"/>
  <c r="D3572" i="106" s="1"/>
  <c r="B3672" i="106"/>
  <c r="D3672" i="106" s="1"/>
  <c r="K367" i="29"/>
  <c r="B2655" i="106"/>
  <c r="D2655" i="106" s="1"/>
  <c r="H8" i="4"/>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H10" i="4"/>
  <c r="B4127" i="106" s="1"/>
  <c r="D4127" i="106" s="1"/>
  <c r="B2658" i="106"/>
  <c r="D265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<sst xmlns="http://schemas.openxmlformats.org/spreadsheetml/2006/main" count="5144" uniqueCount="2170">
  <si>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</si>
  <si>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</si>
  <si>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</si>
  <si>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</si>
  <si>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</si>
  <si>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</si>
  <si>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</si>
  <si>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</si>
  <si>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</si>
  <si>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</si>
  <si>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</si>
  <si>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</si>
  <si>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</si>
  <si>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</si>
  <si>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</si>
  <si>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</si>
  <si>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</si>
  <si>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</si>
  <si>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</si>
  <si>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</si>
  <si>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</si>
  <si>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</si>
  <si>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</si>
  <si>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</si>
  <si>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</si>
  <si>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</si>
  <si>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</si>
  <si>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</si>
  <si>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</si>
  <si>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</si>
  <si>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</si>
  <si>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</si>
  <si>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</si>
  <si>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</si>
  <si>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</si>
  <si>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</si>
  <si>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</si>
  <si>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</si>
  <si>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</si>
  <si>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</si>
  <si>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</si>
  <si>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</si>
  <si>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</si>
  <si>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</si>
  <si>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</si>
  <si>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</si>
  <si>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</si>
  <si>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</si>
  <si>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</si>
  <si>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</si>
  <si>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</si>
  <si>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</si>
  <si>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</si>
  <si>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</si>
  <si>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</si>
  <si>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</si>
  <si>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</si>
  <si>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</si>
  <si>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</si>
  <si>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</si>
  <si>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</si>
  <si>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</si>
  <si>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</si>
  <si>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</si>
  <si>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</si>
  <si>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</si>
  <si>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</si>
  <si>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</si>
  <si>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</si>
  <si>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</si>
  <si>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</si>
  <si>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</si>
  <si>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</si>
  <si>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</si>
  <si>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</si>
  <si>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</si>
  <si>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</si>
  <si>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</si>
  <si>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</si>
  <si>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</si>
  <si>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</si>
  <si>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</si>
  <si>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</si>
  <si>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</si>
  <si>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</si>
  <si>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</si>
  <si>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</si>
  <si>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</si>
  <si>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</si>
  <si>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</si>
  <si>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</si>
  <si>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</si>
  <si>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</si>
  <si>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</si>
  <si>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</si>
  <si>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</si>
  <si>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</si>
  <si>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</si>
  <si>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</si>
  <si>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</si>
  <si>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</si>
  <si>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</si>
  <si>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</si>
  <si>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</si>
  <si>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</si>
  <si>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</si>
  <si>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</si>
  <si>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</si>
  <si>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</si>
  <si>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</si>
  <si>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</si>
  <si>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</si>
  <si>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</si>
  <si>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</si>
  <si>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</si>
  <si>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</si>
  <si>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</si>
  <si>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</si>
  <si>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</si>
  <si>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</si>
  <si>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</si>
  <si>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</si>
  <si>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</si>
  <si>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</si>
  <si>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</si>
  <si>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</si>
  <si>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</si>
  <si>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</si>
  <si>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</si>
  <si>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</si>
  <si>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</si>
  <si>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</si>
  <si>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</si>
  <si>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</si>
  <si>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</si>
  <si>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</si>
  <si>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</si>
  <si>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</si>
  <si>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</si>
  <si>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</si>
  <si>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</si>
  <si>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</si>
  <si>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</si>
  <si>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</si>
  <si>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</si>
  <si>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</si>
  <si>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</si>
  <si>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</si>
  <si>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</si>
  <si>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</si>
  <si>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</si>
  <si>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</si>
  <si>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</si>
  <si>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</si>
  <si>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</si>
  <si>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</si>
  <si>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</si>
  <si>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</si>
  <si>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</si>
  <si>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</si>
  <si>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</si>
  <si>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</si>
  <si>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</si>
  <si>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</si>
  <si>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</si>
  <si>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</si>
  <si>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</si>
  <si>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</si>
  <si>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</si>
  <si>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</si>
  <si>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</si>
  <si>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</si>
  <si>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</si>
  <si>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</si>
  <si>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</si>
  <si>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</si>
  <si>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</si>
  <si>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</si>
  <si>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</si>
  <si>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</si>
  <si>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</si>
  <si>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</si>
  <si>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</si>
  <si>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</si>
  <si>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</si>
  <si>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</si>
  <si>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</si>
  <si>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</si>
  <si>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</si>
  <si>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</si>
  <si>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</si>
  <si>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</si>
  <si>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</si>
  <si>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</si>
  <si>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</si>
  <si>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</si>
  <si>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</si>
  <si>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</si>
  <si>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</si>
  <si>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</si>
  <si>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</si>
  <si>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</si>
  <si>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</si>
  <si>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</si>
  <si>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</si>
  <si>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</si>
  <si>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</si>
  <si>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</si>
  <si>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</si>
  <si>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</si>
  <si>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</si>
  <si>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</si>
  <si>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</si>
  <si>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</si>
  <si>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</si>
  <si>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</si>
  <si>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</si>
  <si>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</si>
  <si>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</si>
  <si>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</si>
  <si>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</si>
  <si>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</si>
  <si>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</si>
  <si>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</si>
  <si>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</si>
  <si>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</si>
  <si>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</si>
  <si>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</si>
  <si>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</si>
  <si>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</si>
  <si>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</si>
  <si>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</si>
  <si>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</si>
  <si>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</si>
  <si>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</si>
  <si>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</si>
  <si>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</si>
  <si>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</si>
  <si>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</si>
  <si>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</si>
  <si>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</si>
  <si>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</si>
  <si>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</si>
  <si>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</si>
  <si>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</si>
  <si>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</si>
  <si>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</si>
  <si>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</si>
  <si>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</si>
  <si>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</si>
  <si>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</si>
  <si>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</si>
  <si>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</si>
  <si>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</si>
  <si>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</si>
  <si>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</si>
  <si>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</si>
  <si>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</si>
  <si>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</si>
  <si>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</si>
  <si>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</si>
  <si>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</si>
  <si>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</si>
  <si>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</si>
  <si>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</si>
  <si>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</si>
  <si>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</si>
  <si>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</si>
  <si>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</si>
  <si>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</si>
  <si>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</si>
  <si>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</si>
  <si>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</si>
  <si>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</si>
  <si>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</si>
  <si>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</si>
  <si>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</si>
  <si>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</si>
  <si>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</si>
  <si>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</si>
  <si>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</si>
  <si>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</si>
  <si>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</si>
  <si>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</si>
  <si>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</si>
  <si>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</si>
  <si>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</si>
  <si>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</si>
  <si>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</si>
  <si>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</si>
  <si>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</si>
  <si>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</si>
  <si>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</si>
  <si>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</si>
  <si>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</si>
  <si>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</si>
  <si>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</si>
  <si>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</si>
  <si>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</si>
  <si>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</si>
  <si>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</si>
  <si>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</si>
  <si>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</si>
  <si>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</si>
  <si>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</si>
  <si>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</si>
  <si>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</si>
  <si>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</si>
  <si>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</si>
  <si>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</si>
  <si>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</si>
  <si>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</si>
  <si>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</si>
  <si>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</si>
  <si>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</si>
  <si>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</si>
  <si>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</si>
  <si>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</si>
  <si>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</si>
  <si>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</si>
  <si>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</si>
  <si>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</si>
  <si>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</si>
  <si>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</si>
  <si>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</si>
  <si>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</si>
  <si>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</si>
  <si>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</si>
  <si>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</si>
  <si>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</si>
  <si>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</si>
  <si>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</si>
  <si>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</si>
  <si>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</si>
  <si>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</si>
  <si>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</si>
  <si>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</si>
  <si>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</si>
  <si>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</si>
  <si>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</si>
  <si>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</si>
  <si>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</si>
  <si>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</si>
  <si>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</si>
  <si>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</si>
  <si>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</si>
  <si>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</si>
  <si>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</si>
  <si>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</si>
  <si>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</si>
  <si>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</si>
  <si>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</si>
  <si>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</si>
  <si>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</si>
  <si>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</si>
  <si>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</si>
  <si>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</si>
  <si>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</si>
  <si>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</si>
  <si>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</si>
  <si>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</si>
  <si>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</si>
  <si>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</si>
  <si>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</si>
  <si>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</si>
  <si>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</si>
  <si>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</si>
  <si>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</si>
  <si>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</si>
  <si>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</si>
  <si>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</si>
  <si>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</si>
  <si>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</si>
  <si>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</si>
  <si>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</si>
  <si>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</si>
  <si>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</si>
  <si>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</si>
  <si>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</si>
  <si>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</si>
  <si>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</si>
  <si>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</si>
  <si>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</si>
  <si>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</si>
  <si>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</si>
  <si>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</si>
  <si>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</si>
  <si>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</si>
  <si>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</si>
  <si>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</si>
  <si>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</si>
  <si>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</si>
  <si>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</si>
  <si>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</si>
  <si>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</si>
  <si>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</si>
  <si>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</si>
  <si>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</si>
  <si>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</si>
  <si>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</si>
  <si>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</si>
  <si>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</si>
  <si>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</si>
  <si>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</si>
  <si>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</si>
  <si>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</si>
  <si>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</si>
  <si>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</si>
  <si>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</si>
  <si>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</si>
  <si>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</si>
  <si>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</si>
  <si>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</si>
  <si>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</si>
  <si>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</si>
  <si>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</si>
  <si>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</si>
  <si>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</si>
  <si>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</si>
  <si>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</si>
  <si>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</si>
  <si>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</si>
  <si>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</si>
  <si>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</si>
  <si>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</si>
  <si>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</si>
  <si>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</si>
  <si>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</si>
  <si>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</si>
  <si>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</si>
  <si>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</si>
  <si>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</si>
  <si>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</si>
  <si>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</si>
  <si>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</si>
  <si>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</si>
  <si>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</si>
  <si>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</si>
  <si>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</si>
  <si>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</si>
  <si>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</si>
  <si>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</si>
  <si>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</si>
  <si>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</si>
  <si>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</si>
  <si>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</si>
  <si>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</si>
  <si>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</si>
  <si>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</si>
  <si>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</si>
  <si>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</si>
  <si>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</si>
  <si>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</si>
  <si>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</si>
  <si>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</si>
  <si>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</si>
  <si>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</si>
  <si>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</si>
  <si>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</si>
  <si>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</si>
  <si>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</si>
  <si>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</si>
  <si>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</si>
  <si>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</si>
  <si>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</si>
  <si>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</si>
  <si>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</si>
  <si>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</si>
  <si>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</si>
  <si>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</si>
  <si>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</si>
  <si>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</si>
  <si>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</si>
  <si>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</si>
  <si>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</si>
  <si>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</si>
  <si>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</si>
  <si>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</si>
  <si>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</si>
  <si>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</si>
  <si>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</si>
  <si>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</si>
  <si>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</si>
  <si>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</si>
  <si>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</si>
  <si>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</si>
  <si>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</si>
  <si>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</si>
  <si>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</si>
  <si>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</si>
  <si>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</si>
  <si>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</si>
  <si>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</si>
  <si>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</si>
  <si>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</si>
  <si>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</si>
  <si>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</si>
  <si>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</si>
  <si>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</si>
  <si>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</si>
  <si>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</si>
  <si>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</si>
  <si>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</si>
  <si>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</si>
  <si>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</si>
  <si>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</si>
  <si>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</si>
  <si>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</si>
  <si>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</si>
  <si>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</si>
  <si>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</si>
  <si>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</si>
  <si>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</si>
  <si>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</si>
  <si>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</si>
  <si>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</si>
  <si>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</si>
  <si>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</si>
  <si>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</si>
  <si>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</si>
  <si>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</si>
  <si>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</si>
  <si>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</si>
  <si>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</si>
  <si>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</si>
  <si>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</si>
  <si>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</si>
  <si>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</si>
  <si>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</si>
  <si>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</si>
  <si>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</si>
  <si>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</si>
  <si>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</si>
  <si>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</si>
  <si>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</si>
  <si>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</si>
  <si>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</si>
  <si>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</si>
  <si>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</si>
  <si>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</si>
  <si>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</si>
  <si>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</si>
  <si>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</si>
  <si>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</si>
  <si>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</si>
  <si>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</si>
  <si>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</si>
  <si>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</si>
  <si>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</si>
  <si>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</si>
  <si>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</si>
  <si>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</si>
  <si>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</si>
  <si>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</si>
  <si>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</si>
  <si>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</si>
  <si>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</si>
  <si>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</si>
  <si>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</si>
  <si>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</si>
  <si>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</si>
  <si>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</si>
  <si>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</si>
  <si>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</si>
  <si>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</si>
  <si>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</si>
  <si>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</si>
  <si>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</si>
  <si>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</si>
  <si>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</si>
  <si>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</si>
  <si>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</si>
  <si>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</si>
  <si>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</si>
  <si>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</si>
  <si>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</si>
  <si>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</si>
  <si>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</si>
  <si>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</si>
  <si>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</si>
  <si>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</si>
  <si>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</si>
  <si>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</si>
  <si>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</si>
  <si>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</si>
  <si>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</si>
  <si>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</si>
  <si>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</si>
  <si>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</si>
  <si>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</si>
  <si>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</si>
  <si>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</si>
  <si>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</si>
  <si>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</si>
  <si>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</si>
  <si>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</si>
  <si>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</si>
  <si>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</si>
  <si>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</si>
  <si>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</si>
  <si>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</si>
  <si>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</si>
  <si>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</si>
  <si>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</si>
  <si>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</si>
  <si>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</si>
  <si>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</si>
  <si>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</si>
  <si>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</si>
  <si>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</si>
  <si>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</si>
  <si>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</si>
  <si>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</si>
  <si>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</si>
  <si>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</si>
  <si>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</si>
  <si>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</si>
  <si>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</si>
  <si>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</si>
  <si>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</si>
  <si>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</si>
  <si>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</si>
  <si>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</si>
  <si>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</si>
  <si>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</si>
  <si>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</si>
  <si>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</si>
  <si>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</si>
  <si>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</si>
  <si>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</si>
  <si>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</si>
  <si>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</si>
  <si>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</si>
  <si>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</si>
  <si>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</si>
  <si>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</si>
  <si>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</si>
  <si>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</si>
  <si>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</si>
  <si>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</si>
  <si>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</si>
  <si>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</si>
  <si>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</si>
  <si>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</si>
  <si>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</si>
  <si>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</si>
  <si>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</si>
  <si>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</si>
  <si>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</si>
  <si>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</si>
  <si>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</si>
  <si>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</si>
  <si>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</si>
  <si>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</si>
  <si>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</si>
  <si>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</si>
  <si>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</si>
  <si>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</si>
  <si>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</si>
  <si>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</si>
  <si>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</si>
  <si>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</si>
  <si>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</si>
  <si>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</si>
  <si>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</si>
  <si>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</si>
  <si>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</si>
  <si>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</si>
  <si>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</si>
  <si>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</si>
  <si>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</si>
  <si>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</si>
  <si>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</si>
  <si>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</si>
  <si>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</si>
  <si>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</si>
  <si>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</si>
  <si>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</si>
  <si>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</si>
  <si>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</si>
  <si>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</si>
  <si>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</si>
  <si>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</si>
  <si>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</si>
  <si>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</si>
  <si>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</si>
  <si>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</si>
  <si>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</si>
  <si>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</si>
  <si>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</si>
  <si>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</si>
  <si>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</si>
  <si>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</si>
  <si>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</si>
  <si>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</si>
  <si>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</si>
  <si>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</si>
  <si>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</si>
  <si>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</si>
  <si>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</si>
  <si>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</si>
  <si>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</si>
  <si>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</si>
  <si>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</si>
  <si>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</si>
  <si>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</si>
  <si>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</si>
  <si>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</si>
  <si>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</si>
  <si>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</si>
  <si>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</si>
  <si>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</si>
  <si>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</si>
  <si>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</si>
  <si>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</si>
  <si>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</si>
  <si>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</si>
  <si>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</si>
  <si>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</si>
  <si>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</si>
  <si>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</si>
  <si>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</si>
  <si>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</si>
  <si>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</si>
  <si>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</si>
  <si>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</si>
  <si>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</si>
  <si>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</si>
  <si>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</si>
  <si>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</si>
  <si>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</si>
  <si>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</si>
  <si>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</si>
  <si>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</si>
  <si>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</si>
  <si>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</si>
  <si>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</si>
  <si>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</si>
  <si>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</si>
  <si>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</si>
  <si>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</si>
  <si>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</si>
  <si>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</si>
  <si>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</si>
  <si>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</si>
  <si>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</si>
  <si>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</si>
  <si>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</si>
  <si>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</si>
  <si>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</si>
  <si>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</si>
  <si>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</si>
  <si>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</si>
  <si>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</si>
  <si>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</si>
  <si>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</si>
  <si>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</si>
  <si>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</si>
  <si>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</si>
  <si>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</si>
  <si>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</si>
  <si>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</si>
  <si>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</si>
  <si>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</si>
  <si>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</si>
  <si>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</si>
  <si>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</si>
  <si>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</si>
  <si>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</si>
  <si>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</si>
  <si>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</si>
  <si>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</si>
  <si>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</si>
  <si>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</si>
  <si>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</si>
  <si>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</si>
  <si>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</si>
  <si>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</si>
  <si>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</si>
  <si>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</si>
  <si>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</si>
  <si>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</si>
  <si>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</si>
  <si>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</si>
  <si>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</si>
  <si>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</si>
  <si>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</si>
  <si>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</si>
  <si>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</si>
  <si>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</si>
  <si>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</si>
  <si>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</si>
  <si>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</si>
  <si>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</si>
  <si>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</si>
  <si>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</si>
  <si>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</si>
  <si>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</si>
  <si>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</si>
  <si>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</si>
  <si>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</si>
  <si>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</si>
  <si>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</si>
  <si>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</si>
  <si>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</si>
  <si>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</si>
  <si>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</si>
  <si>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</si>
  <si>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</si>
  <si>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</si>
  <si>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</si>
  <si>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</si>
  <si>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</si>
  <si>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</si>
  <si>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</si>
  <si>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</si>
  <si>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</si>
  <si>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</si>
  <si>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</si>
  <si>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</si>
  <si>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</si>
  <si>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</si>
  <si>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</si>
  <si>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</si>
  <si>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</si>
  <si>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</si>
  <si>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</si>
  <si>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</si>
  <si>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</si>
  <si>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</si>
  <si>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</si>
  <si>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</si>
  <si>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</si>
  <si>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</si>
  <si>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</si>
  <si>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</si>
  <si>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</si>
  <si>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</si>
  <si>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</si>
  <si>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</si>
  <si>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</si>
  <si>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</si>
  <si>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</si>
  <si>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</si>
  <si>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</si>
  <si>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</si>
  <si>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</si>
  <si>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</si>
  <si>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</si>
  <si>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</si>
  <si>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</si>
  <si>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</si>
  <si>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</si>
  <si>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</si>
  <si>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</si>
  <si>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</si>
  <si>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</si>
  <si>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</si>
  <si>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</si>
  <si>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</si>
  <si>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</si>
  <si>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</si>
  <si>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</si>
  <si>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</si>
  <si>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</si>
  <si>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</si>
  <si>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</si>
  <si>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</si>
  <si>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</si>
  <si>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</si>
  <si>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</si>
  <si>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</si>
  <si>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</si>
  <si>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</si>
  <si>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</si>
  <si>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</si>
  <si>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</si>
  <si>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</si>
  <si>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</si>
  <si>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</si>
  <si>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</si>
  <si>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</si>
  <si>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</si>
  <si>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</si>
  <si>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</si>
  <si>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</si>
  <si>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</si>
  <si>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</si>
  <si>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</si>
  <si>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</si>
  <si>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</si>
  <si>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</si>
  <si>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</si>
  <si>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</si>
  <si>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</si>
  <si>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</si>
  <si>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</si>
  <si>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</si>
  <si>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</si>
  <si>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</si>
  <si>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</si>
  <si>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</si>
  <si>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</si>
  <si>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</si>
  <si>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</si>
  <si>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</si>
  <si>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</si>
  <si>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</si>
  <si>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</si>
  <si>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</si>
  <si>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</si>
  <si>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</si>
  <si>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</si>
  <si>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</si>
  <si>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</si>
  <si>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</si>
  <si>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</si>
  <si>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</si>
  <si>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</si>
  <si>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</si>
  <si>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</si>
  <si>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</si>
  <si>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</si>
  <si>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</si>
  <si>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</si>
  <si>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</si>
  <si>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</si>
  <si>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</si>
  <si>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</si>
  <si>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</si>
  <si>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</si>
  <si>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</si>
  <si>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</si>
  <si>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</si>
  <si>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</si>
  <si>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</si>
  <si>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</si>
  <si>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</si>
  <si>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</si>
  <si>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</si>
  <si>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</si>
  <si>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</si>
  <si>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</si>
  <si>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</si>
  <si>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</si>
  <si>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</si>
  <si>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</si>
  <si>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</si>
  <si>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</si>
  <si>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</si>
  <si>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</si>
  <si>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</si>
  <si>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</si>
  <si>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</si>
  <si>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</si>
  <si>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</si>
  <si>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</si>
  <si>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</si>
  <si>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</si>
  <si>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</si>
  <si>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</si>
  <si>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</si>
  <si>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</si>
  <si>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</si>
  <si>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</si>
  <si>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</si>
  <si>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</si>
  <si>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</si>
  <si>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</si>
  <si>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</si>
  <si>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</si>
  <si>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</si>
  <si>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</si>
  <si>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</si>
  <si>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</si>
  <si>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</si>
  <si>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</si>
  <si>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</si>
  <si>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</si>
  <si>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</si>
  <si>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</si>
  <si>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</si>
  <si>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</si>
  <si>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</si>
  <si>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</si>
  <si>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</si>
  <si>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</si>
  <si>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</si>
  <si>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</si>
  <si>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</si>
  <si>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</si>
  <si>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</si>
  <si>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</si>
  <si>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</si>
  <si>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</si>
  <si>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</si>
  <si>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</si>
  <si>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</si>
  <si>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</si>
  <si>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</si>
  <si>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</si>
  <si>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</si>
  <si>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</si>
  <si>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</si>
  <si>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</si>
  <si>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</si>
  <si>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</si>
  <si>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</si>
  <si>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</si>
  <si>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</si>
  <si>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</si>
  <si>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</si>
  <si>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</si>
  <si>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</si>
  <si>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</si>
  <si>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</si>
  <si>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</si>
  <si>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</si>
  <si>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</si>
  <si>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</si>
  <si>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</si>
  <si>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</si>
  <si>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</si>
  <si>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</si>
  <si>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</si>
  <si>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</si>
  <si>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</si>
  <si>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</si>
  <si>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</si>
  <si>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</si>
  <si>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</si>
  <si>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</si>
  <si>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</si>
  <si>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</si>
  <si>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</si>
  <si>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</si>
  <si>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</si>
  <si>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</si>
  <si>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</si>
  <si>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</si>
  <si>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</si>
  <si>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</si>
  <si>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</si>
  <si>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</si>
  <si>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</si>
  <si>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</si>
  <si>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</si>
  <si>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</si>
  <si>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</si>
  <si>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</si>
  <si>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</si>
  <si>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</si>
  <si>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</si>
  <si>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</si>
  <si>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</si>
  <si>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</si>
  <si>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</si>
  <si>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</si>
  <si>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</si>
  <si>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</si>
  <si>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</si>
  <si>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</si>
  <si>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</si>
  <si>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</si>
  <si>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</si>
  <si>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</si>
  <si>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</si>
  <si>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</si>
  <si>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</si>
  <si>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</si>
  <si>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</si>
  <si>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</si>
  <si>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</si>
  <si>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</si>
  <si>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</si>
  <si>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</si>
  <si>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</si>
  <si>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</si>
  <si>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</si>
  <si>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</si>
  <si>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</si>
  <si>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</si>
  <si>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</si>
  <si>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</si>
  <si>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</si>
  <si>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</si>
  <si>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</si>
  <si>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</si>
  <si>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</si>
  <si>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</si>
  <si>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</si>
  <si>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</si>
  <si>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</si>
  <si>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</si>
  <si>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</si>
  <si>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</si>
  <si>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</si>
  <si>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</si>
  <si>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</si>
  <si>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</si>
  <si>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</si>
  <si>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</si>
  <si>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</si>
  <si>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</si>
  <si>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</si>
  <si>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</si>
  <si>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</si>
  <si>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</si>
  <si>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</si>
  <si>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</si>
  <si>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</si>
  <si>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</si>
  <si>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</si>
  <si>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</si>
  <si>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</si>
  <si>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</si>
  <si>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</si>
  <si>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</si>
  <si>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</si>
  <si>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</si>
  <si>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</si>
  <si>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</si>
  <si>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</si>
  <si>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</si>
  <si>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</si>
  <si>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</si>
  <si>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</si>
  <si>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</si>
  <si>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</si>
  <si>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</si>
  <si>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</si>
  <si>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</si>
  <si>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</si>
  <si>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</si>
  <si>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</si>
  <si>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</si>
  <si>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</si>
  <si>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</si>
  <si>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</si>
  <si>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</si>
  <si>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</si>
  <si>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</si>
  <si>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</si>
  <si>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</si>
  <si>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</si>
  <si>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</si>
  <si>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</si>
  <si>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</si>
  <si>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</si>
  <si>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</si>
  <si>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</si>
  <si>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</si>
  <si>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</si>
  <si>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</si>
  <si>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</si>
  <si>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</si>
  <si>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</si>
  <si>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</si>
  <si>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</si>
  <si>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</si>
  <si>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</si>
  <si>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</si>
  <si>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</si>
  <si>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</si>
  <si>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</si>
  <si>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</si>
  <si>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</si>
  <si>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</si>
  <si>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</si>
  <si>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</si>
  <si>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</si>
  <si>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</si>
  <si>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</si>
  <si>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</si>
  <si>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</si>
  <si>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</si>
  <si>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</si>
  <si>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</si>
  <si>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</si>
  <si>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</si>
  <si>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</si>
  <si>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</si>
  <si>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</si>
  <si>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</si>
  <si>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</si>
  <si>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</si>
  <si>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</si>
  <si>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</si>
  <si>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</si>
  <si>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</si>
  <si>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</si>
  <si>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</si>
  <si>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</si>
  <si>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</si>
  <si>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</si>
  <si>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</si>
  <si>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</si>
  <si>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</si>
  <si>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</si>
  <si>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</si>
  <si>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</si>
  <si>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</si>
  <si>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</si>
  <si>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</si>
  <si>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</si>
  <si>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</si>
  <si>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</si>
  <si>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</si>
  <si>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</si>
  <si>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</si>
  <si>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</si>
  <si>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</si>
  <si>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</si>
  <si>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</si>
  <si>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</si>
  <si>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</si>
  <si>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</si>
  <si>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</si>
  <si>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</si>
  <si>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</si>
  <si>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</si>
  <si>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</si>
  <si>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</si>
  <si>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</si>
  <si>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</si>
  <si>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</si>
  <si>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</si>
  <si>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</si>
  <si>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</si>
  <si>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</si>
  <si>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</si>
  <si>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</si>
  <si>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</si>
  <si>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</si>
  <si>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</si>
  <si>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</si>
  <si>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</si>
  <si>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</si>
  <si>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</si>
  <si>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</si>
  <si>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</si>
  <si>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</si>
  <si>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</si>
  <si>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</si>
  <si>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</si>
  <si>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</si>
  <si>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</si>
  <si>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</si>
  <si>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</si>
  <si>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</si>
  <si>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</si>
  <si>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</si>
  <si>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</si>
  <si>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</si>
  <si>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</si>
  <si>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</si>
  <si>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</si>
  <si>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</si>
  <si>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</si>
  <si>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</si>
  <si>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</si>
  <si>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</si>
  <si>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</si>
  <si>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</si>
  <si>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</si>
  <si>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</si>
  <si>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</si>
  <si>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</si>
  <si>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</si>
  <si>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</si>
  <si>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</si>
  <si>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</si>
  <si>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</si>
  <si>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</si>
  <si>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</si>
  <si>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</si>
  <si>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</si>
  <si>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</si>
  <si>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</si>
  <si>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</si>
  <si>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</si>
  <si>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</si>
  <si>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</si>
  <si>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</si>
  <si>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</si>
  <si>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</si>
  <si>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</si>
  <si>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</si>
  <si>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</si>
  <si>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</si>
  <si>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</si>
  <si>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</si>
  <si>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</si>
  <si>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</si>
  <si>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</si>
  <si>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</si>
  <si>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</si>
  <si>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</si>
  <si>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</si>
  <si>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</si>
  <si>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</si>
  <si>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</si>
  <si>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</si>
  <si>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</si>
  <si>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</si>
  <si>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</si>
  <si>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</si>
  <si>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</si>
  <si>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</si>
  <si>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</si>
  <si>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</si>
  <si>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</si>
  <si>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</si>
  <si>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</si>
  <si>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</si>
  <si>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</si>
  <si>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</si>
  <si>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</si>
  <si>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</si>
  <si>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</si>
  <si>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</si>
  <si>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</si>
  <si>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</si>
  <si>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</si>
  <si>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</si>
  <si>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</si>
  <si>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</si>
  <si>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</si>
  <si>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</si>
  <si>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</si>
  <si>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</si>
  <si>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</si>
  <si>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</si>
  <si>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</si>
  <si>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</si>
  <si>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</si>
  <si>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</si>
  <si>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</si>
  <si>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</si>
  <si>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</si>
  <si>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</si>
  <si>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</si>
  <si>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</si>
  <si>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</si>
  <si>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</si>
  <si>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</si>
  <si>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</si>
  <si>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</si>
  <si>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</si>
  <si>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</si>
  <si>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</si>
  <si>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</si>
  <si>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</si>
  <si>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</si>
  <si>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</si>
  <si>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</si>
  <si>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</si>
  <si>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</si>
  <si>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</si>
  <si>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</si>
  <si>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</si>
  <si>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</si>
  <si>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</si>
  <si>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</si>
  <si>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</si>
  <si>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</si>
  <si>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</si>
  <si>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</si>
  <si>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</si>
  <si>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</si>
  <si>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</si>
  <si>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</si>
  <si>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</si>
  <si>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</si>
  <si>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</si>
  <si>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</si>
  <si>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</si>
  <si>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</si>
  <si>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</si>
  <si>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</si>
  <si>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</si>
  <si>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</si>
  <si>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</si>
  <si>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</si>
  <si>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</si>
  <si>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</si>
  <si>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</si>
  <si>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</si>
  <si>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</si>
  <si>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</si>
  <si>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</si>
  <si>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</si>
  <si>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</si>
  <si>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</si>
  <si>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</si>
  <si>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</si>
  <si>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</si>
  <si>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</si>
  <si>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</si>
  <si>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</si>
  <si>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</si>
  <si>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</si>
  <si>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</si>
  <si>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</si>
  <si>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</si>
  <si>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</si>
  <si>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</si>
  <si>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</si>
  <si>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</si>
  <si>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</si>
  <si>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</si>
  <si>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</si>
  <si>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</si>
  <si>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</si>
  <si>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</si>
  <si>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</si>
  <si>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</si>
  <si>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</si>
  <si>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</si>
  <si>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</si>
  <si>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</si>
  <si>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</si>
  <si>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</si>
  <si>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</si>
  <si>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</si>
  <si>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</si>
  <si>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</si>
  <si>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</si>
  <si>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</si>
  <si>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</si>
  <si>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</si>
  <si>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</si>
  <si>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</si>
  <si>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</si>
  <si>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</si>
  <si>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</si>
  <si>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</si>
  <si>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</si>
  <si>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</si>
  <si>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</si>
  <si>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</si>
  <si>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</si>
  <si>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</si>
  <si>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</si>
  <si>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</si>
  <si>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</si>
  <si>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</si>
  <si>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</si>
  <si>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</si>
  <si>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</si>
  <si>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</si>
  <si>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</si>
  <si>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</si>
  <si>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</si>
  <si>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</si>
  <si>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</si>
  <si>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</si>
  <si>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</si>
  <si>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</si>
  <si>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</si>
  <si>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</si>
  <si>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</si>
  <si>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</si>
  <si>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</si>
  <si>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</si>
  <si>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</si>
  <si>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</si>
  <si>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</si>
  <si>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</si>
  <si>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</si>
  <si>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</si>
  <si>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</si>
  <si>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</si>
  <si>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</si>
  <si>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</si>
  <si>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</si>
  <si>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</si>
  <si>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</si>
  <si>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</si>
  <si>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</si>
  <si>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</si>
  <si>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</si>
  <si>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</si>
  <si>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</si>
  <si>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</si>
  <si>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</si>
  <si>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</si>
  <si>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</si>
  <si>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</si>
  <si>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</si>
  <si>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</si>
  <si>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</si>
  <si>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</si>
  <si>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</si>
  <si>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</si>
  <si>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</si>
  <si>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</si>
  <si>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</si>
  <si>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</si>
  <si>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</si>
  <si>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</si>
  <si>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</si>
  <si>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</si>
  <si>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</si>
  <si>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</si>
  <si>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</si>
  <si>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</si>
  <si>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</si>
  <si>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</si>
  <si>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</si>
  <si>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</si>
  <si>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</si>
  <si>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</si>
  <si>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</si>
  <si>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</si>
  <si>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</si>
  <si>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</si>
  <si>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</si>
  <si>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</si>
  <si>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</si>
  <si>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</si>
  <si>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</si>
  <si>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</si>
  <si>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</si>
  <si>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</si>
  <si>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</si>
  <si>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</si>
  <si>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</si>
  <si>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</si>
  <si>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</si>
  <si>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</si>
  <si>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</si>
  <si>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</si>
  <si>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</si>
  <si>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</si>
  <si>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</si>
  <si>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</si>
  <si>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</si>
  <si>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</si>
  <si>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</si>
  <si>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</si>
  <si>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</si>
  <si>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</si>
  <si>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</si>
  <si>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</si>
  <si>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</si>
  <si>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</si>
  <si>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</si>
  <si>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</si>
  <si>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</si>
  <si>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</si>
  <si>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</si>
  <si>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</si>
  <si>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</si>
  <si>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</si>
  <si>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</si>
  <si>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</si>
  <si>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</si>
  <si>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</si>
  <si>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</si>
  <si>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</si>
  <si>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</si>
  <si>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</si>
  <si>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</si>
  <si>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</si>
  <si>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</si>
  <si>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</si>
  <si>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</si>
  <si>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</si>
  <si>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</si>
  <si>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</si>
  <si>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</si>
  <si>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</si>
  <si>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</si>
  <si>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</si>
  <si>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</si>
  <si>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</si>
  <si>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</si>
  <si>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</si>
  <si>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</si>
  <si>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</si>
  <si>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</si>
  <si>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</si>
  <si>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</si>
  <si>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</si>
  <si>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</si>
  <si>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</si>
  <si>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</si>
  <si>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</si>
  <si>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</si>
  <si>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</si>
  <si>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</si>
  <si>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</si>
  <si>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</si>
  <si>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</si>
  <si>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</si>
  <si>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</si>
  <si>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</si>
  <si>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</si>
  <si>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</si>
  <si>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</si>
  <si>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</si>
  <si>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</si>
  <si>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</si>
  <si>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</si>
  <si>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</si>
  <si>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</si>
  <si>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</si>
  <si>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</si>
  <si>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</si>
  <si>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</si>
  <si>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</si>
  <si>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</si>
  <si>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</si>
  <si>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</si>
  <si>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</si>
  <si>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</si>
  <si>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</si>
  <si>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</si>
  <si>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</si>
  <si>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</si>
  <si>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</si>
  <si>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</si>
  <si>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</si>
  <si>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</si>
  <si>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</si>
  <si>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</si>
  <si>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</si>
  <si>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</si>
  <si>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</si>
  <si>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</si>
  <si>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</si>
  <si>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</si>
  <si>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</si>
  <si>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</si>
  <si>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</si>
  <si>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</si>
  <si>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</si>
  <si>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</si>
  <si>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</si>
  <si>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</si>
  <si>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</si>
  <si>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</si>
  <si>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</si>
  <si>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</si>
  <si>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</si>
  <si>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</si>
  <si>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</si>
  <si>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</si>
  <si>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</si>
  <si>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</si>
  <si>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</si>
  <si>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</si>
  <si>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</si>
  <si>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</si>
  <si>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</si>
  <si>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</si>
  <si>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</si>
  <si>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</si>
  <si>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</si>
  <si>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</si>
  <si>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</si>
  <si>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</si>
  <si>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</si>
  <si>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</si>
  <si>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</si>
  <si>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</si>
  <si>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</si>
  <si>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</si>
  <si>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</si>
  <si>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</si>
  <si>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</si>
  <si>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</si>
  <si>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</si>
  <si>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</si>
  <si>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</si>
  <si>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</si>
  <si>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</si>
  <si>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</si>
  <si>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</si>
  <si>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</si>
  <si>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</si>
  <si>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</si>
  <si>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</si>
  <si>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</si>
  <si>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</si>
  <si>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</si>
  <si>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</si>
  <si>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</si>
  <si>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</si>
  <si>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</si>
  <si>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</si>
  <si>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</si>
  <si>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</si>
  <si>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</si>
  <si>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</si>
  <si>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</si>
  <si>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</si>
  <si>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</si>
  <si>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</si>
  <si>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</si>
  <si>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</si>
  <si>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</si>
  <si>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</si>
  <si>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</si>
  <si>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</si>
  <si>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</si>
  <si>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</si>
  <si>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</si>
  <si>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</si>
  <si>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</si>
  <si>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</si>
  <si>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</si>
  <si>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</si>
  <si>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</si>
  <si>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</si>
  <si>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</si>
  <si>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</si>
  <si>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</si>
  <si>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</si>
  <si>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</si>
  <si>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</si>
  <si>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</si>
  <si>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</si>
  <si>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</si>
  <si>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</si>
  <si>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</si>
  <si>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</si>
  <si>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</si>
  <si>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</si>
  <si>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</si>
  <si>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</si>
  <si>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</si>
  <si>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</si>
  <si>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</si>
  <si>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</si>
  <si>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</si>
  <si>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</si>
  <si>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</si>
  <si>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</si>
  <si>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</si>
  <si>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</si>
  <si>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</si>
  <si>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</si>
  <si>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</si>
  <si>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</si>
  <si>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</si>
  <si>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</si>
  <si>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</si>
  <si>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</si>
  <si>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</si>
  <si>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</si>
  <si>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</si>
  <si>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</si>
  <si>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</si>
  <si>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</si>
  <si>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</si>
  <si>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</si>
  <si>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</si>
  <si>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</si>
  <si>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</si>
  <si>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</si>
  <si>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</si>
  <si>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</si>
  <si>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</si>
  <si>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</si>
  <si>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</si>
  <si>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</si>
  <si>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</si>
  <si>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</si>
  <si>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</si>
  <si>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</si>
  <si>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</si>
  <si>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</si>
  <si>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</si>
  <si>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</si>
  <si>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</si>
  <si>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</si>
  <si>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</si>
  <si>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</si>
  <si>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</si>
  <si>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</si>
  <si>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</si>
  <si>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</si>
  <si>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</si>
  <si>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</si>
  <si>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</si>
  <si>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</si>
  <si>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</si>
  <si>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</si>
  <si>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</si>
  <si>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</si>
  <si>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</si>
  <si>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</si>
  <si>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</si>
  <si>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</si>
  <si>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</si>
  <si>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</si>
  <si>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</si>
  <si>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</si>
  <si>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</si>
  <si>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</si>
  <si>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</si>
  <si>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</si>
  <si>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</si>
  <si>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</si>
  <si>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</si>
  <si>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</si>
  <si>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</si>
  <si>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</si>
  <si>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</si>
  <si>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</si>
  <si>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</si>
  <si>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</si>
  <si>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</si>
  <si>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</si>
  <si>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</si>
  <si>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</si>
  <si>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</si>
  <si>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</si>
  <si>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</si>
  <si>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</si>
  <si>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</si>
  <si>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</si>
  <si>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</si>
  <si>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</si>
  <si>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</si>
  <si>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</si>
  <si>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</si>
  <si>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</si>
  <si>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</si>
  <si>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</si>
  <si>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</si>
  <si>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</si>
  <si>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</si>
  <si>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</si>
  <si>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</si>
  <si>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</si>
  <si>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</si>
  <si>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</si>
  <si>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</si>
  <si>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</si>
  <si>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</si>
  <si>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</si>
  <si>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</si>
  <si>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</si>
  <si>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</si>
  <si>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</si>
  <si>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</si>
  <si>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</si>
  <si>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</si>
  <si>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</si>
  <si>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</si>
  <si>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</si>
  <si>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</si>
  <si>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</si>
  <si>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</si>
  <si>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</si>
  <si>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</si>
  <si>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</si>
  <si>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</si>
  <si>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</si>
  <si>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</si>
  <si>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</si>
  <si>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</si>
  <si>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</si>
  <si>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</si>
  <si>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</si>
  <si>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</si>
  <si>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</si>
  <si>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</si>
  <si>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</si>
  <si>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</si>
  <si>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</si>
  <si>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</si>
  <si>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</si>
  <si>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</si>
  <si>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</si>
  <si>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</si>
  <si>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</si>
  <si>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</si>
  <si>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</si>
  <si>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</si>
  <si>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</si>
  <si>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</si>
  <si>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</si>
  <si>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</si>
  <si>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</si>
  <si>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</si>
  <si>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</si>
  <si>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</si>
  <si>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</si>
  <si>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</si>
  <si>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</si>
  <si>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</si>
  <si>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</si>
  <si>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</si>
  <si>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</si>
  <si>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</si>
  <si>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</si>
  <si>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</si>
  <si>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</si>
  <si>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</si>
  <si>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</si>
  <si>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</si>
  <si>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</si>
  <si>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</si>
  <si>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</si>
  <si>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</si>
  <si>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</si>
  <si>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</si>
  <si>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</si>
  <si>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</si>
  <si>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</si>
  <si>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</si>
  <si>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</si>
  <si>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</si>
  <si>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</si>
  <si>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</si>
  <si>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</si>
  <si>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</si>
  <si>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</si>
  <si>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</si>
  <si>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</si>
  <si>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</si>
  <si>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</si>
  <si>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</si>
  <si>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</si>
  <si>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</si>
  <si>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</si>
  <si>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</si>
  <si>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</si>
  <si>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</si>
  <si>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</si>
  <si>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</si>
  <si>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</si>
  <si>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</si>
  <si>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</si>
  <si>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</si>
  <si>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</si>
  <si>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</si>
  <si>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</si>
  <si>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</si>
  <si>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</si>
  <si>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</si>
  <si>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</si>
  <si>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</si>
  <si>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</si>
  <si>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</si>
  <si>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</si>
  <si>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</si>
  <si>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</si>
  <si>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</si>
  <si>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</si>
  <si>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</si>
  <si>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</si>
  <si>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</si>
  <si>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</si>
  <si>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</si>
  <si>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</si>
  <si>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</si>
  <si>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</si>
  <si>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</si>
  <si>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</si>
  <si>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</si>
  <si>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</si>
  <si>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</si>
  <si>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</si>
  <si>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</si>
  <si>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</si>
  <si>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</si>
  <si>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</si>
  <si>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</si>
  <si>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</si>
  <si>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</si>
  <si>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</si>
  <si>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</si>
  <si>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</si>
  <si>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</si>
  <si>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</si>
  <si>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</si>
  <si>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</si>
  <si>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</si>
  <si>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</si>
  <si>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</si>
  <si>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</si>
  <si>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</si>
  <si>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</si>
  <si>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</si>
  <si>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</si>
  <si>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</si>
  <si>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</si>
  <si>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</si>
  <si>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</si>
  <si>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</si>
  <si>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</si>
  <si>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</si>
  <si>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</si>
  <si>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</si>
  <si>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</si>
  <si>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</si>
  <si>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</si>
  <si>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</si>
  <si>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</si>
  <si>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</si>
  <si>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</si>
  <si>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</si>
  <si>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</si>
  <si>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</si>
  <si>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</si>
  <si>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</si>
  <si>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</si>
  <si>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</si>
  <si>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</si>
  <si>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</si>
  <si>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</si>
  <si>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</si>
  <si>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</si>
  <si>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</si>
  <si>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</si>
  <si>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</si>
  <si>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</si>
  <si>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</si>
  <si>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</si>
  <si>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</si>
  <si>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</si>
  <si>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</si>
  <si>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</si>
  <si>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</si>
  <si>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</si>
  <si>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</si>
  <si>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</si>
  <si>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</si>
  <si>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</si>
  <si>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</si>
  <si>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</si>
  <si>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</si>
  <si>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</si>
  <si>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</si>
  <si>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</si>
  <si>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</si>
  <si>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</si>
  <si>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</si>
  <si>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</si>
  <si>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</si>
  <si>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</si>
  <si>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</si>
  <si>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</si>
  <si>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</si>
  <si>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</si>
  <si>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</si>
  <si>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</si>
  <si>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</si>
  <si>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</si>
  <si>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</si>
  <si>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</si>
  <si>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</si>
  <si>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</si>
  <si>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</si>
  <si>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</si>
  <si>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</si>
  <si>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</si>
  <si>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</si>
  <si>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</si>
  <si>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</si>
  <si>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</si>
  <si>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</si>
  <si>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</si>
  <si>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</si>
  <si>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</si>
  <si>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</si>
  <si>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</si>
  <si>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</si>
  <si>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</si>
  <si>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</si>
  <si>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Grundy</t>
  </si>
  <si>
    <t>725 School Street</t>
  </si>
  <si>
    <t>Morris</t>
  </si>
  <si>
    <t>dragano@grundyspecialed.org</t>
  </si>
  <si>
    <t>Neil Sanburg</t>
  </si>
  <si>
    <t>nsanburgF@grundyspecialed.org</t>
  </si>
  <si>
    <t>815-942-5780</t>
  </si>
  <si>
    <t>815-942-5782</t>
  </si>
  <si>
    <t>Mack &amp; Associates, P.C.</t>
  </si>
  <si>
    <t>Lauri Pope, CPA</t>
  </si>
  <si>
    <t>116 E. Washington St., Suite One</t>
  </si>
  <si>
    <t>IL</t>
  </si>
  <si>
    <t>815-942-3306</t>
  </si>
  <si>
    <t>815-942-9430</t>
  </si>
  <si>
    <t>PDF in Opinion Page with signature</t>
  </si>
  <si>
    <t>See Below</t>
  </si>
  <si>
    <t>x</t>
  </si>
  <si>
    <t xml:space="preserve">Coal City Unit District #1; Mazon-Verona Kinsman District #2C; Nettle Creek District #24C; Morris Elementary School District 54; Saratoga CCSD #60C; Gardner District #72; </t>
  </si>
  <si>
    <t>Gardner -South Wilmington District #73; South Wilmington District #74; Braceville District #75; Morris High School District #101; Minooka High School District #111; Minooka Elementary District #201.</t>
  </si>
  <si>
    <t>Page 11, Line 107 - Other Local Revenues - Reimbursements/Refunds</t>
  </si>
  <si>
    <r>
      <t xml:space="preserve">The accompanying Schedule of Expenditures of Federal Awards includes the federal grant activity of </t>
    </r>
    <r>
      <rPr>
        <b/>
        <sz val="9"/>
        <rFont val="Calibri"/>
        <family val="2"/>
        <scheme val="minor"/>
      </rPr>
      <t xml:space="preserve">Grundy County Special Education Cooperative </t>
    </r>
    <r>
      <rPr>
        <sz val="9"/>
        <rFont val="Calibri"/>
        <family val="2"/>
        <scheme val="minor"/>
      </rPr>
      <t>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basicfinancial statements.</t>
    </r>
  </si>
  <si>
    <t>Of the federal expenditures presented in the schedule, Grundy County Special Education Cooperative provided federal awards to subrecipients as follows:</t>
  </si>
  <si>
    <t>Coal City CUSD #1</t>
  </si>
  <si>
    <t>MVK Elementary School District #2</t>
  </si>
  <si>
    <t>Nettle Creek District #24</t>
  </si>
  <si>
    <t>Morris Elementary District #54</t>
  </si>
  <si>
    <t>Saratoga Elementary District #60C</t>
  </si>
  <si>
    <t>Gardner Elementary District #72</t>
  </si>
  <si>
    <t>GSW High School District #73</t>
  </si>
  <si>
    <t>South Wilmington Elementary District #74</t>
  </si>
  <si>
    <t>Braceville Elementary District #75</t>
  </si>
  <si>
    <t>Morris HS District #101</t>
  </si>
  <si>
    <t>Minooka District #111</t>
  </si>
  <si>
    <t>Minooka District #201</t>
  </si>
  <si>
    <r>
      <t xml:space="preserve">The following amounts were expended in the form of non-cash assistance by </t>
    </r>
    <r>
      <rPr>
        <b/>
        <sz val="9"/>
        <rFont val="Calibri"/>
        <family val="2"/>
        <scheme val="minor"/>
      </rPr>
      <t xml:space="preserve">Grundy County Special Education Cooperative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</si>
  <si>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United States Department of Agriculture:</t>
  </si>
  <si>
    <t xml:space="preserve"> Passed through Illinois State Board of Education:</t>
  </si>
  <si>
    <t xml:space="preserve">  ISBE Lanter Commodities - 2018</t>
  </si>
  <si>
    <t>2018-4299</t>
  </si>
  <si>
    <t>U.S. Department of Education Direct Programs:</t>
  </si>
  <si>
    <t xml:space="preserve">  Fed Spec. Ed. IDEA Flow-through - 2018 (M)</t>
  </si>
  <si>
    <t xml:space="preserve">  Special Education Preschool Grants - 2018 (M)</t>
  </si>
  <si>
    <t xml:space="preserve">  Special Education Preschool Grants - 2017 (M)</t>
  </si>
  <si>
    <t xml:space="preserve">  Fed Spec. Ed. IDEA Flow-through - 2017 (M)</t>
  </si>
  <si>
    <t>U.S. Department of Health &amp; Human Services:</t>
  </si>
  <si>
    <t xml:space="preserve">  Passed through IL Dept. of Healthcare &amp; Family Services:</t>
  </si>
  <si>
    <t xml:space="preserve">  Medical Assistance Program - 2018</t>
  </si>
  <si>
    <t xml:space="preserve">  Medical Assistance Program - 2017</t>
  </si>
  <si>
    <t>2018-4991</t>
  </si>
  <si>
    <t>2017-4991</t>
  </si>
  <si>
    <t>2018-4600</t>
  </si>
  <si>
    <t>2017-4600</t>
  </si>
  <si>
    <t>2018-4620</t>
  </si>
  <si>
    <t>2017-4620</t>
  </si>
  <si>
    <t>Commodities included in FS</t>
  </si>
  <si>
    <t>Instructed by HFS to report only Co-op portion of Medicaid on SEFA</t>
  </si>
  <si>
    <t>Unmodified</t>
  </si>
  <si>
    <t>Special Education Preschool Grants - Special Ed (IDEA) Cluster</t>
  </si>
  <si>
    <t>Fed. Spec. Ed - IDEA Flow-through - Special Ed (IDEA) Cluster</t>
  </si>
  <si>
    <t xml:space="preserve">The Board has the ultimate responsibility for oversight of the Cooperative’s system of internal control over financial reporting. While it is acceptable to outsource various functions, responsibility for financial oversight cannot be outsourced to external auditors. As independent auditors, the external auditors cannot be considered a part of the Cooperative’s system of internal controls.
In an ideal setting, management would possess a thorough understanding of financial and regulatory matters, and receive and review detailed financial information, sufficient to oversee the Cooperative’s system of internal control over financial reporting.
</t>
  </si>
  <si>
    <t>There is insufficient financial oversight by management and those charged with governance of the Cooperative. Oversight of the Cooperative’s processes, procedures, and controls related to financial reporting are not effective to ensure the financial statements and related disclosures are accurate.</t>
  </si>
  <si>
    <t>Management may not possess comprehensive financial and regulatory knowledge to effectively oversee the Cooperative’s system of internal controls over financial reporting. Additionally, management does not provide the Board with necessary information required for adequate oversight.</t>
  </si>
  <si>
    <t>It is imperative that management involved in the financial reporting process and those charged with governance obtain a thorough understanding of financial and regulatory matters, and receive and review detailed financial information sufficient to take responsibility for oversight of the Cooperative’s financial operations and internal controls.</t>
  </si>
  <si>
    <t xml:space="preserve">As a result of insufficient financial oversight during the year, we identified a significant number of internal control deficiencies and matters, which are included on the management comment letter, including but not limited to the following:
1. Payroll – The Cooperative failed to file all required payroll reports, resulting in unpaid payroll taxes/employee benefits.
2. Use of an inactive Cooperative Fund throughout the fiscal year which was not detected and corrected in a timely manner.
3. Bank Reconciliations Discrepancies – Throughout the fiscal year, reconciliation discrepancies, including inaccurate reconciling items, were noted. Original reconciliations received during the audit field work contained errors and required corrections. Reconciliations were not reviewed in a timely manner to detect and correct errors.
</t>
  </si>
  <si>
    <t xml:space="preserve">Material misstatements to the financial statements may not be prevented or detected during the normal course of operations.
</t>
  </si>
  <si>
    <t>The Cooperative has replaced the payroll officer as of October 31, 2018, and she was trained through SDS.   Payroll and accounts payable personnel will work collaboratively to ensure that required payroll reports and bank reconciliations are completed in an efficient and timely manner.  Additionally, we have reviewed internal controls to ensure that we have layered reviews of financial information.</t>
  </si>
  <si>
    <t>Financial oversight has improved and we will continue to explore resources to remedy this deficiency. The Cooperative will review the resolution of this finding as resources become available.</t>
  </si>
  <si>
    <t>The Cooperative could consider the costs and benefits of dedicating the necessary staff resources, technical training, and oversight to ensure the Cooperative’s financial statements are accurately prepared in accordance with the modified-cash basis of accounting.  However, the Cooperative may determine that the cost of implementing internal controls related to financial statement preparation in accordance with applicable standards outweighs the benefits to be gained.</t>
  </si>
  <si>
    <t>The Cooperative lacks the resources to prepare complete and accurate financial statements.  During the current fiscal year, the Cooperative’s trial balances required material audit adjustments.</t>
  </si>
  <si>
    <t>Because the auditors, not management, have prepared the financial statements and related disclosures, material misstatements to the financial statements may not be prevented or detected by the Cooperative’s system of internal controls.  Significant misstatements requiring audit adjustments included the following:
• Revenue reclassifications
• Payroll tax/benefit adjustments
• Payroll misclassifications</t>
  </si>
  <si>
    <t xml:space="preserve">The Board has the ultimate responsibility for the Cooperative’s system of internal control over financial reporting. As independent auditors, the external auditors cannot be considered a part of the Cooperative’s system of internal controls. While it is acceptable to outsource various functions, responsibility for internal control cannot be outsourced to external auditors.
While it is common practice for the auditors to prepare the financial statements for many entities, this is considered an internal control deficiency in accordance with generally accepted auditing standards, which requires written communication to those charged with governance.
</t>
  </si>
  <si>
    <t xml:space="preserve">The Cooperative’s personnel do not prepare the Cooperative’s financial statements and related disclosures. The Cooperative engages the external auditors to assist in preparing these reports using the financial reports provided by the Cooperative. The Cooperative’s personnel’s expertise is limited in the area of financial statement preparation in accordance with applicable government accounting standards. </t>
  </si>
  <si>
    <t>N/A</t>
  </si>
  <si>
    <t>NONE</t>
  </si>
  <si>
    <t>Revenues, Line 200 - Food Service - Other - ISBE Lanter Commodities</t>
  </si>
  <si>
    <t>Expenditures, Line 73 - Other Support Services - Purchased Services - Contingencies</t>
  </si>
  <si>
    <t>Expenditures, Line 83 - Other Payments - Repayment of Cash Reserve to Districts, Medicaid Flow-through</t>
  </si>
  <si>
    <t>lpope@mackcpas.com</t>
  </si>
  <si>
    <t>OM-Support-Purchased Services</t>
  </si>
  <si>
    <t>20-2540-300</t>
  </si>
  <si>
    <t>Comcast</t>
  </si>
  <si>
    <t>COMED</t>
  </si>
  <si>
    <t>ED-Support-Purchased Services</t>
  </si>
  <si>
    <t>Group Alternatives</t>
  </si>
  <si>
    <t>10-2300-300</t>
  </si>
  <si>
    <t>Ed-Instruction-Purchased Services</t>
  </si>
  <si>
    <t>IL WI Sertoma Reg Ctr for Comm Dis</t>
  </si>
  <si>
    <t>10-1000-300</t>
  </si>
  <si>
    <t>Public Consulting Group</t>
  </si>
  <si>
    <t>Rival5 Technologies Corp</t>
  </si>
  <si>
    <t>Timberline Billing Service LLC</t>
  </si>
  <si>
    <t>10-2100-300</t>
  </si>
  <si>
    <t>Toddler Therapy Service, Inc</t>
  </si>
  <si>
    <t>065-040266</t>
  </si>
  <si>
    <t>Grundy Co SpEd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</si>
</sst>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EC02E220-31DC-42C1-A524-C48D08D0F7E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0</xdr:row>
          <xdr:rowOff>0</xdr:rowOff>
        </xdr:from>
        <xdr:to>
          <xdr:col>1</xdr:col>
          <xdr:colOff>1800225</xdr:colOff>
          <xdr:row>4</xdr:row>
          <xdr:rowOff>38100</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2DFFD540-7237-4FA9-872F-E02D8EB981F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0</xdr:row>
          <xdr:rowOff>9525</xdr:rowOff>
        </xdr:from>
        <xdr:to>
          <xdr:col>1</xdr:col>
          <xdr:colOff>2895600</xdr:colOff>
          <xdr:row>4</xdr:row>
          <xdr:rowOff>47625</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41A247CB-41A6-434C-ADC2-EE15C385F05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17D2DD3-615A-4970-9C7B-F6F364037029}"/>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35C8C72A-58F8-46F9-A243-ADF01DB5B0F4}"/>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c r="C5" s="26" t="s">
        <v>966</v>
      </c>
      <c r="D5" s="84"/>
      <c r="E5" s="84"/>
      <c r="H5" s="38"/>
      <c r="I5" s="2012" t="s">
        <v>701</v>
      </c>
      <c r="J5" s="2011"/>
      <c r="K5" s="2011"/>
      <c r="L5" s="2011"/>
      <c r="M5" s="2011"/>
      <c r="N5" s="2011"/>
      <c r="O5" s="2011"/>
      <c r="P5" s="2011"/>
      <c r="Q5" s="2011"/>
      <c r="R5" s="2011"/>
      <c r="S5" s="2011"/>
    </row>
    <row r="6" spans="1:28" ht="14.1" customHeight="1" x14ac:dyDescent="0.2">
      <c r="B6" s="104" t="s">
        <v>2074</v>
      </c>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2074</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24032101061</v>
      </c>
      <c r="B13" s="2038"/>
      <c r="C13" s="2038"/>
      <c r="D13" s="2038"/>
      <c r="E13" s="2038"/>
      <c r="F13" s="2038"/>
      <c r="G13" s="2038"/>
      <c r="H13" s="2039"/>
      <c r="I13" s="31"/>
      <c r="J13" s="30"/>
      <c r="K13" s="28"/>
      <c r="L13" s="30"/>
      <c r="M13" s="30"/>
      <c r="N13" s="30"/>
      <c r="O13" s="30"/>
      <c r="P13" s="30"/>
      <c r="Q13" s="30"/>
      <c r="R13" s="30"/>
      <c r="S13" s="30"/>
      <c r="T13" s="2042" t="s">
        <v>2083</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2075</v>
      </c>
      <c r="B15" s="2040"/>
      <c r="C15" s="2040"/>
      <c r="D15" s="2040"/>
      <c r="E15" s="2040"/>
      <c r="F15" s="2040"/>
      <c r="G15" s="2040"/>
      <c r="H15" s="2041"/>
      <c r="T15" s="2046" t="s">
        <v>2084</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2169</v>
      </c>
      <c r="B17" s="1997"/>
      <c r="C17" s="1997"/>
      <c r="D17" s="1997"/>
      <c r="E17" s="1997"/>
      <c r="F17" s="1997"/>
      <c r="G17" s="1997"/>
      <c r="H17" s="2022"/>
      <c r="T17" s="2053" t="s">
        <v>2085</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2076</v>
      </c>
      <c r="B19" s="1982"/>
      <c r="C19" s="1982"/>
      <c r="D19" s="1982"/>
      <c r="E19" s="1982"/>
      <c r="F19" s="1982"/>
      <c r="G19" s="1982"/>
      <c r="H19" s="1962"/>
      <c r="I19" s="30"/>
      <c r="J19" s="99"/>
      <c r="K19" s="40"/>
      <c r="L19" s="38"/>
      <c r="M19" s="112" t="s">
        <v>333</v>
      </c>
      <c r="P19" s="27"/>
      <c r="Q19" s="27"/>
      <c r="R19" s="27"/>
      <c r="S19" s="31"/>
      <c r="T19" s="2036" t="s">
        <v>2077</v>
      </c>
      <c r="U19" s="1961"/>
      <c r="V19" s="1961"/>
      <c r="W19" s="1962"/>
      <c r="X19" s="2051" t="s">
        <v>2086</v>
      </c>
      <c r="Y19" s="2052"/>
      <c r="Z19" s="2049">
        <v>60450</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2077</v>
      </c>
      <c r="B21" s="1961"/>
      <c r="C21" s="1961"/>
      <c r="D21" s="1961"/>
      <c r="E21" s="1961"/>
      <c r="F21" s="1961"/>
      <c r="G21" s="1961"/>
      <c r="H21" s="1962"/>
      <c r="I21" s="2016" t="s">
        <v>699</v>
      </c>
      <c r="J21" s="2011"/>
      <c r="K21" s="2011"/>
      <c r="L21" s="2011"/>
      <c r="M21" s="2011"/>
      <c r="N21" s="2011"/>
      <c r="O21" s="2011"/>
      <c r="P21" s="2011"/>
      <c r="Q21" s="2011"/>
      <c r="R21" s="2011"/>
      <c r="S21" s="2017"/>
      <c r="T21" s="2060" t="s">
        <v>2087</v>
      </c>
      <c r="U21" s="2061"/>
      <c r="V21" s="2061"/>
      <c r="W21" s="2061"/>
      <c r="X21" s="2066" t="s">
        <v>2088</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2078</v>
      </c>
      <c r="B23" s="2014"/>
      <c r="C23" s="2014"/>
      <c r="D23" s="2014"/>
      <c r="E23" s="2014"/>
      <c r="F23" s="2014"/>
      <c r="G23" s="2014"/>
      <c r="H23" s="2015"/>
      <c r="T23" s="1996" t="s">
        <v>2168</v>
      </c>
      <c r="U23" s="2059"/>
      <c r="V23" s="2059"/>
      <c r="W23" s="2059"/>
      <c r="X23" s="2063">
        <v>44469</v>
      </c>
      <c r="Y23" s="2064"/>
      <c r="Z23" s="2064"/>
      <c r="AA23" s="2065"/>
    </row>
    <row r="24" spans="1:27" ht="14.1" customHeight="1" x14ac:dyDescent="0.2">
      <c r="A24" s="88" t="s">
        <v>698</v>
      </c>
      <c r="B24" s="49"/>
      <c r="C24" s="49"/>
      <c r="D24" s="49"/>
      <c r="E24" s="49"/>
      <c r="F24" s="49"/>
      <c r="G24" s="49"/>
      <c r="H24" s="61"/>
      <c r="J24" s="1983" t="str">
        <f>IF(B5="x",IF(AUDITCHECK!D29="AFR form Incomplete.","",IF(AUDITCHECK!D29="Deficit reduction plan is required.","School District must complete a deficit reduction plan in the 2018-2019 Budget",)),"")</f>
        <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60450</v>
      </c>
      <c r="B25" s="1961"/>
      <c r="C25" s="1961"/>
      <c r="D25" s="1961"/>
      <c r="E25" s="1961"/>
      <c r="F25" s="1961"/>
      <c r="G25" s="1961"/>
      <c r="H25" s="1962"/>
      <c r="I25" s="113"/>
      <c r="J25" s="1985"/>
      <c r="K25" s="1985"/>
      <c r="L25" s="1985"/>
      <c r="M25" s="1985"/>
      <c r="N25" s="1985"/>
      <c r="O25" s="1985"/>
      <c r="P25" s="1985"/>
      <c r="Q25" s="1985"/>
      <c r="R25" s="1985"/>
      <c r="S25" s="1986"/>
      <c r="T25" s="2056" t="s">
        <v>2152</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2074</v>
      </c>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2079</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2080</v>
      </c>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2081</v>
      </c>
      <c r="B42" s="1980"/>
      <c r="C42" s="1981"/>
      <c r="D42" s="1979" t="s">
        <v>2082</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9" t="s">
        <v>1709</v>
      </c>
    </row>
    <row r="23" spans="1:5" x14ac:dyDescent="0.2">
      <c r="A23" s="168"/>
      <c r="B23" s="162" t="s">
        <v>1965</v>
      </c>
      <c r="D23" s="167" t="s">
        <v>658</v>
      </c>
      <c r="E23" s="1859"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2083</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t="s">
        <v>2089</v>
      </c>
      <c r="E118" s="322"/>
      <c r="F118" s="324"/>
      <c r="G118" s="1863"/>
      <c r="H118" s="322"/>
      <c r="I118" s="304"/>
    </row>
    <row r="119" spans="1:9" s="181" customFormat="1" ht="11.25" customHeight="1" x14ac:dyDescent="0.2">
      <c r="A119" s="325"/>
      <c r="B119" s="325"/>
      <c r="C119" s="326"/>
      <c r="D119" s="327" t="s">
        <v>379</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12039027</v>
      </c>
      <c r="E16" s="356"/>
      <c r="F16" s="1755">
        <f>SUM('Acct Summary 7-8'!C17,'Acct Summary 7-8'!D17,'Acct Summary 7-8'!F17)</f>
        <v>10789117</v>
      </c>
      <c r="G16" s="356"/>
      <c r="H16" s="1755">
        <f>SUM(D16-F16)</f>
        <v>1249910</v>
      </c>
      <c r="I16" s="222"/>
      <c r="J16" s="1755">
        <f>SUM('Acct Summary 7-8'!C81,'Acct Summary 7-8'!D81,'Acct Summary 7-8'!F81,'Acct Summary 7-8'!I81)</f>
        <v>2081631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Grundy Co SpEd Coop</v>
      </c>
      <c r="E7" s="391"/>
      <c r="G7" s="252"/>
      <c r="H7" s="387"/>
      <c r="I7" s="387"/>
      <c r="J7" s="387"/>
      <c r="K7" s="387"/>
      <c r="L7" s="329"/>
      <c r="M7" s="329"/>
      <c r="N7" s="329"/>
      <c r="O7" s="329"/>
      <c r="P7" s="329"/>
    </row>
    <row r="8" spans="1:18" ht="12.75" x14ac:dyDescent="0.2">
      <c r="A8" s="329"/>
      <c r="B8" s="329"/>
      <c r="C8" s="389" t="s">
        <v>1187</v>
      </c>
      <c r="D8" s="392">
        <f>COVER!A13</f>
        <v>24032101061</v>
      </c>
      <c r="E8" s="393"/>
      <c r="G8" s="329"/>
      <c r="H8" s="329"/>
      <c r="I8" s="329"/>
      <c r="J8" s="329"/>
      <c r="K8" s="329"/>
      <c r="L8" s="329"/>
      <c r="M8" s="329"/>
      <c r="N8" s="329"/>
      <c r="O8" s="329"/>
      <c r="P8" s="329"/>
    </row>
    <row r="9" spans="1:18" ht="12.75" x14ac:dyDescent="0.2">
      <c r="A9" s="329"/>
      <c r="B9" s="329"/>
      <c r="C9" s="389" t="s">
        <v>737</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2081631</v>
      </c>
      <c r="I12" s="404"/>
      <c r="J12" s="404"/>
      <c r="K12" s="405">
        <f>TRUNC((H12/H13*100000),5)/100000</f>
        <v>0.1729069134</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12039027</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10789117</v>
      </c>
      <c r="I17" s="404"/>
      <c r="J17" s="416"/>
      <c r="K17" s="405">
        <f>TRUNC((H17/H18*100000),5)/100000</f>
        <v>0.89617848680000001</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12039027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2081631</v>
      </c>
      <c r="I24" s="422"/>
      <c r="J24" s="422"/>
      <c r="K24" s="423">
        <f>TRUNC(((H24/H25*100000)/100000),2)</f>
        <v>69.45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29969.76944</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9" activePane="bottomLeft" state="frozen"/>
      <selection activeCell="A47" sqref="A47"/>
      <selection pane="bottomLeft" activeCell="I34" sqref="I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2081631</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2081631</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74871</v>
      </c>
      <c r="N16" s="484"/>
    </row>
    <row r="17" spans="1:14" s="485" customFormat="1" ht="12.75" customHeight="1" x14ac:dyDescent="0.2">
      <c r="A17" s="482" t="s">
        <v>1470</v>
      </c>
      <c r="B17" s="483">
        <v>230</v>
      </c>
      <c r="C17" s="477"/>
      <c r="D17" s="477"/>
      <c r="E17" s="477"/>
      <c r="F17" s="477"/>
      <c r="G17" s="477"/>
      <c r="H17" s="477"/>
      <c r="I17" s="477"/>
      <c r="J17" s="477"/>
      <c r="K17" s="477"/>
      <c r="L17" s="477"/>
      <c r="M17" s="467">
        <v>1442905</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22676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1540452</v>
      </c>
      <c r="N23" s="1710">
        <f>SUM(N21:N22)</f>
        <v>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v>648175</v>
      </c>
      <c r="D38" s="466"/>
      <c r="E38" s="466"/>
      <c r="F38" s="466"/>
      <c r="G38" s="466"/>
      <c r="H38" s="466"/>
      <c r="I38" s="466"/>
      <c r="J38" s="467"/>
      <c r="K38" s="466"/>
      <c r="L38" s="481"/>
      <c r="M38" s="497"/>
      <c r="N38" s="497"/>
    </row>
    <row r="39" spans="1:14" s="329" customFormat="1" ht="13.5" customHeight="1" x14ac:dyDescent="0.2">
      <c r="A39" s="496" t="s">
        <v>360</v>
      </c>
      <c r="B39" s="483">
        <v>730</v>
      </c>
      <c r="C39" s="466">
        <v>1433456</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1540452</v>
      </c>
      <c r="N40" s="497"/>
    </row>
    <row r="41" spans="1:14" ht="13.5" customHeight="1" thickBot="1" x14ac:dyDescent="0.25">
      <c r="A41" s="1758" t="s">
        <v>676</v>
      </c>
      <c r="B41" s="1728"/>
      <c r="C41" s="1710">
        <f>(SUM(C34,C37,C38,C39))</f>
        <v>2081631</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1540452</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A47" sqref="A47"/>
      <selection pane="bottomLeft" activeCell="D28" sqref="D2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7988922</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161840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1386352</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2501913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12039027</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408212</v>
      </c>
      <c r="D9" s="516"/>
      <c r="E9" s="481"/>
      <c r="F9" s="481"/>
      <c r="G9" s="517"/>
      <c r="H9" s="481"/>
      <c r="I9" s="509" t="s">
        <v>1231</v>
      </c>
      <c r="J9" s="478"/>
      <c r="K9" s="481"/>
      <c r="L9" s="347"/>
    </row>
    <row r="10" spans="1:13" s="519" customFormat="1" ht="13.5" thickBot="1" x14ac:dyDescent="0.25">
      <c r="A10" s="1758" t="s">
        <v>1235</v>
      </c>
      <c r="B10" s="1731"/>
      <c r="C10" s="1710">
        <f>SUM(C8:C9)</f>
        <v>12447239</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6149191</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2469328</v>
      </c>
      <c r="D13" s="1765">
        <f>'Expenditures 15-22'!K129</f>
        <v>50374</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2120224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10738743</v>
      </c>
      <c r="D17" s="1710">
        <f t="shared" si="2"/>
        <v>50374</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408212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11146955</v>
      </c>
      <c r="D19" s="1710">
        <f t="shared" si="4"/>
        <v>50374</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5" t="s">
        <v>1754</v>
      </c>
      <c r="B20" s="2146"/>
      <c r="C20" s="1768">
        <f>C8-C17</f>
        <v>1300284</v>
      </c>
      <c r="D20" s="1768">
        <f t="shared" ref="D20:K20" si="5">D8-D17</f>
        <v>-50374</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v>50374</v>
      </c>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50374</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50374</v>
      </c>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50374</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-50374</v>
      </c>
      <c r="D77" s="1725">
        <f t="shared" si="8"/>
        <v>50374</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1249910</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2068</v>
      </c>
      <c r="B79" s="534"/>
      <c r="C79" s="478">
        <v>831721</v>
      </c>
      <c r="D79" s="535"/>
      <c r="E79" s="535"/>
      <c r="F79" s="535"/>
      <c r="G79" s="535"/>
      <c r="H79" s="535"/>
      <c r="I79" s="535"/>
      <c r="J79" s="535"/>
      <c r="K79" s="535"/>
      <c r="L79" s="347"/>
    </row>
    <row r="80" spans="1:12" x14ac:dyDescent="0.2">
      <c r="A80" s="2147" t="s">
        <v>1895</v>
      </c>
      <c r="B80" s="2148"/>
      <c r="C80" s="467"/>
      <c r="D80" s="467"/>
      <c r="E80" s="467"/>
      <c r="F80" s="467"/>
      <c r="G80" s="467"/>
      <c r="H80" s="467"/>
      <c r="I80" s="467"/>
      <c r="J80" s="467"/>
      <c r="K80" s="467"/>
      <c r="L80" s="347"/>
    </row>
    <row r="81" spans="1:12" ht="13.5" thickBot="1" x14ac:dyDescent="0.25">
      <c r="A81" s="2139" t="s">
        <v>2069</v>
      </c>
      <c r="B81" s="2140"/>
      <c r="C81" s="1710">
        <f>(SUM(C78:C80))</f>
        <v>2081631</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1249910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0.60044743761022001</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33" sqref="C3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1902</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7073441</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7073441</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895596</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19885</v>
      </c>
      <c r="D107" s="466"/>
      <c r="E107" s="466"/>
      <c r="F107" s="466"/>
      <c r="G107" s="466"/>
      <c r="H107" s="466"/>
      <c r="I107" s="466"/>
      <c r="J107" s="467"/>
      <c r="K107" s="466"/>
    </row>
    <row r="108" spans="1:12" ht="12.75" customHeight="1" thickBot="1" x14ac:dyDescent="0.25">
      <c r="A108" s="1730" t="s">
        <v>508</v>
      </c>
      <c r="B108" s="1734"/>
      <c r="C108" s="1729">
        <f>SUM(C95:C107)</f>
        <v>915481</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7988922</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v>161840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161840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905462</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905462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467494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467494</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53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v>13343</v>
      </c>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13343</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480890</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1386352</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1903</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1224</v>
      </c>
      <c r="D200" s="468"/>
      <c r="E200" s="561"/>
      <c r="F200" s="468"/>
      <c r="G200" s="585"/>
      <c r="H200" s="468"/>
      <c r="I200" s="468"/>
      <c r="J200" s="468"/>
      <c r="K200" s="468"/>
    </row>
    <row r="201" spans="1:11" ht="12.75" customHeight="1" thickBot="1" x14ac:dyDescent="0.25">
      <c r="A201" s="1730" t="s">
        <v>569</v>
      </c>
      <c r="B201" s="1731"/>
      <c r="C201" s="1710">
        <f>SUM(C193:C200)</f>
        <v>1224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62786</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2024163</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2086949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56096</v>
      </c>
      <c r="D270" s="576"/>
      <c r="E270" s="468"/>
      <c r="F270" s="576"/>
      <c r="G270" s="576"/>
      <c r="H270" s="468"/>
      <c r="I270" s="468"/>
      <c r="J270" s="468"/>
      <c r="K270" s="468"/>
    </row>
    <row r="271" spans="1:11" ht="12.75" customHeight="1" thickTop="1" thickBot="1" x14ac:dyDescent="0.25">
      <c r="A271" s="463" t="s">
        <v>395</v>
      </c>
      <c r="B271" s="470">
        <v>4992</v>
      </c>
      <c r="C271" s="575">
        <v>357644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2501913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2501913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12039027</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8" activePane="bottomLeft" state="frozen"/>
      <selection activeCell="A47" sqref="A47"/>
      <selection pane="bottomLeft" activeCell="L114" sqref="L11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v>6529686</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4045401</v>
      </c>
      <c r="D8" s="466">
        <v>1710791</v>
      </c>
      <c r="E8" s="466">
        <v>133456</v>
      </c>
      <c r="F8" s="466">
        <v>66237</v>
      </c>
      <c r="G8" s="466">
        <v>27922</v>
      </c>
      <c r="H8" s="466"/>
      <c r="I8" s="467"/>
      <c r="J8" s="467"/>
      <c r="K8" s="1693">
        <f t="shared" si="0"/>
        <v>5983807</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102471</v>
      </c>
      <c r="D10" s="466">
        <v>29249</v>
      </c>
      <c r="E10" s="466">
        <v>6252</v>
      </c>
      <c r="F10" s="466">
        <v>2360</v>
      </c>
      <c r="G10" s="466"/>
      <c r="H10" s="466"/>
      <c r="I10" s="467"/>
      <c r="J10" s="467"/>
      <c r="K10" s="1693">
        <f t="shared" si="0"/>
        <v>140332</v>
      </c>
      <c r="L10" s="466">
        <v>157382</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17736</v>
      </c>
      <c r="D13" s="466">
        <v>7232</v>
      </c>
      <c r="E13" s="466">
        <v>84</v>
      </c>
      <c r="F13" s="466"/>
      <c r="G13" s="466"/>
      <c r="H13" s="466"/>
      <c r="I13" s="467"/>
      <c r="J13" s="467"/>
      <c r="K13" s="1693">
        <f t="shared" si="0"/>
        <v>25052</v>
      </c>
      <c r="L13" s="466">
        <v>25104</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4165608</v>
      </c>
      <c r="D33" s="1692">
        <f t="shared" ref="D33:L33" si="1">SUM(D5:D32)</f>
        <v>1747272</v>
      </c>
      <c r="E33" s="1692">
        <f t="shared" si="1"/>
        <v>139792</v>
      </c>
      <c r="F33" s="1692">
        <f t="shared" si="1"/>
        <v>68597</v>
      </c>
      <c r="G33" s="1692">
        <f t="shared" si="1"/>
        <v>27922</v>
      </c>
      <c r="H33" s="1692">
        <f t="shared" si="1"/>
        <v>0</v>
      </c>
      <c r="I33" s="1692">
        <f t="shared" si="1"/>
        <v>0</v>
      </c>
      <c r="J33" s="1692">
        <f t="shared" si="1"/>
        <v>0</v>
      </c>
      <c r="K33" s="1692">
        <f t="shared" si="1"/>
        <v>6149191</v>
      </c>
      <c r="L33" s="1692">
        <f t="shared" si="1"/>
        <v>6712172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59741</v>
      </c>
      <c r="D36" s="481">
        <v>18827</v>
      </c>
      <c r="E36" s="481">
        <v>4053</v>
      </c>
      <c r="F36" s="481">
        <v>1962</v>
      </c>
      <c r="G36" s="481"/>
      <c r="H36" s="481"/>
      <c r="I36" s="467"/>
      <c r="J36" s="467"/>
      <c r="K36" s="1693">
        <f t="shared" ref="K36:K41" si="2">SUM(C36:J36)</f>
        <v>84583</v>
      </c>
      <c r="L36" s="466">
        <v>87604</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347926</v>
      </c>
      <c r="D38" s="466">
        <v>106358</v>
      </c>
      <c r="E38" s="466">
        <v>82967</v>
      </c>
      <c r="F38" s="466">
        <v>4692</v>
      </c>
      <c r="G38" s="466"/>
      <c r="H38" s="466"/>
      <c r="I38" s="467"/>
      <c r="J38" s="467"/>
      <c r="K38" s="1693">
        <f t="shared" si="2"/>
        <v>541943</v>
      </c>
      <c r="L38" s="466">
        <v>523104</v>
      </c>
    </row>
    <row r="39" spans="1:14" x14ac:dyDescent="0.2">
      <c r="A39" s="1526" t="s">
        <v>208</v>
      </c>
      <c r="B39" s="615">
        <v>2140</v>
      </c>
      <c r="C39" s="466">
        <v>157085</v>
      </c>
      <c r="D39" s="466">
        <v>39237</v>
      </c>
      <c r="E39" s="466">
        <v>4354</v>
      </c>
      <c r="F39" s="466">
        <v>1193</v>
      </c>
      <c r="G39" s="466"/>
      <c r="H39" s="466"/>
      <c r="I39" s="467"/>
      <c r="J39" s="467"/>
      <c r="K39" s="1693">
        <f t="shared" si="2"/>
        <v>201869</v>
      </c>
      <c r="L39" s="466">
        <v>206541</v>
      </c>
    </row>
    <row r="40" spans="1:14" x14ac:dyDescent="0.2">
      <c r="A40" s="1526" t="s">
        <v>209</v>
      </c>
      <c r="B40" s="615">
        <v>2150</v>
      </c>
      <c r="C40" s="466">
        <v>322970</v>
      </c>
      <c r="D40" s="466">
        <v>86652</v>
      </c>
      <c r="E40" s="466">
        <v>7560</v>
      </c>
      <c r="F40" s="466">
        <v>5988</v>
      </c>
      <c r="G40" s="466"/>
      <c r="H40" s="466"/>
      <c r="I40" s="467"/>
      <c r="J40" s="467"/>
      <c r="K40" s="1693">
        <f t="shared" si="2"/>
        <v>423170</v>
      </c>
      <c r="L40" s="466">
        <v>395245</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887722</v>
      </c>
      <c r="D42" s="1692">
        <f t="shared" ref="D42:L42" si="3">SUM(D36:D41)</f>
        <v>251074</v>
      </c>
      <c r="E42" s="1692">
        <f t="shared" si="3"/>
        <v>98934</v>
      </c>
      <c r="F42" s="1692">
        <f t="shared" si="3"/>
        <v>13835</v>
      </c>
      <c r="G42" s="1692">
        <f t="shared" si="3"/>
        <v>0</v>
      </c>
      <c r="H42" s="1692">
        <f t="shared" si="3"/>
        <v>0</v>
      </c>
      <c r="I42" s="1692">
        <f t="shared" si="3"/>
        <v>0</v>
      </c>
      <c r="J42" s="1692">
        <f t="shared" si="3"/>
        <v>0</v>
      </c>
      <c r="K42" s="1692">
        <f t="shared" si="3"/>
        <v>1251565</v>
      </c>
      <c r="L42" s="1692">
        <f t="shared" si="3"/>
        <v>1212494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23867</v>
      </c>
      <c r="D44" s="481">
        <v>3050</v>
      </c>
      <c r="E44" s="481">
        <v>41589</v>
      </c>
      <c r="F44" s="481">
        <v>3359</v>
      </c>
      <c r="G44" s="481"/>
      <c r="H44" s="481">
        <v>8460</v>
      </c>
      <c r="I44" s="467"/>
      <c r="J44" s="467"/>
      <c r="K44" s="1694">
        <f>SUM(C44:J44)</f>
        <v>80325</v>
      </c>
      <c r="L44" s="481">
        <v>96027</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v>119981</v>
      </c>
      <c r="D46" s="466">
        <v>43781</v>
      </c>
      <c r="E46" s="466">
        <v>16753</v>
      </c>
      <c r="F46" s="466">
        <v>3001</v>
      </c>
      <c r="G46" s="466"/>
      <c r="H46" s="466"/>
      <c r="I46" s="467"/>
      <c r="J46" s="467"/>
      <c r="K46" s="1694">
        <f>SUM(C46:J46)</f>
        <v>183516</v>
      </c>
      <c r="L46" s="466">
        <v>209763</v>
      </c>
    </row>
    <row r="47" spans="1:14" ht="12.75" customHeight="1" thickBot="1" x14ac:dyDescent="0.25">
      <c r="A47" s="1690" t="s">
        <v>582</v>
      </c>
      <c r="B47" s="1691" t="s">
        <v>32</v>
      </c>
      <c r="C47" s="1692">
        <f>SUM(C44:C46)</f>
        <v>143848</v>
      </c>
      <c r="D47" s="1692">
        <f t="shared" ref="D47:K47" si="4">SUM(D44:D46)</f>
        <v>46831</v>
      </c>
      <c r="E47" s="1692">
        <f t="shared" si="4"/>
        <v>58342</v>
      </c>
      <c r="F47" s="1692">
        <f t="shared" si="4"/>
        <v>6360</v>
      </c>
      <c r="G47" s="1692">
        <f t="shared" si="4"/>
        <v>0</v>
      </c>
      <c r="H47" s="1692">
        <f t="shared" si="4"/>
        <v>8460</v>
      </c>
      <c r="I47" s="1692">
        <f t="shared" si="4"/>
        <v>0</v>
      </c>
      <c r="J47" s="1692">
        <f t="shared" si="4"/>
        <v>0</v>
      </c>
      <c r="K47" s="1692">
        <f t="shared" si="4"/>
        <v>263841</v>
      </c>
      <c r="L47" s="1692">
        <f>SUM(L44:L46)</f>
        <v>305790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v>323577</v>
      </c>
      <c r="D50" s="466">
        <v>120064</v>
      </c>
      <c r="E50" s="466">
        <v>302345</v>
      </c>
      <c r="F50" s="466">
        <v>32292</v>
      </c>
      <c r="G50" s="466">
        <v>22099</v>
      </c>
      <c r="H50" s="466"/>
      <c r="I50" s="467"/>
      <c r="J50" s="467"/>
      <c r="K50" s="1694">
        <f>SUM(C50:J50)</f>
        <v>800377</v>
      </c>
      <c r="L50" s="466">
        <v>731094</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v>10949</v>
      </c>
      <c r="E52" s="474"/>
      <c r="F52" s="474"/>
      <c r="G52" s="474"/>
      <c r="H52" s="474"/>
      <c r="I52" s="474"/>
      <c r="J52" s="474"/>
      <c r="K52" s="1694">
        <f>SUM(C52:J52)</f>
        <v>10949</v>
      </c>
      <c r="L52" s="474">
        <v>0</v>
      </c>
    </row>
    <row r="53" spans="1:14" ht="12.75" customHeight="1" thickBot="1" x14ac:dyDescent="0.25">
      <c r="A53" s="1690" t="s">
        <v>741</v>
      </c>
      <c r="B53" s="1691" t="s">
        <v>33</v>
      </c>
      <c r="C53" s="1692">
        <f>SUM(C49:C52)</f>
        <v>323577</v>
      </c>
      <c r="D53" s="1692">
        <f t="shared" ref="D53:L53" si="5">SUM(D49:D52)</f>
        <v>131013</v>
      </c>
      <c r="E53" s="1692">
        <f t="shared" si="5"/>
        <v>302345</v>
      </c>
      <c r="F53" s="1692">
        <f t="shared" si="5"/>
        <v>32292</v>
      </c>
      <c r="G53" s="1692">
        <f t="shared" si="5"/>
        <v>22099</v>
      </c>
      <c r="H53" s="1692">
        <f t="shared" si="5"/>
        <v>0</v>
      </c>
      <c r="I53" s="1692">
        <f t="shared" si="5"/>
        <v>0</v>
      </c>
      <c r="J53" s="1692">
        <f t="shared" si="5"/>
        <v>0</v>
      </c>
      <c r="K53" s="1692">
        <f t="shared" si="5"/>
        <v>811326</v>
      </c>
      <c r="L53" s="1692">
        <f t="shared" si="5"/>
        <v>731094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83283</v>
      </c>
      <c r="D60" s="466">
        <v>35870</v>
      </c>
      <c r="E60" s="466">
        <v>1616</v>
      </c>
      <c r="F60" s="466">
        <v>4995</v>
      </c>
      <c r="G60" s="466"/>
      <c r="H60" s="466"/>
      <c r="I60" s="467"/>
      <c r="J60" s="467"/>
      <c r="K60" s="1694">
        <f t="shared" si="7"/>
        <v>125764</v>
      </c>
      <c r="L60" s="466">
        <v>124311</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83283</v>
      </c>
      <c r="D65" s="1692">
        <f t="shared" ref="D65:L65" si="8">SUM(D59:D64)</f>
        <v>35870</v>
      </c>
      <c r="E65" s="1692">
        <f t="shared" si="8"/>
        <v>1616</v>
      </c>
      <c r="F65" s="1692">
        <f t="shared" si="8"/>
        <v>4995</v>
      </c>
      <c r="G65" s="1692">
        <f t="shared" si="8"/>
        <v>0</v>
      </c>
      <c r="H65" s="1692">
        <f t="shared" si="8"/>
        <v>0</v>
      </c>
      <c r="I65" s="1692">
        <f t="shared" si="8"/>
        <v>0</v>
      </c>
      <c r="J65" s="1692">
        <f t="shared" si="8"/>
        <v>0</v>
      </c>
      <c r="K65" s="1692">
        <f t="shared" si="8"/>
        <v>125764</v>
      </c>
      <c r="L65" s="1692">
        <f t="shared" si="8"/>
        <v>124311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v>16832</v>
      </c>
      <c r="F73" s="573"/>
      <c r="G73" s="573"/>
      <c r="H73" s="573"/>
      <c r="I73" s="531"/>
      <c r="J73" s="531"/>
      <c r="K73" s="1692">
        <f>SUM(C73:J73)</f>
        <v>16832</v>
      </c>
      <c r="L73" s="576"/>
      <c r="M73" s="610"/>
      <c r="N73" s="610"/>
    </row>
    <row r="74" spans="1:14" ht="12.75" customHeight="1" thickTop="1" thickBot="1" x14ac:dyDescent="0.25">
      <c r="A74" s="1690" t="s">
        <v>865</v>
      </c>
      <c r="B74" s="1698">
        <v>2000</v>
      </c>
      <c r="C74" s="1699">
        <f>SUM(C42,C47,C53,C57,C65,C72,C73)</f>
        <v>1438430</v>
      </c>
      <c r="D74" s="1699">
        <f t="shared" ref="D74:K74" si="10">SUM(D42,D47,D53,D57,D65,D72,D73)</f>
        <v>464788</v>
      </c>
      <c r="E74" s="1699">
        <f t="shared" si="10"/>
        <v>478069</v>
      </c>
      <c r="F74" s="1699">
        <f t="shared" si="10"/>
        <v>57482</v>
      </c>
      <c r="G74" s="1699">
        <f t="shared" si="10"/>
        <v>22099</v>
      </c>
      <c r="H74" s="1699">
        <f t="shared" si="10"/>
        <v>8460</v>
      </c>
      <c r="I74" s="1699">
        <f t="shared" si="10"/>
        <v>0</v>
      </c>
      <c r="J74" s="1699">
        <f t="shared" si="10"/>
        <v>0</v>
      </c>
      <c r="K74" s="1699">
        <f t="shared" si="10"/>
        <v>2469328</v>
      </c>
      <c r="L74" s="1699">
        <f>SUM(L42,L47,L53,L57,L65,L72,L73)</f>
        <v>2373689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958384</v>
      </c>
      <c r="I79" s="477"/>
      <c r="J79" s="477"/>
      <c r="K79" s="1693">
        <f t="shared" si="11"/>
        <v>958384</v>
      </c>
      <c r="L79" s="466">
        <v>1166331</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f>1000000+161840</f>
        <v>1161840</v>
      </c>
      <c r="I83" s="477"/>
      <c r="J83" s="477"/>
      <c r="K83" s="1693">
        <f t="shared" si="11"/>
        <v>1161840</v>
      </c>
      <c r="L83" s="466"/>
    </row>
    <row r="84" spans="1:12" ht="13.5" thickBot="1" x14ac:dyDescent="0.25">
      <c r="A84" s="1690" t="s">
        <v>1565</v>
      </c>
      <c r="B84" s="1700">
        <v>4100</v>
      </c>
      <c r="C84" s="617"/>
      <c r="D84" s="617"/>
      <c r="E84" s="1692">
        <f>SUM(E78:E83)</f>
        <v>0</v>
      </c>
      <c r="F84" s="617"/>
      <c r="G84" s="617"/>
      <c r="H84" s="1692">
        <f>SUM(H78:H83)</f>
        <v>2120224</v>
      </c>
      <c r="I84" s="477"/>
      <c r="J84" s="477"/>
      <c r="K84" s="1692">
        <f>SUM(K78:K83)</f>
        <v>2120224</v>
      </c>
      <c r="L84" s="1692">
        <f>SUM(L78:L83)</f>
        <v>1166331</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2120224</v>
      </c>
      <c r="I102" s="477"/>
      <c r="J102" s="477"/>
      <c r="K102" s="1699">
        <f>SUM(K84,K92,K100,K101)</f>
        <v>2120224</v>
      </c>
      <c r="L102" s="1699">
        <f>SUM(L84,L92,L100,L101)</f>
        <v>1166331</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100000</v>
      </c>
      <c r="M113" s="614"/>
      <c r="N113" s="614"/>
    </row>
    <row r="114" spans="1:14" ht="12.75" customHeight="1" thickTop="1" thickBot="1" x14ac:dyDescent="0.25">
      <c r="A114" s="1690" t="s">
        <v>50</v>
      </c>
      <c r="B114" s="1704"/>
      <c r="C114" s="1692">
        <f>SUM(C33,C74,C75,C102,C112,C113)</f>
        <v>5604038</v>
      </c>
      <c r="D114" s="1692">
        <f t="shared" ref="D114:K114" si="13">SUM(D33,D74,D75,D102,D112,D113)</f>
        <v>2212060</v>
      </c>
      <c r="E114" s="1692">
        <f t="shared" si="13"/>
        <v>617861</v>
      </c>
      <c r="F114" s="1692">
        <f t="shared" si="13"/>
        <v>126079</v>
      </c>
      <c r="G114" s="1692">
        <f t="shared" si="13"/>
        <v>50021</v>
      </c>
      <c r="H114" s="1692">
        <f>SUM(H33,H74,H75,H102,H112,H113)</f>
        <v>2128684</v>
      </c>
      <c r="I114" s="1692">
        <f t="shared" si="13"/>
        <v>0</v>
      </c>
      <c r="J114" s="1692">
        <f t="shared" si="13"/>
        <v>0</v>
      </c>
      <c r="K114" s="1692">
        <f t="shared" si="13"/>
        <v>10738743</v>
      </c>
      <c r="L114" s="1692">
        <f>SUM(L33,L74,L75,L102,L112,L113)</f>
        <v>10352192</v>
      </c>
    </row>
    <row r="115" spans="1:14" ht="13.5" thickTop="1" x14ac:dyDescent="0.2">
      <c r="A115" s="2175" t="s">
        <v>1053</v>
      </c>
      <c r="B115" s="2176"/>
      <c r="C115" s="619"/>
      <c r="D115" s="619"/>
      <c r="E115" s="619"/>
      <c r="F115" s="619"/>
      <c r="G115" s="619"/>
      <c r="H115" s="619"/>
      <c r="I115" s="619"/>
      <c r="J115" s="619"/>
      <c r="K115" s="1706">
        <f>'Revenues 9-14'!C275-'Expenditures 15-22'!K114</f>
        <v>1300284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10422</v>
      </c>
      <c r="D124" s="466">
        <v>1588</v>
      </c>
      <c r="E124" s="466">
        <v>20674</v>
      </c>
      <c r="F124" s="466">
        <v>17690</v>
      </c>
      <c r="G124" s="466"/>
      <c r="H124" s="466"/>
      <c r="I124" s="467"/>
      <c r="J124" s="467"/>
      <c r="K124" s="1692">
        <f>SUM(C124:J124)</f>
        <v>50374</v>
      </c>
      <c r="L124" s="466">
        <v>67997</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10422</v>
      </c>
      <c r="D127" s="1692">
        <f t="shared" ref="D127:L127" si="14">SUM(D122:D126)</f>
        <v>1588</v>
      </c>
      <c r="E127" s="1692">
        <f t="shared" si="14"/>
        <v>20674</v>
      </c>
      <c r="F127" s="1692">
        <f t="shared" si="14"/>
        <v>17690</v>
      </c>
      <c r="G127" s="1692">
        <f t="shared" si="14"/>
        <v>0</v>
      </c>
      <c r="H127" s="1692">
        <f t="shared" si="14"/>
        <v>0</v>
      </c>
      <c r="I127" s="1692">
        <f t="shared" si="14"/>
        <v>0</v>
      </c>
      <c r="J127" s="1692">
        <f t="shared" si="14"/>
        <v>0</v>
      </c>
      <c r="K127" s="1692">
        <f t="shared" si="14"/>
        <v>50374</v>
      </c>
      <c r="L127" s="1692">
        <f t="shared" si="14"/>
        <v>67997</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10422</v>
      </c>
      <c r="D129" s="1699">
        <f t="shared" ref="D129:L129" si="15">SUM(D120,D127,D128)</f>
        <v>1588</v>
      </c>
      <c r="E129" s="1699">
        <f t="shared" si="15"/>
        <v>20674</v>
      </c>
      <c r="F129" s="1699">
        <f t="shared" si="15"/>
        <v>17690</v>
      </c>
      <c r="G129" s="1699">
        <f t="shared" si="15"/>
        <v>0</v>
      </c>
      <c r="H129" s="1699">
        <f t="shared" si="15"/>
        <v>0</v>
      </c>
      <c r="I129" s="1699">
        <f t="shared" si="15"/>
        <v>0</v>
      </c>
      <c r="J129" s="1699">
        <f t="shared" si="15"/>
        <v>0</v>
      </c>
      <c r="K129" s="1699">
        <f t="shared" si="15"/>
        <v>50374</v>
      </c>
      <c r="L129" s="1699">
        <f t="shared" si="15"/>
        <v>67997</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1953</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10422</v>
      </c>
      <c r="D151" s="1692">
        <f t="shared" ref="D151:K151" si="16">SUM(D129,D130,D139,D149,D150)</f>
        <v>1588</v>
      </c>
      <c r="E151" s="1692">
        <f t="shared" si="16"/>
        <v>20674</v>
      </c>
      <c r="F151" s="1692">
        <f t="shared" si="16"/>
        <v>17690</v>
      </c>
      <c r="G151" s="1692">
        <f t="shared" si="16"/>
        <v>0</v>
      </c>
      <c r="H151" s="1692">
        <f t="shared" si="16"/>
        <v>0</v>
      </c>
      <c r="I151" s="1692">
        <f t="shared" si="16"/>
        <v>0</v>
      </c>
      <c r="J151" s="1692">
        <f t="shared" si="16"/>
        <v>0</v>
      </c>
      <c r="K151" s="1692">
        <f t="shared" si="16"/>
        <v>50374</v>
      </c>
      <c r="L151" s="1692">
        <f>SUM(L129,L130,L139,L149,L150)</f>
        <v>67997</v>
      </c>
    </row>
    <row r="152" spans="1:14" ht="12.75" customHeight="1" thickTop="1" x14ac:dyDescent="0.2">
      <c r="A152" s="2195" t="s">
        <v>1240</v>
      </c>
      <c r="B152" s="2196"/>
      <c r="C152" s="619"/>
      <c r="D152" s="619"/>
      <c r="E152" s="619"/>
      <c r="F152" s="619"/>
      <c r="G152" s="619"/>
      <c r="H152" s="619"/>
      <c r="I152" s="619"/>
      <c r="J152" s="617"/>
      <c r="K152" s="1706">
        <f>'Revenues 9-14'!D275-'Expenditures 15-22'!K151</f>
        <v>-50374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5" t="s">
        <v>1053</v>
      </c>
      <c r="B175" s="2176"/>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5" t="s">
        <v>1053</v>
      </c>
      <c r="B211" s="2176"/>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1905</v>
      </c>
      <c r="B249" s="684" t="s">
        <v>300</v>
      </c>
      <c r="C249" s="617"/>
      <c r="D249" s="474"/>
      <c r="E249" s="617"/>
      <c r="F249" s="617"/>
      <c r="G249" s="617"/>
      <c r="H249" s="617"/>
      <c r="I249" s="617"/>
      <c r="J249" s="617"/>
      <c r="K249" s="1694">
        <f t="shared" si="21"/>
        <v>0</v>
      </c>
      <c r="L249" s="466"/>
    </row>
    <row r="250" spans="1:12" x14ac:dyDescent="0.2">
      <c r="A250" s="1527" t="s">
        <v>1906</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1953</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5" t="s">
        <v>1053</v>
      </c>
      <c r="B296" s="2176"/>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1959</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8" t="s">
        <v>1053</v>
      </c>
      <c r="B343" s="2189"/>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5" t="s">
        <v>1053</v>
      </c>
      <c r="B368" s="2176"/>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1902</v>
      </c>
      <c r="B2" s="1550" t="s">
        <v>2032</v>
      </c>
      <c r="C2" s="715" t="s">
        <v>1907</v>
      </c>
      <c r="D2" s="715" t="s">
        <v>1908</v>
      </c>
      <c r="E2" s="715" t="s">
        <v>1909</v>
      </c>
      <c r="F2" s="715" t="s">
        <v>1910</v>
      </c>
    </row>
    <row r="3" spans="1:6" ht="12" customHeight="1" x14ac:dyDescent="0.2">
      <c r="A3" s="2203"/>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1902</v>
      </c>
      <c r="B2" s="2230"/>
      <c r="C2" s="1909" t="s">
        <v>2033</v>
      </c>
      <c r="D2" s="724" t="s">
        <v>2040</v>
      </c>
      <c r="E2" s="724" t="s">
        <v>2041</v>
      </c>
      <c r="F2" s="1909" t="s">
        <v>2034</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2035</v>
      </c>
      <c r="F30" s="1910" t="s">
        <v>2036</v>
      </c>
      <c r="G30" s="1910" t="s">
        <v>2039</v>
      </c>
      <c r="H30" s="1910" t="s">
        <v>2037</v>
      </c>
      <c r="I30" s="1910" t="s">
        <v>2038</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1916</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1917</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0</v>
      </c>
      <c r="I12" s="1780">
        <f>SUM(I5:I11)</f>
        <v>0</v>
      </c>
      <c r="J12" s="1780">
        <f>SUM(J5:J11)</f>
        <v>0</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1913</v>
      </c>
      <c r="B19" s="2245"/>
      <c r="C19" s="2245"/>
      <c r="D19" s="2245"/>
      <c r="E19" s="2246"/>
      <c r="F19" s="790" t="s">
        <v>990</v>
      </c>
      <c r="G19" s="783"/>
      <c r="H19" s="783"/>
      <c r="I19" s="783"/>
      <c r="J19" s="766"/>
      <c r="K19" s="796"/>
    </row>
    <row r="20" spans="1:11" x14ac:dyDescent="0.2">
      <c r="A20" s="2247" t="s">
        <v>1918</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1919</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0</v>
      </c>
      <c r="I23" s="1780">
        <f>SUM(I14:I16,I21,I22)</f>
        <v>0</v>
      </c>
      <c r="J23" s="1780">
        <f>SUM(J14:J16,J21,J22)</f>
        <v>0</v>
      </c>
      <c r="K23" s="1780">
        <f>SUM(K14:K16,K21,K22)</f>
        <v>0</v>
      </c>
    </row>
    <row r="24" spans="1:11" ht="14.25" thickTop="1" thickBot="1" x14ac:dyDescent="0.25">
      <c r="A24" s="2267" t="s">
        <v>2021</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2031</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K16" sqref="K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2030</v>
      </c>
      <c r="B1" s="2273"/>
      <c r="C1" s="2274"/>
      <c r="D1" s="827"/>
      <c r="E1" s="828"/>
      <c r="F1" s="828"/>
      <c r="G1" s="829"/>
      <c r="H1" s="830"/>
      <c r="I1" s="831"/>
      <c r="J1" s="2270"/>
      <c r="K1" s="2271"/>
      <c r="L1" s="2271"/>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74871</v>
      </c>
      <c r="D5" s="842"/>
      <c r="E5" s="842"/>
      <c r="F5" s="1782">
        <f>(C5+D5)-E5</f>
        <v>74871</v>
      </c>
      <c r="G5" s="838"/>
      <c r="H5" s="843"/>
      <c r="I5" s="843"/>
      <c r="J5" s="843"/>
      <c r="K5" s="794"/>
      <c r="L5" s="1791">
        <f>F5-K5</f>
        <v>74871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2345285</v>
      </c>
      <c r="D8" s="845"/>
      <c r="E8" s="845"/>
      <c r="F8" s="1782">
        <f>(C8+D8)-E8</f>
        <v>2345285</v>
      </c>
      <c r="G8" s="844">
        <v>50</v>
      </c>
      <c r="H8" s="766">
        <v>848237</v>
      </c>
      <c r="I8" s="766">
        <v>54143</v>
      </c>
      <c r="J8" s="766"/>
      <c r="K8" s="1791">
        <f>(H8+I8)-J8</f>
        <v>902380</v>
      </c>
      <c r="L8" s="1791">
        <f>F8-K8</f>
        <v>1442905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1398494</v>
      </c>
      <c r="D12" s="845"/>
      <c r="E12" s="845"/>
      <c r="F12" s="1782">
        <f>(C12+D12)-E12</f>
        <v>1398494</v>
      </c>
      <c r="G12" s="844">
        <v>10</v>
      </c>
      <c r="H12" s="766">
        <v>1341601</v>
      </c>
      <c r="I12" s="766">
        <v>34217</v>
      </c>
      <c r="J12" s="766"/>
      <c r="K12" s="1791">
        <f>(H12+I12)-J12</f>
        <v>1375818</v>
      </c>
      <c r="L12" s="1791">
        <f>F12-K12</f>
        <v>22676</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3818650</v>
      </c>
      <c r="D16" s="1782">
        <f>SUM(D3,D5:D6,D8:D10,D12:D15)</f>
        <v>0</v>
      </c>
      <c r="E16" s="1782">
        <f>SUM(E3,E5:E6,E8:E10,E12:E15)</f>
        <v>0</v>
      </c>
      <c r="F16" s="1782">
        <f>SUM(F3,F5:F6,F8:F10,F12:F15)</f>
        <v>3818650</v>
      </c>
      <c r="G16" s="844"/>
      <c r="H16" s="1782">
        <f>SUM(H3,H6,H8:H10,H12:H14,)</f>
        <v>2189838</v>
      </c>
      <c r="I16" s="1782">
        <f>SUM(I3,I6,I8:I10,I12:I14,)</f>
        <v>88360</v>
      </c>
      <c r="J16" s="1782">
        <f>SUM(J3,J6,J8:J10,J12:J14,)</f>
        <v>0</v>
      </c>
      <c r="K16" s="1782">
        <f>(H16+I16)-J16</f>
        <v>2278198</v>
      </c>
      <c r="L16" s="1782">
        <f>F16-K16</f>
        <v>1540452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88360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D29" sqre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10738743</v>
      </c>
      <c r="G8" s="866"/>
    </row>
    <row r="9" spans="1:7" x14ac:dyDescent="0.2">
      <c r="A9" s="870" t="s">
        <v>480</v>
      </c>
      <c r="B9" s="871" t="s">
        <v>1985</v>
      </c>
      <c r="C9" s="872"/>
      <c r="D9" s="870" t="s">
        <v>522</v>
      </c>
      <c r="E9" s="869"/>
      <c r="F9" s="1935">
        <f>'Expenditures 15-22'!K151</f>
        <v>50374</v>
      </c>
      <c r="G9" s="873"/>
    </row>
    <row r="10" spans="1:7" x14ac:dyDescent="0.2">
      <c r="A10" s="870" t="s">
        <v>520</v>
      </c>
      <c r="B10" s="871" t="s">
        <v>1986</v>
      </c>
      <c r="C10" s="872"/>
      <c r="D10" s="870" t="s">
        <v>522</v>
      </c>
      <c r="E10" s="869"/>
      <c r="F10" s="1935">
        <f>'Expenditures 15-22'!K174</f>
        <v>0</v>
      </c>
      <c r="G10" s="873"/>
    </row>
    <row r="11" spans="1:7" x14ac:dyDescent="0.2">
      <c r="A11" s="870" t="s">
        <v>481</v>
      </c>
      <c r="B11" s="871" t="s">
        <v>1987</v>
      </c>
      <c r="C11" s="872"/>
      <c r="D11" s="870" t="s">
        <v>522</v>
      </c>
      <c r="E11" s="869"/>
      <c r="F11" s="1935">
        <f>'Expenditures 15-22'!K210</f>
        <v>0</v>
      </c>
      <c r="G11" s="873"/>
    </row>
    <row r="12" spans="1:7" x14ac:dyDescent="0.2">
      <c r="A12" s="870" t="s">
        <v>482</v>
      </c>
      <c r="B12" s="871" t="s">
        <v>1988</v>
      </c>
      <c r="C12" s="872"/>
      <c r="D12" s="870" t="s">
        <v>522</v>
      </c>
      <c r="E12" s="869"/>
      <c r="F12" s="1935">
        <f>'Expenditures 15-22'!K295</f>
        <v>0</v>
      </c>
      <c r="G12" s="873"/>
    </row>
    <row r="13" spans="1:7" x14ac:dyDescent="0.2">
      <c r="A13" s="870" t="s">
        <v>108</v>
      </c>
      <c r="B13" s="871" t="s">
        <v>1989</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10789117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2120224</v>
      </c>
      <c r="G53" s="866"/>
    </row>
    <row r="54" spans="1:7" x14ac:dyDescent="0.2">
      <c r="A54" s="870" t="s">
        <v>479</v>
      </c>
      <c r="B54" s="870" t="s">
        <v>1552</v>
      </c>
      <c r="C54" s="890" t="s">
        <v>1039</v>
      </c>
      <c r="D54" s="886" t="s">
        <v>1157</v>
      </c>
      <c r="E54" s="869"/>
      <c r="F54" s="1939">
        <f>'Expenditures 15-22'!G114</f>
        <v>50021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9">
        <f>'Expenditures 15-22'!K139</f>
        <v>0</v>
      </c>
      <c r="G57" s="866"/>
    </row>
    <row r="58" spans="1:7" x14ac:dyDescent="0.2">
      <c r="A58" s="870" t="s">
        <v>480</v>
      </c>
      <c r="B58" s="870" t="s">
        <v>1991</v>
      </c>
      <c r="C58" s="887" t="s">
        <v>1039</v>
      </c>
      <c r="D58" s="886" t="s">
        <v>1157</v>
      </c>
      <c r="E58" s="869"/>
      <c r="F58" s="1941">
        <f>'Expenditures 15-22'!G151</f>
        <v>0</v>
      </c>
      <c r="G58" s="866"/>
    </row>
    <row r="59" spans="1:7" x14ac:dyDescent="0.2">
      <c r="A59" s="894" t="s">
        <v>480</v>
      </c>
      <c r="B59" s="857" t="s">
        <v>1992</v>
      </c>
      <c r="C59" s="895" t="s">
        <v>1039</v>
      </c>
      <c r="D59" s="857" t="s">
        <v>309</v>
      </c>
      <c r="F59" s="1942">
        <f>'Expenditures 15-22'!I151</f>
        <v>0</v>
      </c>
      <c r="G59" s="866"/>
    </row>
    <row r="60" spans="1:7" x14ac:dyDescent="0.2">
      <c r="A60" s="894" t="s">
        <v>520</v>
      </c>
      <c r="B60" s="857" t="s">
        <v>1993</v>
      </c>
      <c r="C60" s="895">
        <v>4000</v>
      </c>
      <c r="D60" s="857" t="s">
        <v>330</v>
      </c>
      <c r="F60" s="1940">
        <f>'Expenditures 15-22'!K160</f>
        <v>0</v>
      </c>
      <c r="G60" s="866"/>
    </row>
    <row r="61" spans="1:7" x14ac:dyDescent="0.2">
      <c r="A61" s="896" t="s">
        <v>520</v>
      </c>
      <c r="B61" s="896" t="s">
        <v>1994</v>
      </c>
      <c r="C61" s="897" t="str">
        <f>'Expenditures 15-22'!B170</f>
        <v>5300</v>
      </c>
      <c r="D61" s="898" t="s">
        <v>329</v>
      </c>
      <c r="E61" s="880"/>
      <c r="F61" s="1939">
        <f>'Expenditures 15-22'!K170</f>
        <v>0</v>
      </c>
      <c r="G61" s="866"/>
    </row>
    <row r="62" spans="1:7" x14ac:dyDescent="0.2">
      <c r="A62" s="870" t="s">
        <v>481</v>
      </c>
      <c r="B62" s="870" t="s">
        <v>1995</v>
      </c>
      <c r="C62" s="887">
        <f>'Expenditures 15-22'!B185</f>
        <v>3000</v>
      </c>
      <c r="D62" s="877" t="s">
        <v>469</v>
      </c>
      <c r="E62" s="869"/>
      <c r="F62" s="1939">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1997</v>
      </c>
      <c r="C64" s="897" t="str">
        <f>'Expenditures 15-22'!B206</f>
        <v>5300</v>
      </c>
      <c r="D64" s="893" t="s">
        <v>329</v>
      </c>
      <c r="E64" s="869"/>
      <c r="F64" s="1939">
        <f>'Expenditures 15-22'!K206</f>
        <v>0</v>
      </c>
      <c r="G64" s="866"/>
    </row>
    <row r="65" spans="1:8" x14ac:dyDescent="0.2">
      <c r="A65" s="870" t="s">
        <v>481</v>
      </c>
      <c r="B65" s="870" t="s">
        <v>1998</v>
      </c>
      <c r="C65" s="887" t="s">
        <v>1039</v>
      </c>
      <c r="D65" s="886" t="s">
        <v>1157</v>
      </c>
      <c r="E65" s="869"/>
      <c r="F65" s="1939">
        <f>'Expenditures 15-22'!G210</f>
        <v>0</v>
      </c>
      <c r="G65" s="866"/>
    </row>
    <row r="66" spans="1:8" x14ac:dyDescent="0.2">
      <c r="A66" s="870" t="s">
        <v>481</v>
      </c>
      <c r="B66" s="870" t="s">
        <v>1999</v>
      </c>
      <c r="C66" s="887" t="s">
        <v>1039</v>
      </c>
      <c r="D66" s="886" t="s">
        <v>309</v>
      </c>
      <c r="E66" s="869"/>
      <c r="F66" s="1939">
        <f>'Expenditures 15-22'!I210</f>
        <v>0</v>
      </c>
      <c r="G66" s="866"/>
    </row>
    <row r="67" spans="1:8" x14ac:dyDescent="0.2">
      <c r="A67" s="870" t="s">
        <v>482</v>
      </c>
      <c r="B67" s="870" t="s">
        <v>2000</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2002</v>
      </c>
      <c r="C70" s="887">
        <f>'Expenditures 15-22'!B221</f>
        <v>1300</v>
      </c>
      <c r="D70" s="888" t="str">
        <f>'Expenditures 15-22'!A221</f>
        <v>Adult/Continuing Education Programs</v>
      </c>
      <c r="E70" s="869"/>
      <c r="F70" s="1939">
        <f>'Expenditures 15-22'!K221</f>
        <v>0</v>
      </c>
      <c r="G70" s="866"/>
    </row>
    <row r="71" spans="1:8" x14ac:dyDescent="0.2">
      <c r="A71" s="870" t="s">
        <v>482</v>
      </c>
      <c r="B71" s="870" t="s">
        <v>2003</v>
      </c>
      <c r="C71" s="887">
        <f>'Expenditures 15-22'!B224</f>
        <v>1600</v>
      </c>
      <c r="D71" s="888" t="str">
        <f>'Expenditures 15-22'!A224</f>
        <v>Summer School Programs</v>
      </c>
      <c r="E71" s="869"/>
      <c r="F71" s="1939">
        <f>'Expenditures 15-22'!K224</f>
        <v>0</v>
      </c>
      <c r="G71" s="866"/>
    </row>
    <row r="72" spans="1:8" x14ac:dyDescent="0.2">
      <c r="A72" s="870" t="s">
        <v>482</v>
      </c>
      <c r="B72" s="870" t="s">
        <v>2004</v>
      </c>
      <c r="C72" s="887">
        <f>'Expenditures 15-22'!B280</f>
        <v>3000</v>
      </c>
      <c r="D72" s="877" t="s">
        <v>469</v>
      </c>
      <c r="E72" s="869"/>
      <c r="F72" s="1939">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2006</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1015</v>
      </c>
      <c r="F76" s="1800">
        <f>SUM(F18:F74)</f>
        <v>2170245</v>
      </c>
      <c r="G76" s="866"/>
    </row>
    <row r="77" spans="1:8" s="894" customFormat="1" ht="12" customHeight="1" thickTop="1" thickBot="1" x14ac:dyDescent="0.25">
      <c r="A77" s="1801"/>
      <c r="B77" s="1798"/>
      <c r="C77" s="1794"/>
      <c r="D77" s="1799" t="s">
        <v>2008</v>
      </c>
      <c r="E77" s="1796"/>
      <c r="F77" s="1802">
        <f>(F14-F76)</f>
        <v>8618872</v>
      </c>
      <c r="G77" s="870"/>
    </row>
    <row r="78" spans="1:8" s="894" customFormat="1" ht="12" customHeight="1" thickTop="1" x14ac:dyDescent="0.2">
      <c r="A78" s="1803"/>
      <c r="B78" s="1798"/>
      <c r="C78" s="1794"/>
      <c r="D78" s="1799" t="s">
        <v>2054</v>
      </c>
      <c r="E78" s="1796"/>
      <c r="F78" s="899">
        <v>0</v>
      </c>
      <c r="G78" s="900"/>
      <c r="H78" s="870"/>
    </row>
    <row r="79" spans="1:8" s="894" customFormat="1" ht="12" customHeight="1" thickBot="1" x14ac:dyDescent="0.25">
      <c r="A79" s="1804"/>
      <c r="B79" s="1798"/>
      <c r="C79" s="1794"/>
      <c r="D79" s="1799" t="s">
        <v>2009</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895596</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467494</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53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13343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1224</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2024163</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56096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357644</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2053</v>
      </c>
      <c r="C175" s="1946">
        <v>3100</v>
      </c>
      <c r="D175" s="1947" t="s">
        <v>2056</v>
      </c>
      <c r="E175" s="907"/>
      <c r="F175" s="1931"/>
      <c r="G175" s="928"/>
    </row>
    <row r="176" spans="1:7" x14ac:dyDescent="0.2">
      <c r="A176" s="1944" t="s">
        <v>685</v>
      </c>
      <c r="B176" s="1945" t="s">
        <v>2053</v>
      </c>
      <c r="C176" s="1946">
        <v>3300</v>
      </c>
      <c r="D176" s="1947" t="s">
        <v>2057</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1015</v>
      </c>
      <c r="F178" s="1810">
        <f>SUM(F84:F136,F161:F176)</f>
        <v>3815613</v>
      </c>
    </row>
    <row r="179" spans="1:7" ht="12" customHeight="1" x14ac:dyDescent="0.2">
      <c r="A179" s="1792"/>
      <c r="B179" s="1806"/>
      <c r="C179" s="1807"/>
      <c r="D179" s="1808" t="s">
        <v>2011</v>
      </c>
      <c r="E179" s="1809"/>
      <c r="F179" s="1811">
        <f>'PCTC-OEPP 27-28'!F77-F178</f>
        <v>4803259</v>
      </c>
    </row>
    <row r="180" spans="1:7" ht="12" customHeight="1" x14ac:dyDescent="0.2">
      <c r="A180" s="1792"/>
      <c r="B180" s="1806"/>
      <c r="C180" s="1807"/>
      <c r="D180" s="1808" t="s">
        <v>1921</v>
      </c>
      <c r="E180" s="1809"/>
      <c r="F180" s="1811">
        <f>'Cap Outlay Deprec 26'!I18</f>
        <v>88360</v>
      </c>
    </row>
    <row r="181" spans="1:7" ht="12" customHeight="1" x14ac:dyDescent="0.2">
      <c r="A181" s="1792"/>
      <c r="B181" s="1806"/>
      <c r="C181" s="1807"/>
      <c r="D181" s="1808" t="s">
        <v>2012</v>
      </c>
      <c r="E181" s="1809"/>
      <c r="F181" s="1811">
        <f>F179+F180</f>
        <v>4891619</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2013</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8" customFormat="1" ht="12.2" customHeight="1" x14ac:dyDescent="0.2">
      <c r="A186" s="1948" t="s">
        <v>2060</v>
      </c>
      <c r="B186" s="1949"/>
      <c r="C186" s="1950"/>
      <c r="D186" s="1949"/>
      <c r="E186" s="1950"/>
      <c r="F186" s="1949"/>
      <c r="G186" s="1949"/>
    </row>
    <row r="187" spans="1:7" s="1948" customFormat="1" ht="12.2" customHeight="1" x14ac:dyDescent="0.2">
      <c r="A187" s="1951" t="s">
        <v>2061</v>
      </c>
      <c r="C187" s="1950"/>
      <c r="D187" s="1949"/>
      <c r="E187" s="1950"/>
      <c r="F187" s="1949"/>
      <c r="G187" s="1949"/>
    </row>
    <row r="188" spans="1:7" ht="12" customHeight="1" x14ac:dyDescent="0.2">
      <c r="C188" s="950"/>
      <c r="D188" s="931"/>
      <c r="E188" s="950"/>
      <c r="F188" s="931"/>
      <c r="G188" s="931"/>
    </row>
    <row r="189" spans="1:7" x14ac:dyDescent="0.2">
      <c r="A189" s="1952" t="s">
        <v>2059</v>
      </c>
      <c r="B189" s="1953"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1922</v>
      </c>
      <c r="B4" s="2290"/>
      <c r="C4" s="2290"/>
      <c r="D4" s="2290"/>
      <c r="E4" s="2290"/>
      <c r="F4" s="2290"/>
      <c r="G4" s="2291"/>
    </row>
    <row r="5" spans="1:7" x14ac:dyDescent="0.25">
      <c r="A5" s="2292"/>
      <c r="B5" s="2293"/>
      <c r="C5" s="2293"/>
      <c r="D5" s="2293"/>
      <c r="E5" s="2293"/>
      <c r="F5" s="2293"/>
      <c r="G5" s="2294"/>
    </row>
    <row r="6" spans="1:7" ht="18.75" x14ac:dyDescent="0.25">
      <c r="A6" s="1556" t="s">
        <v>1923</v>
      </c>
      <c r="B6" s="1557"/>
      <c r="C6" s="1557"/>
      <c r="D6" s="1557"/>
      <c r="E6" s="1557"/>
      <c r="F6" s="1557"/>
      <c r="G6" s="1558"/>
    </row>
    <row r="7" spans="1:7" ht="30.75" customHeight="1" x14ac:dyDescent="0.25">
      <c r="A7" s="2295" t="s">
        <v>2070</v>
      </c>
      <c r="B7" s="2296"/>
      <c r="C7" s="2296"/>
      <c r="D7" s="2296"/>
      <c r="E7" s="2296"/>
      <c r="F7" s="2296"/>
      <c r="G7" s="2297"/>
    </row>
    <row r="8" spans="1:7" ht="15.75" customHeight="1" x14ac:dyDescent="0.25">
      <c r="A8" s="2298" t="s">
        <v>2019</v>
      </c>
      <c r="B8" s="2299"/>
      <c r="C8" s="2299"/>
      <c r="D8" s="2299"/>
      <c r="E8" s="2299"/>
      <c r="F8" s="2299"/>
      <c r="G8" s="2300"/>
    </row>
    <row r="9" spans="1:7" ht="35.25" customHeight="1" x14ac:dyDescent="0.25">
      <c r="A9" s="2295" t="s">
        <v>2073</v>
      </c>
      <c r="B9" s="2296"/>
      <c r="C9" s="2296"/>
      <c r="D9" s="2296"/>
      <c r="E9" s="2296"/>
      <c r="F9" s="2296"/>
      <c r="G9" s="2297"/>
    </row>
    <row r="10" spans="1:7" ht="15" customHeight="1" x14ac:dyDescent="0.25">
      <c r="A10" s="1559" t="s">
        <v>1924</v>
      </c>
      <c r="B10" s="1560"/>
      <c r="C10" s="1560"/>
      <c r="D10" s="1560"/>
      <c r="E10" s="1560"/>
      <c r="F10" s="1560"/>
      <c r="G10" s="1561"/>
    </row>
    <row r="11" spans="1:7" ht="17.25" customHeight="1" x14ac:dyDescent="0.25">
      <c r="A11" s="2295" t="s">
        <v>2072</v>
      </c>
      <c r="B11" s="2296"/>
      <c r="C11" s="2296"/>
      <c r="D11" s="2296"/>
      <c r="E11" s="2296"/>
      <c r="F11" s="2296"/>
      <c r="G11" s="2297"/>
    </row>
    <row r="12" spans="1:7" ht="15" customHeight="1" x14ac:dyDescent="0.25">
      <c r="A12" s="1559" t="s">
        <v>1929</v>
      </c>
      <c r="B12" s="1560"/>
      <c r="C12" s="1560"/>
      <c r="D12" s="1560"/>
      <c r="E12" s="1560"/>
      <c r="F12" s="1560"/>
      <c r="G12" s="1561"/>
    </row>
    <row r="13" spans="1:7" ht="32.25" customHeight="1" x14ac:dyDescent="0.25">
      <c r="A13" s="2286" t="s">
        <v>1930</v>
      </c>
      <c r="B13" s="2287"/>
      <c r="C13" s="2287"/>
      <c r="D13" s="2287"/>
      <c r="E13" s="2287"/>
      <c r="F13" s="2287"/>
      <c r="G13" s="2288"/>
    </row>
    <row r="14" spans="1:7" x14ac:dyDescent="0.25">
      <c r="A14" s="1683" t="s">
        <v>1938</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1939</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9" t="s">
        <v>2153</v>
      </c>
      <c r="B17" s="1957" t="s">
        <v>2154</v>
      </c>
      <c r="C17" s="1958" t="s">
        <v>2155</v>
      </c>
      <c r="D17" s="1867">
        <v>1690</v>
      </c>
      <c r="E17" s="1562">
        <f t="shared" ref="E17:E141" si="1">IF(D17&lt;=25000,D17,IF(D17&gt;25000,25000,0))</f>
        <v>1690</v>
      </c>
      <c r="F17" s="1815">
        <f t="shared" si="0"/>
        <v>1690</v>
      </c>
      <c r="G17" s="1816">
        <f>IF(F17=0,0,D17-F17)</f>
        <v>0</v>
      </c>
      <c r="H17" s="1669"/>
    </row>
    <row r="18" spans="1:8" x14ac:dyDescent="0.25">
      <c r="A18" s="1959" t="s">
        <v>2153</v>
      </c>
      <c r="B18" s="1957" t="s">
        <v>2154</v>
      </c>
      <c r="C18" s="1958" t="s">
        <v>2156</v>
      </c>
      <c r="D18" s="1867">
        <v>8211</v>
      </c>
      <c r="E18" s="1562">
        <f t="shared" ref="E18:E140" si="2">IF(D18&lt;=25000,D18,IF(D18&gt;25000,25000,0))</f>
        <v>8211</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8211</v>
      </c>
      <c r="G18" s="1816">
        <f t="shared" ref="G18:G140" si="4">IF(F18=0,0,D18-F18)</f>
        <v>0</v>
      </c>
    </row>
    <row r="19" spans="1:8" x14ac:dyDescent="0.25">
      <c r="A19" s="1959" t="s">
        <v>2157</v>
      </c>
      <c r="B19" s="1957" t="s">
        <v>2159</v>
      </c>
      <c r="C19" s="1958" t="s">
        <v>2158</v>
      </c>
      <c r="D19" s="1867">
        <v>55250</v>
      </c>
      <c r="E19" s="1562">
        <f t="shared" si="2"/>
        <v>25000</v>
      </c>
      <c r="F19" s="1815">
        <f t="shared" si="3"/>
        <v>25000</v>
      </c>
      <c r="G19" s="1816">
        <f t="shared" si="4"/>
        <v>30250</v>
      </c>
    </row>
    <row r="20" spans="1:8" x14ac:dyDescent="0.25">
      <c r="A20" s="1959" t="s">
        <v>2160</v>
      </c>
      <c r="B20" s="1957" t="s">
        <v>2162</v>
      </c>
      <c r="C20" s="1958" t="s">
        <v>2161</v>
      </c>
      <c r="D20" s="1867">
        <v>13046</v>
      </c>
      <c r="E20" s="1562">
        <f t="shared" si="2"/>
        <v>13046</v>
      </c>
      <c r="F20" s="1815">
        <f t="shared" si="3"/>
        <v>13046</v>
      </c>
      <c r="G20" s="1816">
        <f t="shared" si="4"/>
        <v>0</v>
      </c>
    </row>
    <row r="21" spans="1:8" x14ac:dyDescent="0.25">
      <c r="A21" s="1959" t="s">
        <v>2157</v>
      </c>
      <c r="B21" s="1957" t="s">
        <v>2159</v>
      </c>
      <c r="C21" s="1958" t="s">
        <v>2163</v>
      </c>
      <c r="D21" s="1867">
        <v>52387</v>
      </c>
      <c r="E21" s="1562">
        <f t="shared" si="2"/>
        <v>25000</v>
      </c>
      <c r="F21" s="1815">
        <f t="shared" si="3"/>
        <v>25000</v>
      </c>
      <c r="G21" s="1816">
        <f t="shared" si="4"/>
        <v>27387</v>
      </c>
    </row>
    <row r="22" spans="1:8" x14ac:dyDescent="0.25">
      <c r="A22" s="1959" t="s">
        <v>2153</v>
      </c>
      <c r="B22" s="1957" t="s">
        <v>2154</v>
      </c>
      <c r="C22" s="1958" t="s">
        <v>2164</v>
      </c>
      <c r="D22" s="1867">
        <v>7929</v>
      </c>
      <c r="E22" s="1562">
        <f t="shared" si="2"/>
        <v>7929</v>
      </c>
      <c r="F22" s="1815">
        <f t="shared" si="3"/>
        <v>7929</v>
      </c>
      <c r="G22" s="1816">
        <f t="shared" si="4"/>
        <v>0</v>
      </c>
    </row>
    <row r="23" spans="1:8" x14ac:dyDescent="0.25">
      <c r="A23" s="1959" t="s">
        <v>2157</v>
      </c>
      <c r="B23" s="1957" t="s">
        <v>2159</v>
      </c>
      <c r="C23" s="1958" t="s">
        <v>2165</v>
      </c>
      <c r="D23" s="1867">
        <v>19740</v>
      </c>
      <c r="E23" s="1562">
        <f t="shared" si="2"/>
        <v>19740</v>
      </c>
      <c r="F23" s="1815">
        <f t="shared" si="3"/>
        <v>19740</v>
      </c>
      <c r="G23" s="1816">
        <f t="shared" si="4"/>
        <v>0</v>
      </c>
    </row>
    <row r="24" spans="1:8" x14ac:dyDescent="0.25">
      <c r="A24" s="1959" t="s">
        <v>2157</v>
      </c>
      <c r="B24" s="1957" t="s">
        <v>2166</v>
      </c>
      <c r="C24" s="1958" t="s">
        <v>2167</v>
      </c>
      <c r="D24" s="1867">
        <v>73463</v>
      </c>
      <c r="E24" s="1562">
        <f t="shared" si="2"/>
        <v>25000</v>
      </c>
      <c r="F24" s="1815">
        <f t="shared" si="3"/>
        <v>25000</v>
      </c>
      <c r="G24" s="1816">
        <f t="shared" si="4"/>
        <v>48463</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231716</v>
      </c>
      <c r="E141" s="1563">
        <f t="shared" si="1"/>
        <v>25000</v>
      </c>
      <c r="F141" s="1817">
        <f>SUM(F17:F140)</f>
        <v>125616</v>
      </c>
      <c r="G141" s="1818">
        <f>SUM(G17:G140)</f>
        <v>106100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c r="F10" s="975"/>
      <c r="G10" s="976"/>
      <c r="H10" s="162"/>
      <c r="I10" s="162"/>
    </row>
    <row r="11" spans="1:9" s="669" customFormat="1" ht="22.5" customHeight="1" x14ac:dyDescent="0.2">
      <c r="A11" s="2306" t="s">
        <v>1941</v>
      </c>
      <c r="B11" s="2307"/>
      <c r="C11" s="2307"/>
      <c r="D11" s="2308"/>
      <c r="E11" s="978">
        <v>1224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6121269</v>
      </c>
      <c r="F19" s="1822"/>
      <c r="G19" s="1824">
        <f>'Expenditures 15-22'!K33-SUM('Expenditures 15-22'!G33,'Expenditures 15-22'!I33)+'Expenditures 15-22'!D229</f>
        <v>6121269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1251565</v>
      </c>
      <c r="F21" s="1825"/>
      <c r="G21" s="1828">
        <f>'Expenditures 15-22'!K42-SUM('Expenditures 15-22'!G42,'Expenditures 15-22'!I42)+'Expenditures 15-22'!K120-SUM('Expenditures 15-22'!G120,'Expenditures 15-22'!I120)+'Expenditures 15-22'!K180-SUM('Expenditures 15-22'!G180,'Expenditures 15-22'!I180)+'Expenditures 15-22'!D238</f>
        <v>1251565</v>
      </c>
      <c r="H21" s="988"/>
      <c r="I21" s="162"/>
    </row>
    <row r="22" spans="1:9" s="669" customFormat="1" ht="12" customHeight="1" x14ac:dyDescent="0.2">
      <c r="A22" s="995" t="s">
        <v>585</v>
      </c>
      <c r="B22" s="996"/>
      <c r="C22" s="994">
        <v>2200</v>
      </c>
      <c r="D22" s="1825"/>
      <c r="E22" s="1827">
        <f>'Expenditures 15-22'!K47-SUM('Expenditures 15-22'!G47,'Expenditures 15-22'!I47)+'Expenditures 15-22'!D243</f>
        <v>263841</v>
      </c>
      <c r="F22" s="1825"/>
      <c r="G22" s="1828">
        <f>'Expenditures 15-22'!K47-SUM('Expenditures 15-22'!G47,'Expenditures 15-22'!I47)+'Expenditures 15-22'!D243</f>
        <v>263841</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789227</v>
      </c>
      <c r="F23" s="1825"/>
      <c r="G23" s="1827">
        <f>'Expenditures 15-22'!K53-SUM('Expenditures 15-22'!G53,'Expenditures 15-22'!I53)+'Expenditures 15-22'!D257+'Expenditures 15-22'!K330-SUM('Expenditures 15-22'!G330,'Expenditures 15-22'!I330)</f>
        <v>789227</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125764</v>
      </c>
      <c r="E27" s="1827">
        <f>E8</f>
        <v>0</v>
      </c>
      <c r="F27" s="1827">
        <f>'Expenditures 15-22'!K60-SUM('Expenditures 15-22'!G60,'Expenditures 15-22'!I60)+'Expenditures 15-22'!D264-E8</f>
        <v>125764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50374</v>
      </c>
      <c r="F28" s="1829">
        <f>'Expenditures 15-22'!K61-SUM('Expenditures 15-22'!G61,'Expenditures 15-22'!I61)+'Expenditures 15-22'!K124-SUM('Expenditures 15-22'!G124,'Expenditures 15-22'!I124)+'Expenditures 15-22'!D266-E9</f>
        <v>50374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16832</v>
      </c>
      <c r="F38" s="1825"/>
      <c r="G38" s="1827">
        <f>'Expenditures 15-22'!K73-SUM('Expenditures 15-22'!G73,'Expenditures 15-22'!I73)+'Expenditures 15-22'!K128-SUM('Expenditures 15-22'!G128,'Expenditures 15-22'!I128)+'Expenditures 15-22'!K183-SUM('Expenditures 15-22'!G183,'Expenditures 15-22'!I183)+'Expenditures 15-22'!D278</f>
        <v>16832</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1927</v>
      </c>
      <c r="B40" s="992"/>
      <c r="C40" s="994"/>
      <c r="D40" s="1825"/>
      <c r="E40" s="1829">
        <f>-'Contracts Paid in CY 29'!G141</f>
        <v>-106100</v>
      </c>
      <c r="F40" s="1825"/>
      <c r="G40" s="1829">
        <f>-'Contracts Paid in CY 29'!G141</f>
        <v>-106100</v>
      </c>
    </row>
    <row r="41" spans="1:7" ht="12" customHeight="1" x14ac:dyDescent="0.2">
      <c r="A41" s="999" t="s">
        <v>158</v>
      </c>
      <c r="B41" s="1000"/>
      <c r="C41" s="1001"/>
      <c r="D41" s="1829">
        <f>SUM(D19:D39)</f>
        <v>125764</v>
      </c>
      <c r="E41" s="1829">
        <f>SUM(E19:E40)</f>
        <v>8387008</v>
      </c>
      <c r="F41" s="1829">
        <f>SUM(F19:F39)</f>
        <v>176138</v>
      </c>
      <c r="G41" s="1829">
        <f>SUM(G19:G40)</f>
        <v>8336634</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125764</v>
      </c>
      <c r="F43" s="1830" t="s">
        <v>495</v>
      </c>
      <c r="G43" s="1831">
        <f>F41</f>
        <v>176138</v>
      </c>
    </row>
    <row r="44" spans="1:7" ht="12" customHeight="1" x14ac:dyDescent="0.2">
      <c r="A44" s="988"/>
      <c r="B44" s="162"/>
      <c r="C44" s="1002"/>
      <c r="D44" s="1830" t="s">
        <v>494</v>
      </c>
      <c r="E44" s="1831">
        <f>E41</f>
        <v>8387008</v>
      </c>
      <c r="F44" s="1830" t="s">
        <v>494</v>
      </c>
      <c r="G44" s="1831">
        <f>G41</f>
        <v>8336634</v>
      </c>
    </row>
    <row r="45" spans="1:7" ht="12" customHeight="1" x14ac:dyDescent="0.2">
      <c r="A45" s="988"/>
      <c r="B45" s="162"/>
      <c r="C45" s="162"/>
      <c r="D45" s="1832" t="s">
        <v>1063</v>
      </c>
      <c r="E45" s="1833">
        <f>(E43/E44)</f>
        <v>1.4995097178874754E-2</v>
      </c>
      <c r="F45" s="1832" t="s">
        <v>1063</v>
      </c>
      <c r="G45" s="1833">
        <f>(G43/G44)</f>
        <v>2.1128191545892502E-2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2043</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Grundy Co SpEd Coop</v>
      </c>
      <c r="D6" s="2327"/>
      <c r="E6" s="2327"/>
      <c r="F6" s="1877"/>
    </row>
    <row r="7" spans="1:10" ht="11.25" customHeight="1" thickBot="1" x14ac:dyDescent="0.3">
      <c r="A7" s="1875"/>
      <c r="B7" s="1876"/>
      <c r="C7" s="2328">
        <f>COVER!A13</f>
        <v>24032101061</v>
      </c>
      <c r="D7" s="2328"/>
      <c r="E7" s="2328"/>
      <c r="F7" s="1877"/>
    </row>
    <row r="8" spans="1:10" ht="25.5" customHeight="1" thickBot="1" x14ac:dyDescent="0.25">
      <c r="A8" s="1918" t="s">
        <v>2020</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2091</v>
      </c>
      <c r="D26" s="1890" t="s">
        <v>2091</v>
      </c>
      <c r="E26" s="1893"/>
      <c r="F26" s="1892" t="s">
        <v>2090</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t="s">
        <v>2092</v>
      </c>
      <c r="B41" s="2321"/>
      <c r="C41" s="2321"/>
      <c r="D41" s="2321"/>
      <c r="E41" s="2321"/>
      <c r="F41" s="2322"/>
      <c r="H41" s="1904"/>
      <c r="I41" s="1904"/>
      <c r="J41" s="1904"/>
      <c r="K41" s="1904"/>
    </row>
    <row r="42" spans="1:11" s="1895" customFormat="1" ht="12" customHeight="1" x14ac:dyDescent="0.25">
      <c r="A42" s="2320" t="s">
        <v>2093</v>
      </c>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Grundy Co SpEd Coop</v>
      </c>
      <c r="J6" s="2337"/>
      <c r="Q6" s="1686"/>
    </row>
    <row r="7" spans="1:17" x14ac:dyDescent="0.2">
      <c r="A7" s="2338" t="s">
        <v>924</v>
      </c>
      <c r="B7" s="2339"/>
      <c r="C7" s="2339"/>
      <c r="D7" s="2339"/>
      <c r="E7" s="2340"/>
      <c r="F7" s="1018"/>
      <c r="G7" s="1010"/>
      <c r="H7" s="1017" t="s">
        <v>390</v>
      </c>
      <c r="I7" s="2341">
        <f>COVER!A13</f>
        <v>24032101061</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800377</v>
      </c>
      <c r="F12" s="1040"/>
      <c r="G12" s="1834">
        <f t="shared" ref="G12:G18" si="0">SUM(E12:F12)</f>
        <v>800377</v>
      </c>
      <c r="H12" s="1041">
        <v>611317</v>
      </c>
      <c r="I12" s="1040"/>
      <c r="J12" s="1834">
        <f t="shared" ref="J12:J18" si="1">SUM(H12:I12)</f>
        <v>611317</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800377</v>
      </c>
      <c r="F19" s="1836">
        <f t="shared" si="2"/>
        <v>0</v>
      </c>
      <c r="G19" s="1836">
        <f t="shared" si="2"/>
        <v>800377</v>
      </c>
      <c r="H19" s="1836">
        <f t="shared" si="2"/>
        <v>611317</v>
      </c>
      <c r="I19" s="1836">
        <f t="shared" si="2"/>
        <v>0</v>
      </c>
      <c r="J19" s="1836">
        <f t="shared" si="2"/>
        <v>611317</v>
      </c>
    </row>
    <row r="20" spans="1:10" ht="13.5" thickTop="1" x14ac:dyDescent="0.2">
      <c r="A20" s="1036">
        <v>9</v>
      </c>
      <c r="B20" s="2348" t="s">
        <v>1703</v>
      </c>
      <c r="C20" s="2348"/>
      <c r="D20" s="2349"/>
      <c r="E20" s="1047"/>
      <c r="F20" s="1047"/>
      <c r="G20" s="1047"/>
      <c r="H20" s="1047"/>
      <c r="I20" s="1047"/>
      <c r="J20" s="1837">
        <f>IF(AND(G19&gt;0,J19&gt;0),(((J19-G19)/G19)),"Enter Budget Data")</f>
        <v>-0.23621368430127301</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1940</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2094</v>
      </c>
    </row>
    <row r="6" spans="1:2" x14ac:dyDescent="0.2">
      <c r="A6" s="1069">
        <v>2</v>
      </c>
      <c r="B6" s="329" t="s">
        <v>2149</v>
      </c>
    </row>
    <row r="7" spans="1:2" x14ac:dyDescent="0.2">
      <c r="A7" s="1069">
        <v>3</v>
      </c>
      <c r="B7" s="329" t="s">
        <v>2150</v>
      </c>
    </row>
    <row r="8" spans="1:2" x14ac:dyDescent="0.2">
      <c r="A8" s="1069">
        <v>4</v>
      </c>
      <c r="B8" s="329" t="s">
        <v>2151</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Grundy Co SpEd Coop</v>
      </c>
    </row>
    <row r="65" spans="2:2" x14ac:dyDescent="0.2">
      <c r="B65" s="1071">
        <f>COVER!A13</f>
        <v>24032101061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6867" r:id="rId4"/>
      </mc:Fallback>
    </mc:AlternateContent>
    <mc:AlternateContent xmlns:mc="http://schemas.openxmlformats.org/markup-compatibility/2006">
      <mc:Choice Requires="x14">
        <oleObject progId="Acrobat Document" dvAspect="DVASPECT_ICON" shapeId="36868" r:id="rId6">
          <objectPr defaultSize="0" r:id="rId7">
            <anchor moveWithCells="1">
              <from>
                <xdr:col>1</xdr:col>
                <xdr:colOff>885825</xdr:colOff>
                <xdr:row>0</xdr:row>
                <xdr:rowOff>0</xdr:rowOff>
              </from>
              <to>
                <xdr:col>1</xdr:col>
                <xdr:colOff>1800225</xdr:colOff>
                <xdr:row>4</xdr:row>
                <xdr:rowOff>38100</xdr:rowOff>
              </to>
            </anchor>
          </objectPr>
        </oleObject>
      </mc:Choice>
      <mc:Fallback>
        <oleObject progId="Acrobat Document" dvAspect="DVASPECT_ICON" shapeId="36868" r:id="rId6"/>
      </mc:Fallback>
    </mc:AlternateContent>
    <mc:AlternateContent xmlns:mc="http://schemas.openxmlformats.org/markup-compatibility/2006">
      <mc:Choice Requires="x14">
        <oleObject progId="Acrobat Document" dvAspect="DVASPECT_ICON" shapeId="36869" r:id="rId8">
          <objectPr defaultSize="0" r:id="rId9">
            <anchor moveWithCells="1">
              <from>
                <xdr:col>1</xdr:col>
                <xdr:colOff>1981200</xdr:colOff>
                <xdr:row>0</xdr:row>
                <xdr:rowOff>9525</xdr:rowOff>
              </from>
              <to>
                <xdr:col>1</xdr:col>
                <xdr:colOff>2895600</xdr:colOff>
                <xdr:row>4</xdr:row>
                <xdr:rowOff>47625</xdr:rowOff>
              </to>
            </anchor>
          </objectPr>
        </oleObject>
      </mc:Choice>
      <mc:Fallback>
        <oleObject progId="Acrobat Document" dvAspect="DVASPECT_ICON" shapeId="3686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2051</v>
      </c>
      <c r="B4" s="2376"/>
      <c r="C4" s="2376"/>
      <c r="D4" s="2376"/>
      <c r="E4" s="2376"/>
      <c r="F4" s="2377"/>
      <c r="G4" s="1075"/>
      <c r="H4" s="1075"/>
    </row>
    <row r="5" spans="1:8" ht="14.25" customHeight="1" x14ac:dyDescent="0.2">
      <c r="A5" s="2378" t="s">
        <v>2052</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12039027</v>
      </c>
      <c r="C8" s="1838">
        <f>'Acct Summary 7-8'!D8</f>
        <v>0</v>
      </c>
      <c r="D8" s="1838">
        <f>'Acct Summary 7-8'!F8</f>
        <v>0</v>
      </c>
      <c r="E8" s="1838">
        <f>'Acct Summary 7-8'!I8</f>
        <v>0</v>
      </c>
      <c r="F8" s="1838">
        <f>SUM(B8:E8)</f>
        <v>12039027</v>
      </c>
    </row>
    <row r="9" spans="1:8" s="1080" customFormat="1" ht="14.25" customHeight="1" thickBot="1" x14ac:dyDescent="0.25">
      <c r="A9" s="1079" t="s">
        <v>1436</v>
      </c>
      <c r="B9" s="1839">
        <f>'Acct Summary 7-8'!C17</f>
        <v>10738743</v>
      </c>
      <c r="C9" s="1839">
        <f>'Acct Summary 7-8'!D17</f>
        <v>50374</v>
      </c>
      <c r="D9" s="1839">
        <f>'Acct Summary 7-8'!F17</f>
        <v>0</v>
      </c>
      <c r="E9" s="1838"/>
      <c r="F9" s="1838">
        <f>SUM(B9:E9)</f>
        <v>10789117</v>
      </c>
    </row>
    <row r="10" spans="1:8" s="1080" customFormat="1" ht="14.25" thickTop="1" thickBot="1" x14ac:dyDescent="0.25">
      <c r="A10" s="1081" t="s">
        <v>1437</v>
      </c>
      <c r="B10" s="1840">
        <f>(B8-B9)</f>
        <v>1300284</v>
      </c>
      <c r="C10" s="1840">
        <f>(C8-C9)</f>
        <v>-50374</v>
      </c>
      <c r="D10" s="1840">
        <f>(D8-D9)</f>
        <v>0</v>
      </c>
      <c r="E10" s="1839">
        <f>(E8-E9)</f>
        <v>0</v>
      </c>
      <c r="F10" s="1841">
        <f>SUM(F8-F9)</f>
        <v>1249910</v>
      </c>
    </row>
    <row r="11" spans="1:8" s="1080" customFormat="1" ht="14.25" thickTop="1" thickBot="1" x14ac:dyDescent="0.25">
      <c r="A11" s="1082" t="s">
        <v>1785</v>
      </c>
      <c r="B11" s="1842">
        <f>'Acct Summary 7-8'!C81</f>
        <v>2081631</v>
      </c>
      <c r="C11" s="1842">
        <f>'Acct Summary 7-8'!D81</f>
        <v>0</v>
      </c>
      <c r="D11" s="1842">
        <f>'Acct Summary 7-8'!F81</f>
        <v>0</v>
      </c>
      <c r="E11" s="1842">
        <f>'Acct Summary 7-8'!I81</f>
        <v>0</v>
      </c>
      <c r="F11" s="1843">
        <f>SUM(B11:E11)</f>
        <v>2081631</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24032101061</v>
      </c>
    </row>
    <row r="3" spans="1:2" x14ac:dyDescent="0.2">
      <c r="A3" t="s">
        <v>1013</v>
      </c>
      <c r="B3" s="138" t="str">
        <f>COVER!A15</f>
        <v>Grundy</v>
      </c>
    </row>
    <row r="4" spans="1:2" x14ac:dyDescent="0.2">
      <c r="A4" t="s">
        <v>1064</v>
      </c>
      <c r="B4" s="138" t="str">
        <f>COVER!A17</f>
        <v>Grundy Co SpEd Coop</v>
      </c>
    </row>
    <row r="5" spans="1:2" x14ac:dyDescent="0.2">
      <c r="A5" t="s">
        <v>728</v>
      </c>
      <c r="B5" s="138" t="str">
        <f>COVER!A38</f>
        <v>Neil Sanburg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065-040266</v>
      </c>
    </row>
    <row r="16" spans="1:2" x14ac:dyDescent="0.2">
      <c r="A16" t="s">
        <v>442</v>
      </c>
      <c r="B16" s="138" t="str">
        <f>COVER!T13</f>
        <v>Mack &amp; Associates, P.C.</v>
      </c>
    </row>
    <row r="17" spans="1:2" x14ac:dyDescent="0.2">
      <c r="A17" t="s">
        <v>939</v>
      </c>
      <c r="B17" s="138" t="str">
        <f>COVER!T15</f>
        <v>Lauri Pope, CPA</v>
      </c>
    </row>
    <row r="18" spans="1:2" x14ac:dyDescent="0.2">
      <c r="A18" t="s">
        <v>1212</v>
      </c>
      <c r="B18" s="138" t="str">
        <f>COVER!T17</f>
        <v>116 E. Washington St., Suite One</v>
      </c>
    </row>
    <row r="19" spans="1:2" x14ac:dyDescent="0.2">
      <c r="A19" t="s">
        <v>941</v>
      </c>
      <c r="B19" s="138" t="str">
        <f>COVER!T25</f>
        <v>lpope@mackcpas.com</v>
      </c>
    </row>
    <row r="20" spans="1:2" x14ac:dyDescent="0.2">
      <c r="A20" t="s">
        <v>942</v>
      </c>
      <c r="B20" s="138" t="str">
        <f>COVER!T19</f>
        <v>Morris</v>
      </c>
    </row>
    <row r="21" spans="1:2" x14ac:dyDescent="0.2">
      <c r="A21" t="s">
        <v>500</v>
      </c>
      <c r="B21" s="138" t="str">
        <f>COVER!X19</f>
        <v>IL</v>
      </c>
    </row>
    <row r="22" spans="1:2" x14ac:dyDescent="0.2">
      <c r="A22" t="s">
        <v>943</v>
      </c>
      <c r="B22" s="138">
        <f>COVER!Z19</f>
        <v>60450</v>
      </c>
    </row>
    <row r="23" spans="1:2" x14ac:dyDescent="0.2">
      <c r="A23" t="s">
        <v>1214</v>
      </c>
      <c r="B23" s="138" t="str">
        <f>COVER!T21</f>
        <v>815-942-3306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2081631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1433456</v>
      </c>
      <c r="D92" s="2" t="str">
        <f t="shared" si="0"/>
        <v>Error?</v>
      </c>
    </row>
    <row r="93" spans="1:4" x14ac:dyDescent="0.2">
      <c r="A93" s="5">
        <v>32</v>
      </c>
      <c r="B93" s="138">
        <f>'Assets-Liab 5-6'!C41</f>
        <v>2081631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74871</v>
      </c>
      <c r="D273" s="2" t="str">
        <f t="shared" si="3"/>
        <v>Error?</v>
      </c>
    </row>
    <row r="274" spans="1:4" x14ac:dyDescent="0.2">
      <c r="A274" s="5">
        <v>213</v>
      </c>
      <c r="B274" s="138">
        <f>'Assets-Liab 5-6'!M17</f>
        <v>1442905</v>
      </c>
      <c r="D274" s="2" t="str">
        <f t="shared" si="3"/>
        <v>Error?</v>
      </c>
    </row>
    <row r="275" spans="1:4" x14ac:dyDescent="0.2">
      <c r="A275" s="5">
        <v>214</v>
      </c>
      <c r="B275" s="138">
        <f>'Assets-Liab 5-6'!M18</f>
        <v>0</v>
      </c>
      <c r="D275" s="2" t="str">
        <f t="shared" si="3"/>
        <v>Error?</v>
      </c>
    </row>
    <row r="276" spans="1:4" x14ac:dyDescent="0.2">
      <c r="A276" s="5">
        <v>215</v>
      </c>
      <c r="B276" s="138">
        <f>'Assets-Liab 5-6'!M19</f>
        <v>22676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1540452</v>
      </c>
      <c r="C279" s="2" t="s">
        <v>594</v>
      </c>
      <c r="D279" s="2" t="str">
        <f t="shared" si="3"/>
        <v>Error?</v>
      </c>
    </row>
    <row r="280" spans="1:4" x14ac:dyDescent="0.2">
      <c r="A280" s="5">
        <v>219</v>
      </c>
      <c r="B280" s="138">
        <f>'Assets-Liab 5-6'!M40</f>
        <v>1540452</v>
      </c>
      <c r="D280" s="2" t="str">
        <f t="shared" si="3"/>
        <v>Error?</v>
      </c>
    </row>
    <row r="281" spans="1:4" x14ac:dyDescent="0.2">
      <c r="A281" s="5">
        <v>220</v>
      </c>
      <c r="B281" s="138">
        <f>'Assets-Liab 5-6'!M41</f>
        <v>1540452</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17736</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4165608</v>
      </c>
      <c r="C720" s="2" t="s">
        <v>594</v>
      </c>
      <c r="D720" s="2" t="str">
        <f t="shared" si="10"/>
        <v>Error?</v>
      </c>
    </row>
    <row r="721" spans="1:4" x14ac:dyDescent="0.2">
      <c r="A721" s="5">
        <v>660</v>
      </c>
      <c r="B721" s="138">
        <f>'Expenditures 15-22'!C36</f>
        <v>59741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347926</v>
      </c>
      <c r="D723" s="2" t="str">
        <f t="shared" si="10"/>
        <v>Error?</v>
      </c>
    </row>
    <row r="724" spans="1:4" x14ac:dyDescent="0.2">
      <c r="A724" s="5">
        <v>663</v>
      </c>
      <c r="B724" s="138">
        <f>'Expenditures 15-22'!C39</f>
        <v>157085</v>
      </c>
      <c r="D724" s="2" t="str">
        <f t="shared" si="10"/>
        <v>Error?</v>
      </c>
    </row>
    <row r="725" spans="1:4" x14ac:dyDescent="0.2">
      <c r="A725" s="5">
        <v>664</v>
      </c>
      <c r="B725" s="138">
        <f>'Expenditures 15-22'!C40</f>
        <v>322970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887722</v>
      </c>
      <c r="C727" s="2" t="s">
        <v>594</v>
      </c>
      <c r="D727" s="2" t="str">
        <f t="shared" si="10"/>
        <v>Error?</v>
      </c>
    </row>
    <row r="728" spans="1:4" x14ac:dyDescent="0.2">
      <c r="A728" s="5">
        <v>667</v>
      </c>
      <c r="B728" s="138">
        <f>'Expenditures 15-22'!C44</f>
        <v>23867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119981</v>
      </c>
      <c r="D730" s="2" t="str">
        <f t="shared" si="10"/>
        <v>Error?</v>
      </c>
    </row>
    <row r="731" spans="1:4" x14ac:dyDescent="0.2">
      <c r="A731" s="5">
        <v>670</v>
      </c>
      <c r="B731" s="138">
        <f>'Expenditures 15-22'!C47</f>
        <v>143848</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323577</v>
      </c>
      <c r="D733" s="2" t="str">
        <f t="shared" si="10"/>
        <v>Error?</v>
      </c>
    </row>
    <row r="734" spans="1:4" x14ac:dyDescent="0.2">
      <c r="A734" s="5">
        <v>673</v>
      </c>
      <c r="B734" s="138">
        <f>'Expenditures 15-22'!C53</f>
        <v>323577</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83283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83283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1438430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5604038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7232</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1747272</v>
      </c>
      <c r="C778" s="2" t="s">
        <v>594</v>
      </c>
      <c r="D778" s="2" t="str">
        <f t="shared" si="11"/>
        <v>Error?</v>
      </c>
    </row>
    <row r="779" spans="1:4" x14ac:dyDescent="0.2">
      <c r="A779" s="5">
        <v>718</v>
      </c>
      <c r="B779" s="138">
        <f>'Expenditures 15-22'!D36</f>
        <v>18827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106358</v>
      </c>
      <c r="D781" s="2" t="str">
        <f t="shared" si="11"/>
        <v>Error?</v>
      </c>
    </row>
    <row r="782" spans="1:4" x14ac:dyDescent="0.2">
      <c r="A782" s="5">
        <v>721</v>
      </c>
      <c r="B782" s="138">
        <f>'Expenditures 15-22'!D39</f>
        <v>39237</v>
      </c>
      <c r="D782" s="2" t="str">
        <f t="shared" si="11"/>
        <v>Error?</v>
      </c>
    </row>
    <row r="783" spans="1:4" x14ac:dyDescent="0.2">
      <c r="A783" s="5">
        <v>722</v>
      </c>
      <c r="B783" s="138">
        <f>'Expenditures 15-22'!D40</f>
        <v>86652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251074</v>
      </c>
      <c r="C785" s="2" t="s">
        <v>594</v>
      </c>
      <c r="D785" s="2" t="str">
        <f t="shared" si="11"/>
        <v>Error?</v>
      </c>
    </row>
    <row r="786" spans="1:4" x14ac:dyDescent="0.2">
      <c r="A786" s="5">
        <v>725</v>
      </c>
      <c r="B786" s="138">
        <f>'Expenditures 15-22'!D44</f>
        <v>3050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43781</v>
      </c>
      <c r="D788" s="2" t="str">
        <f t="shared" si="11"/>
        <v>Error?</v>
      </c>
    </row>
    <row r="789" spans="1:4" x14ac:dyDescent="0.2">
      <c r="A789" s="5">
        <v>728</v>
      </c>
      <c r="B789" s="138">
        <f>'Expenditures 15-22'!D47</f>
        <v>46831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120064</v>
      </c>
      <c r="D791" s="2" t="str">
        <f t="shared" si="11"/>
        <v>Error?</v>
      </c>
    </row>
    <row r="792" spans="1:4" x14ac:dyDescent="0.2">
      <c r="A792" s="5">
        <v>731</v>
      </c>
      <c r="B792" s="138">
        <f>'Expenditures 15-22'!D53</f>
        <v>131013</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35870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35870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464788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2212060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84</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139792</v>
      </c>
      <c r="C836" s="2" t="s">
        <v>594</v>
      </c>
      <c r="D836" s="2" t="str">
        <f t="shared" si="12"/>
        <v>Error?</v>
      </c>
    </row>
    <row r="837" spans="1:4" x14ac:dyDescent="0.2">
      <c r="A837" s="5">
        <v>776</v>
      </c>
      <c r="B837" s="138">
        <f>'Expenditures 15-22'!E36</f>
        <v>4053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82967</v>
      </c>
      <c r="D839" s="2" t="str">
        <f t="shared" si="12"/>
        <v>Error?</v>
      </c>
    </row>
    <row r="840" spans="1:4" x14ac:dyDescent="0.2">
      <c r="A840" s="5">
        <v>779</v>
      </c>
      <c r="B840" s="138">
        <f>'Expenditures 15-22'!E39</f>
        <v>4354</v>
      </c>
      <c r="D840" s="2" t="str">
        <f t="shared" si="12"/>
        <v>Error?</v>
      </c>
    </row>
    <row r="841" spans="1:4" x14ac:dyDescent="0.2">
      <c r="A841" s="5">
        <v>780</v>
      </c>
      <c r="B841" s="138">
        <f>'Expenditures 15-22'!E40</f>
        <v>7560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98934</v>
      </c>
      <c r="C843" s="2" t="s">
        <v>594</v>
      </c>
      <c r="D843" s="2" t="str">
        <f t="shared" si="12"/>
        <v>Error?</v>
      </c>
    </row>
    <row r="844" spans="1:4" x14ac:dyDescent="0.2">
      <c r="A844" s="5">
        <v>783</v>
      </c>
      <c r="B844" s="138">
        <f>'Expenditures 15-22'!E44</f>
        <v>41589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16753</v>
      </c>
      <c r="D846" s="2" t="str">
        <f t="shared" si="12"/>
        <v>Error?</v>
      </c>
    </row>
    <row r="847" spans="1:4" x14ac:dyDescent="0.2">
      <c r="A847" s="5">
        <v>786</v>
      </c>
      <c r="B847" s="138">
        <f>'Expenditures 15-22'!E47</f>
        <v>58342</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302345</v>
      </c>
      <c r="D849" s="2" t="str">
        <f t="shared" si="12"/>
        <v>Error?</v>
      </c>
    </row>
    <row r="850" spans="1:4" x14ac:dyDescent="0.2">
      <c r="A850" s="5">
        <v>789</v>
      </c>
      <c r="B850" s="138">
        <f>'Expenditures 15-22'!E53</f>
        <v>302345</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1616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1616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16832</v>
      </c>
      <c r="D870" s="2" t="str">
        <f t="shared" si="12"/>
        <v>Error?</v>
      </c>
    </row>
    <row r="871" spans="1:4" x14ac:dyDescent="0.2">
      <c r="A871" s="5">
        <v>810</v>
      </c>
      <c r="B871" s="138">
        <f>'Expenditures 15-22'!E74</f>
        <v>478069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617861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68597</v>
      </c>
      <c r="C894" s="2" t="s">
        <v>594</v>
      </c>
      <c r="D894" s="2" t="str">
        <f t="shared" si="12"/>
        <v>Error?</v>
      </c>
    </row>
    <row r="895" spans="1:4" x14ac:dyDescent="0.2">
      <c r="A895" s="5">
        <v>834</v>
      </c>
      <c r="B895" s="138">
        <f>'Expenditures 15-22'!F36</f>
        <v>1962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4692</v>
      </c>
      <c r="D897" s="2" t="str">
        <f t="shared" si="13"/>
        <v>Error?</v>
      </c>
    </row>
    <row r="898" spans="1:4" x14ac:dyDescent="0.2">
      <c r="A898" s="5">
        <v>837</v>
      </c>
      <c r="B898" s="138">
        <f>'Expenditures 15-22'!F39</f>
        <v>1193</v>
      </c>
      <c r="D898" s="2" t="str">
        <f t="shared" si="13"/>
        <v>Error?</v>
      </c>
    </row>
    <row r="899" spans="1:4" x14ac:dyDescent="0.2">
      <c r="A899" s="5">
        <v>838</v>
      </c>
      <c r="B899" s="138">
        <f>'Expenditures 15-22'!F40</f>
        <v>5988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13835</v>
      </c>
      <c r="C901" s="2" t="s">
        <v>594</v>
      </c>
      <c r="D901" s="2" t="str">
        <f t="shared" si="13"/>
        <v>Error?</v>
      </c>
    </row>
    <row r="902" spans="1:4" x14ac:dyDescent="0.2">
      <c r="A902" s="5">
        <v>841</v>
      </c>
      <c r="B902" s="138">
        <f>'Expenditures 15-22'!F44</f>
        <v>3359</v>
      </c>
      <c r="D902" s="2" t="str">
        <f t="shared" si="13"/>
        <v>Error?</v>
      </c>
    </row>
    <row r="903" spans="1:4" x14ac:dyDescent="0.2">
      <c r="A903" s="5">
        <v>842</v>
      </c>
      <c r="B903" s="138">
        <f>'Expenditures 15-22'!F45</f>
        <v>0</v>
      </c>
      <c r="D903" s="2" t="str">
        <f t="shared" si="13"/>
        <v>Error?</v>
      </c>
    </row>
    <row r="904" spans="1:4" x14ac:dyDescent="0.2">
      <c r="A904" s="5">
        <v>843</v>
      </c>
      <c r="B904" s="138">
        <f>'Expenditures 15-22'!F46</f>
        <v>3001</v>
      </c>
      <c r="D904" s="2" t="str">
        <f t="shared" si="13"/>
        <v>Error?</v>
      </c>
    </row>
    <row r="905" spans="1:4" x14ac:dyDescent="0.2">
      <c r="A905" s="5">
        <v>844</v>
      </c>
      <c r="B905" s="138">
        <f>'Expenditures 15-22'!F47</f>
        <v>6360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32292</v>
      </c>
      <c r="D907" s="2" t="str">
        <f t="shared" si="13"/>
        <v>Error?</v>
      </c>
    </row>
    <row r="908" spans="1:4" x14ac:dyDescent="0.2">
      <c r="A908" s="5">
        <v>847</v>
      </c>
      <c r="B908" s="138">
        <f>'Expenditures 15-22'!F53</f>
        <v>32292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4995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4995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57482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126079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27922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22099</v>
      </c>
      <c r="D965" s="2" t="str">
        <f t="shared" si="14"/>
        <v>Error?</v>
      </c>
    </row>
    <row r="966" spans="1:4" x14ac:dyDescent="0.2">
      <c r="A966" s="5">
        <v>905</v>
      </c>
      <c r="B966" s="138">
        <f>'Expenditures 15-22'!G53</f>
        <v>22099</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22099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50021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8460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8460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8460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2120224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2128684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25052</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6149191</v>
      </c>
      <c r="C1108" s="2" t="s">
        <v>594</v>
      </c>
      <c r="D1108" s="2" t="str">
        <f t="shared" si="16"/>
        <v>Error?</v>
      </c>
    </row>
    <row r="1109" spans="1:4" x14ac:dyDescent="0.2">
      <c r="A1109" s="5">
        <v>1048</v>
      </c>
      <c r="B1109" s="138">
        <f>'Expenditures 15-22'!K36</f>
        <v>84583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541943</v>
      </c>
      <c r="C1111" s="2" t="s">
        <v>594</v>
      </c>
      <c r="D1111" s="2" t="str">
        <f t="shared" si="16"/>
        <v>Error?</v>
      </c>
    </row>
    <row r="1112" spans="1:4" x14ac:dyDescent="0.2">
      <c r="A1112" s="5">
        <v>1051</v>
      </c>
      <c r="B1112" s="138">
        <f>'Expenditures 15-22'!K39</f>
        <v>201869</v>
      </c>
      <c r="C1112" s="2" t="s">
        <v>594</v>
      </c>
      <c r="D1112" s="2" t="str">
        <f t="shared" si="16"/>
        <v>Error?</v>
      </c>
    </row>
    <row r="1113" spans="1:4" x14ac:dyDescent="0.2">
      <c r="A1113" s="5">
        <v>1052</v>
      </c>
      <c r="B1113" s="138">
        <f>'Expenditures 15-22'!K40</f>
        <v>423170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1251565</v>
      </c>
      <c r="C1115" s="2" t="s">
        <v>594</v>
      </c>
      <c r="D1115" s="2" t="str">
        <f t="shared" si="16"/>
        <v>Error?</v>
      </c>
    </row>
    <row r="1116" spans="1:4" x14ac:dyDescent="0.2">
      <c r="A1116" s="5">
        <v>1055</v>
      </c>
      <c r="B1116" s="138">
        <f>'Expenditures 15-22'!K44</f>
        <v>80325</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183516</v>
      </c>
      <c r="C1118" s="2" t="s">
        <v>594</v>
      </c>
      <c r="D1118" s="2" t="str">
        <f t="shared" si="16"/>
        <v>Error?</v>
      </c>
    </row>
    <row r="1119" spans="1:4" x14ac:dyDescent="0.2">
      <c r="A1119" s="5">
        <v>1058</v>
      </c>
      <c r="B1119" s="138">
        <f>'Expenditures 15-22'!K47</f>
        <v>263841</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800377</v>
      </c>
      <c r="C1121" s="2" t="s">
        <v>594</v>
      </c>
      <c r="D1121" s="2" t="str">
        <f t="shared" si="16"/>
        <v>Error?</v>
      </c>
    </row>
    <row r="1122" spans="1:4" x14ac:dyDescent="0.2">
      <c r="A1122" s="5">
        <v>1061</v>
      </c>
      <c r="B1122" s="138">
        <f>'Expenditures 15-22'!K53</f>
        <v>811326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125764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125764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16832</v>
      </c>
      <c r="C1142" s="2" t="s">
        <v>594</v>
      </c>
      <c r="D1142" s="2" t="str">
        <f t="shared" si="16"/>
        <v>Error?</v>
      </c>
    </row>
    <row r="1143" spans="1:4" x14ac:dyDescent="0.2">
      <c r="A1143" s="5">
        <v>1082</v>
      </c>
      <c r="B1143" s="138">
        <f>'Expenditures 15-22'!K74</f>
        <v>2469328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2120224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10738743</v>
      </c>
      <c r="C1152" s="2" t="s">
        <v>594</v>
      </c>
      <c r="D1152" s="2" t="str">
        <f t="shared" si="17"/>
        <v>Error?</v>
      </c>
    </row>
    <row r="1153" spans="1:4" x14ac:dyDescent="0.2">
      <c r="A1153" s="5">
        <v>1092</v>
      </c>
      <c r="B1153" s="138">
        <f>'Expenditures 15-22'!K115</f>
        <v>1300284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10422</v>
      </c>
      <c r="D1221" s="2" t="str">
        <f t="shared" si="18"/>
        <v>Error?</v>
      </c>
    </row>
    <row r="1222" spans="1:4" x14ac:dyDescent="0.2">
      <c r="A1222" s="10">
        <v>1161</v>
      </c>
      <c r="D1222" s="2" t="str">
        <f t="shared" si="18"/>
        <v>OK</v>
      </c>
    </row>
    <row r="1223" spans="1:4" x14ac:dyDescent="0.2">
      <c r="A1223" s="5">
        <v>1162</v>
      </c>
      <c r="B1223" s="138">
        <f>'Expenditures 15-22'!C127</f>
        <v>10422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10422</v>
      </c>
      <c r="C1225" s="2" t="s">
        <v>594</v>
      </c>
      <c r="D1225" s="2" t="str">
        <f t="shared" si="18"/>
        <v>Error?</v>
      </c>
    </row>
    <row r="1226" spans="1:4" x14ac:dyDescent="0.2">
      <c r="A1226" s="5">
        <v>1165</v>
      </c>
      <c r="B1226" s="138">
        <f>'Expenditures 15-22'!C151</f>
        <v>10422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1588</v>
      </c>
      <c r="D1229" s="2" t="str">
        <f t="shared" si="18"/>
        <v>Error?</v>
      </c>
    </row>
    <row r="1230" spans="1:4" x14ac:dyDescent="0.2">
      <c r="A1230" s="10">
        <v>1169</v>
      </c>
      <c r="D1230" s="2" t="str">
        <f t="shared" si="18"/>
        <v>OK</v>
      </c>
    </row>
    <row r="1231" spans="1:4" x14ac:dyDescent="0.2">
      <c r="A1231" s="5">
        <v>1170</v>
      </c>
      <c r="B1231" s="138">
        <f>'Expenditures 15-22'!D127</f>
        <v>1588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1588</v>
      </c>
      <c r="C1233" s="2" t="s">
        <v>594</v>
      </c>
      <c r="D1233" s="2" t="str">
        <f t="shared" si="18"/>
        <v>Error?</v>
      </c>
    </row>
    <row r="1234" spans="1:4" x14ac:dyDescent="0.2">
      <c r="A1234" s="5">
        <v>1173</v>
      </c>
      <c r="B1234" s="138">
        <f>'Expenditures 15-22'!D151</f>
        <v>1588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20674</v>
      </c>
      <c r="D1237" s="2" t="str">
        <f t="shared" si="18"/>
        <v>Error?</v>
      </c>
    </row>
    <row r="1238" spans="1:4" x14ac:dyDescent="0.2">
      <c r="A1238" s="10">
        <v>1177</v>
      </c>
      <c r="D1238" s="2" t="str">
        <f t="shared" si="18"/>
        <v>OK</v>
      </c>
    </row>
    <row r="1239" spans="1:4" x14ac:dyDescent="0.2">
      <c r="A1239" s="5">
        <v>1178</v>
      </c>
      <c r="B1239" s="138">
        <f>'Expenditures 15-22'!E127</f>
        <v>20674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20674</v>
      </c>
      <c r="C1241" s="2" t="s">
        <v>594</v>
      </c>
      <c r="D1241" s="2" t="str">
        <f t="shared" si="18"/>
        <v>Error?</v>
      </c>
    </row>
    <row r="1242" spans="1:4" x14ac:dyDescent="0.2">
      <c r="A1242" s="5">
        <v>1181</v>
      </c>
      <c r="B1242" s="138">
        <f>'Expenditures 15-22'!E151</f>
        <v>20674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17690</v>
      </c>
      <c r="D1245" s="2" t="str">
        <f t="shared" si="18"/>
        <v>Error?</v>
      </c>
    </row>
    <row r="1246" spans="1:4" x14ac:dyDescent="0.2">
      <c r="A1246" s="10">
        <v>1185</v>
      </c>
      <c r="D1246" s="2" t="str">
        <f t="shared" si="18"/>
        <v>OK</v>
      </c>
    </row>
    <row r="1247" spans="1:4" x14ac:dyDescent="0.2">
      <c r="A1247" s="5">
        <v>1186</v>
      </c>
      <c r="B1247" s="138">
        <f>'Expenditures 15-22'!F127</f>
        <v>17690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17690</v>
      </c>
      <c r="C1249" s="2" t="s">
        <v>594</v>
      </c>
      <c r="D1249" s="2" t="str">
        <f t="shared" si="18"/>
        <v>Error?</v>
      </c>
    </row>
    <row r="1250" spans="1:4" x14ac:dyDescent="0.2">
      <c r="A1250" s="5">
        <v>1189</v>
      </c>
      <c r="B1250" s="138">
        <f>'Expenditures 15-22'!F151</f>
        <v>17690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50374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50374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50374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50374</v>
      </c>
      <c r="C1288" s="2" t="s">
        <v>594</v>
      </c>
      <c r="D1288" s="2" t="str">
        <f t="shared" si="19"/>
        <v>Error?</v>
      </c>
    </row>
    <row r="1289" spans="1:4" x14ac:dyDescent="0.2">
      <c r="A1289" s="5">
        <v>1228</v>
      </c>
      <c r="B1289" s="138">
        <f>'Expenditures 15-22'!K152</f>
        <v>-50374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831721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2081631</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74871</v>
      </c>
      <c r="D2008" s="2" t="str">
        <f t="shared" si="30"/>
        <v>Error?</v>
      </c>
    </row>
    <row r="2009" spans="1:4" x14ac:dyDescent="0.2">
      <c r="A2009" s="5">
        <v>1948</v>
      </c>
      <c r="B2009" s="138">
        <f>'Cap Outlay Deprec 26'!C8</f>
        <v>2345285</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1398494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3818650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74871</v>
      </c>
      <c r="C2026" s="2" t="s">
        <v>594</v>
      </c>
      <c r="D2026" s="2" t="str">
        <f t="shared" si="30"/>
        <v>Error?</v>
      </c>
    </row>
    <row r="2027" spans="1:4" x14ac:dyDescent="0.2">
      <c r="A2027" s="5">
        <v>1966</v>
      </c>
      <c r="B2027" s="138">
        <f>'Cap Outlay Deprec 26'!F8</f>
        <v>2345285</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1398494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3818650</v>
      </c>
      <c r="C2031" s="2" t="s">
        <v>594</v>
      </c>
      <c r="D2031" s="2" t="str">
        <f t="shared" si="30"/>
        <v>Error?</v>
      </c>
    </row>
    <row r="2032" spans="1:4" x14ac:dyDescent="0.2">
      <c r="A2032" s="10">
        <v>1971</v>
      </c>
      <c r="D2032" s="2" t="str">
        <f t="shared" si="30"/>
        <v>OK</v>
      </c>
    </row>
    <row r="2033" spans="1:4" x14ac:dyDescent="0.2">
      <c r="A2033" s="5">
        <v>1972</v>
      </c>
      <c r="B2033" s="138">
        <f>'Cap Outlay Deprec 26'!H8</f>
        <v>848237</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1341601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2189838</v>
      </c>
      <c r="C2037" s="2" t="s">
        <v>594</v>
      </c>
      <c r="D2037" s="2" t="str">
        <f t="shared" si="30"/>
        <v>Error?</v>
      </c>
    </row>
    <row r="2038" spans="1:4" x14ac:dyDescent="0.2">
      <c r="A2038" s="10">
        <v>1977</v>
      </c>
      <c r="D2038" s="2" t="str">
        <f t="shared" si="30"/>
        <v>OK</v>
      </c>
    </row>
    <row r="2039" spans="1:4" x14ac:dyDescent="0.2">
      <c r="A2039" s="5">
        <v>1978</v>
      </c>
      <c r="B2039" s="138">
        <f>'Cap Outlay Deprec 26'!I8</f>
        <v>54143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34217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88360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902380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1375818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2278198</v>
      </c>
      <c r="C2055" s="2" t="s">
        <v>594</v>
      </c>
      <c r="D2055" s="2" t="str">
        <f t="shared" si="31"/>
        <v>Error?</v>
      </c>
    </row>
    <row r="2056" spans="1:4" x14ac:dyDescent="0.2">
      <c r="A2056" s="5">
        <v>1995</v>
      </c>
      <c r="B2056" s="138">
        <f>'Cap Outlay Deprec 26'!L5</f>
        <v>74871</v>
      </c>
      <c r="C2056" s="2" t="s">
        <v>594</v>
      </c>
      <c r="D2056" s="2" t="str">
        <f t="shared" si="31"/>
        <v>Error?</v>
      </c>
    </row>
    <row r="2057" spans="1:4" x14ac:dyDescent="0.2">
      <c r="A2057" s="5">
        <v>1996</v>
      </c>
      <c r="B2057" s="138">
        <f>'Cap Outlay Deprec 26'!L8</f>
        <v>1442905</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22676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1540452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2120224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2120224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648175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7988922</v>
      </c>
      <c r="C2551" s="2" t="s">
        <v>594</v>
      </c>
      <c r="D2551" s="2" t="str">
        <f t="shared" si="38"/>
        <v>Error?</v>
      </c>
    </row>
    <row r="2552" spans="1:4" x14ac:dyDescent="0.2">
      <c r="A2552" s="10">
        <v>2491</v>
      </c>
      <c r="D2552" s="2" t="str">
        <f t="shared" si="38"/>
        <v>OK</v>
      </c>
    </row>
    <row r="2553" spans="1:4" x14ac:dyDescent="0.2">
      <c r="A2553" s="5">
        <v>2492</v>
      </c>
      <c r="B2553" s="138">
        <f>'Acct Summary 7-8'!C6</f>
        <v>1386352</v>
      </c>
      <c r="C2553" s="2" t="s">
        <v>594</v>
      </c>
      <c r="D2553" s="2" t="str">
        <f t="shared" si="38"/>
        <v>Error?</v>
      </c>
    </row>
    <row r="2554" spans="1:4" x14ac:dyDescent="0.2">
      <c r="A2554" s="5">
        <v>2493</v>
      </c>
      <c r="B2554" s="138">
        <f>'Acct Summary 7-8'!C7</f>
        <v>2501913</v>
      </c>
      <c r="C2554" s="2" t="s">
        <v>594</v>
      </c>
      <c r="D2554" s="2" t="str">
        <f t="shared" si="38"/>
        <v>Error?</v>
      </c>
    </row>
    <row r="2555" spans="1:4" x14ac:dyDescent="0.2">
      <c r="A2555" s="5">
        <v>2494</v>
      </c>
      <c r="B2555" s="138">
        <f>'Acct Summary 7-8'!C8</f>
        <v>12039027</v>
      </c>
      <c r="C2555" s="2" t="s">
        <v>594</v>
      </c>
      <c r="D2555" s="2" t="str">
        <f t="shared" si="38"/>
        <v>Error?</v>
      </c>
    </row>
    <row r="2556" spans="1:4" x14ac:dyDescent="0.2">
      <c r="A2556" s="5">
        <v>2495</v>
      </c>
      <c r="B2556" s="138">
        <f>'Acct Summary 7-8'!C12</f>
        <v>6149191</v>
      </c>
      <c r="C2556" s="2" t="s">
        <v>594</v>
      </c>
      <c r="D2556" s="2" t="str">
        <f t="shared" si="38"/>
        <v>Error?</v>
      </c>
    </row>
    <row r="2557" spans="1:4" x14ac:dyDescent="0.2">
      <c r="A2557" s="5">
        <v>2496</v>
      </c>
      <c r="B2557" s="138">
        <f>'Acct Summary 7-8'!C13</f>
        <v>2469328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2120224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10738743</v>
      </c>
      <c r="C2561" s="2" t="s">
        <v>594</v>
      </c>
      <c r="D2561" s="2" t="str">
        <f t="shared" si="39"/>
        <v>Error?</v>
      </c>
    </row>
    <row r="2562" spans="1:4" x14ac:dyDescent="0.2">
      <c r="A2562" s="5">
        <v>2501</v>
      </c>
      <c r="B2562" s="138">
        <f>'Acct Summary 7-8'!C20</f>
        <v>1300284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50374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50374</v>
      </c>
      <c r="C2573" s="2" t="s">
        <v>594</v>
      </c>
      <c r="D2573" s="2" t="str">
        <f t="shared" si="39"/>
        <v>Error?</v>
      </c>
    </row>
    <row r="2574" spans="1:4" x14ac:dyDescent="0.2">
      <c r="A2574" s="5">
        <v>2513</v>
      </c>
      <c r="B2574" s="138">
        <f>'Acct Summary 7-8'!D20</f>
        <v>-50374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958384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1161840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958384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1161840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102471</v>
      </c>
      <c r="D3055" s="2" t="str">
        <f t="shared" si="46"/>
        <v>Error?</v>
      </c>
    </row>
    <row r="3056" spans="1:4" x14ac:dyDescent="0.2">
      <c r="A3056" s="5">
        <v>2995</v>
      </c>
      <c r="B3056" s="138">
        <f>'Expenditures 15-22'!D10</f>
        <v>29249</v>
      </c>
      <c r="D3056" s="2" t="str">
        <f t="shared" si="46"/>
        <v>Error?</v>
      </c>
    </row>
    <row r="3057" spans="1:4" x14ac:dyDescent="0.2">
      <c r="A3057" s="5">
        <v>2996</v>
      </c>
      <c r="B3057" s="138">
        <f>'Expenditures 15-22'!E10</f>
        <v>6252</v>
      </c>
      <c r="D3057" s="2" t="str">
        <f t="shared" si="46"/>
        <v>Error?</v>
      </c>
    </row>
    <row r="3058" spans="1:4" x14ac:dyDescent="0.2">
      <c r="A3058" s="5">
        <v>2997</v>
      </c>
      <c r="B3058" s="138">
        <f>'Expenditures 15-22'!F10</f>
        <v>2360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140332</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50374</v>
      </c>
      <c r="C3231" s="2" t="s">
        <v>594</v>
      </c>
      <c r="D3231" s="2" t="str">
        <f t="shared" si="49"/>
        <v>Error?</v>
      </c>
    </row>
    <row r="3232" spans="1:4" x14ac:dyDescent="0.2">
      <c r="A3232" s="5">
        <v>3171</v>
      </c>
      <c r="B3232" s="138">
        <f>'Acct Summary 7-8'!C77</f>
        <v>-50374</v>
      </c>
      <c r="C3232" s="2" t="s">
        <v>594</v>
      </c>
      <c r="D3232" s="2" t="str">
        <f t="shared" si="49"/>
        <v>Error?</v>
      </c>
    </row>
    <row r="3233" spans="1:4" x14ac:dyDescent="0.2">
      <c r="A3233" s="5">
        <v>3172</v>
      </c>
      <c r="B3233" s="138">
        <f>'Acct Summary 7-8'!C78</f>
        <v>1249910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50374</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50374</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4045401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1710791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133456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66237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27922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5983807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161840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2081631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408212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12447239</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408212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11146955</v>
      </c>
      <c r="C4136" s="2" t="s">
        <v>594</v>
      </c>
      <c r="D4136" s="2" t="str">
        <f t="shared" si="63"/>
        <v>Error?</v>
      </c>
    </row>
    <row r="4137" spans="1:4" x14ac:dyDescent="0.2">
      <c r="A4137" s="5">
        <v>4076</v>
      </c>
      <c r="B4137" s="138">
        <f>'Acct Summary 7-8'!D19</f>
        <v>50374</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2081631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1224</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56096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357644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50374</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50374</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7073441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7073441</v>
      </c>
      <c r="C5087" s="2" t="s">
        <v>594</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895596</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19885</v>
      </c>
      <c r="D5119" s="2" t="str">
        <f t="shared" ref="D5119:D5182" si="79">IF(ISBLANK(B5119),"OK",IF(A5119-B5119=0,"OK","Error?"))</f>
        <v>Error?</v>
      </c>
    </row>
    <row r="5120" spans="1:4" x14ac:dyDescent="0.2">
      <c r="A5120" s="5">
        <v>5059</v>
      </c>
      <c r="B5120" s="138">
        <f>'Revenues 9-14'!C108</f>
        <v>915481</v>
      </c>
      <c r="C5120" s="2" t="s">
        <v>594</v>
      </c>
      <c r="D5120" s="2" t="str">
        <f t="shared" si="79"/>
        <v>Error?</v>
      </c>
    </row>
    <row r="5121" spans="1:4" x14ac:dyDescent="0.2">
      <c r="A5121" s="5">
        <v>5060</v>
      </c>
      <c r="B5121" s="138">
        <f>'Revenues 9-14'!C109</f>
        <v>7988922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161840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161840</v>
      </c>
      <c r="C5125" s="2" t="s">
        <v>594</v>
      </c>
      <c r="D5125" s="2" t="str">
        <f t="shared" si="79"/>
        <v>Error?</v>
      </c>
    </row>
    <row r="5126" spans="1:4" x14ac:dyDescent="0.2">
      <c r="A5126" s="5">
        <v>5065</v>
      </c>
      <c r="B5126" s="138">
        <f>'Revenues 9-14'!C117</f>
        <v>905462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905462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467494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467494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13343</v>
      </c>
      <c r="D5177" s="2" t="str">
        <f t="shared" si="79"/>
        <v>Error?</v>
      </c>
    </row>
    <row r="5178" spans="1:4" x14ac:dyDescent="0.2">
      <c r="A5178" s="5">
        <v>5117</v>
      </c>
      <c r="B5178" s="138">
        <f>'Revenues 9-14'!C154</f>
        <v>13343</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480890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1386352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1224</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62786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2024163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2086949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2501913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2501913</v>
      </c>
      <c r="C5326" s="2" t="s">
        <v>594</v>
      </c>
      <c r="D5326" s="2" t="str">
        <f t="shared" si="82"/>
        <v>Error?</v>
      </c>
    </row>
    <row r="5327" spans="1:4" x14ac:dyDescent="0.2">
      <c r="A5327" s="5">
        <v>5266</v>
      </c>
      <c r="B5327" s="138">
        <f>'Revenues 9-14'!C275</f>
        <v>12039027</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1224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1249910</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0.60044743761022001</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10949</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10949</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88360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231716</v>
      </c>
      <c r="D7797" s="2" t="str">
        <f t="shared" si="127"/>
        <v>Error?</v>
      </c>
      <c r="E7797" s="4" t="s">
        <v>2016</v>
      </c>
    </row>
    <row r="7798" spans="1:5" x14ac:dyDescent="0.2">
      <c r="A7798">
        <v>7737</v>
      </c>
      <c r="B7798" s="138">
        <f>'Contracts Paid in CY 29'!F141</f>
        <v>125616</v>
      </c>
      <c r="D7798" s="2" t="str">
        <f t="shared" si="127"/>
        <v>Error?</v>
      </c>
      <c r="E7798" s="4" t="s">
        <v>2016</v>
      </c>
    </row>
    <row r="7799" spans="1:5" x14ac:dyDescent="0.2">
      <c r="A7799">
        <v>7738</v>
      </c>
      <c r="B7799" s="138">
        <f>'Contracts Paid in CY 29'!G141</f>
        <v>106100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Grundy Co SpEd Coop</v>
      </c>
      <c r="B7" s="2404"/>
      <c r="C7" s="2404"/>
      <c r="D7" s="2441"/>
      <c r="E7" s="2442">
        <f>COVER!A13</f>
        <v>24032101061</v>
      </c>
      <c r="F7" s="2443"/>
      <c r="G7" s="2410" t="str">
        <f>COVER!T23</f>
        <v>065-040266</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Mack &amp; Associates, P.C.</v>
      </c>
      <c r="H9" s="2417"/>
      <c r="I9" s="2417"/>
      <c r="J9" s="2417"/>
      <c r="K9" s="2417"/>
      <c r="L9" s="2418"/>
    </row>
    <row r="10" spans="1:29" ht="13.5" customHeight="1" x14ac:dyDescent="0.2">
      <c r="A10" s="2400" t="str">
        <f>COVER!A38</f>
        <v>Neil Sanburg</v>
      </c>
      <c r="B10" s="2401"/>
      <c r="C10" s="2401"/>
      <c r="D10" s="2401"/>
      <c r="E10" s="2401"/>
      <c r="F10" s="2402"/>
      <c r="G10" s="2416" t="str">
        <f>COVER!T17</f>
        <v>116 E. Washington St., Suite One</v>
      </c>
      <c r="H10" s="2429"/>
      <c r="I10" s="2429"/>
      <c r="J10" s="2429"/>
      <c r="K10" s="2429"/>
      <c r="L10" s="2430"/>
    </row>
    <row r="11" spans="1:29" ht="13.5" customHeight="1" x14ac:dyDescent="0.2">
      <c r="A11" s="1185" t="s">
        <v>1599</v>
      </c>
      <c r="B11" s="1186"/>
      <c r="C11" s="1187"/>
      <c r="D11" s="1192"/>
      <c r="E11" s="1187"/>
      <c r="F11" s="1191"/>
      <c r="G11" s="2416" t="str">
        <f>COVER!T19</f>
        <v>Morris</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lpope@mackcpas.com</v>
      </c>
      <c r="J13" s="2438"/>
      <c r="K13" s="2438"/>
      <c r="L13" s="2439"/>
    </row>
    <row r="14" spans="1:29" ht="13.5" customHeight="1" x14ac:dyDescent="0.2">
      <c r="A14" s="2416" t="str">
        <f>COVER!A19</f>
        <v>725 School Street</v>
      </c>
      <c r="B14" s="2429"/>
      <c r="C14" s="2429"/>
      <c r="D14" s="2429"/>
      <c r="E14" s="2429"/>
      <c r="F14" s="2430"/>
      <c r="G14" s="1196" t="s">
        <v>1247</v>
      </c>
      <c r="H14" s="1194"/>
      <c r="I14" s="1194"/>
      <c r="J14" s="1194"/>
      <c r="K14" s="1194"/>
      <c r="L14" s="1195"/>
    </row>
    <row r="15" spans="1:29" ht="13.5" customHeight="1" x14ac:dyDescent="0.2">
      <c r="A15" s="2416" t="str">
        <f>COVER!A21</f>
        <v>Morris</v>
      </c>
      <c r="B15" s="2429"/>
      <c r="C15" s="2429"/>
      <c r="D15" s="2429"/>
      <c r="E15" s="2429"/>
      <c r="F15" s="2430"/>
      <c r="G15" s="2426" t="str">
        <f>COVER!T15</f>
        <v>Lauri Pope, CPA</v>
      </c>
      <c r="H15" s="2427"/>
      <c r="I15" s="2427"/>
      <c r="J15" s="2427"/>
      <c r="K15" s="2427"/>
      <c r="L15" s="2428"/>
    </row>
    <row r="16" spans="1:29" ht="12.2" customHeight="1" x14ac:dyDescent="0.2">
      <c r="A16" s="2406">
        <f>COVER!A25</f>
        <v>60450</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815-942-3306</v>
      </c>
      <c r="H18" s="2404"/>
      <c r="I18" s="2404"/>
      <c r="J18" s="2404"/>
      <c r="K18" s="2403" t="str">
        <f>COVER!X21</f>
        <v>815-942-9430</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Grundy Co SpEd Coop</v>
      </c>
      <c r="B1" s="2440"/>
      <c r="C1" s="2440"/>
      <c r="D1" s="2440"/>
    </row>
    <row r="2" spans="1:11" s="1215" customFormat="1" ht="12.75" x14ac:dyDescent="0.2">
      <c r="A2" s="2445">
        <f>'Single Audit Cover'!E7</f>
        <v>24032101061</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Grundy Co SpEd Coop</v>
      </c>
      <c r="B1" s="2448"/>
      <c r="C1" s="2448"/>
      <c r="D1" s="2448"/>
      <c r="E1" s="2448"/>
    </row>
    <row r="2" spans="1:5" x14ac:dyDescent="0.2">
      <c r="A2" s="2449">
        <f>'Single Audit Cover'!E7</f>
        <v>24032101061</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2501913</v>
      </c>
    </row>
    <row r="11" spans="1:5" ht="18" customHeight="1" x14ac:dyDescent="0.2">
      <c r="A11" s="1261" t="s">
        <v>1302</v>
      </c>
      <c r="B11" s="1262"/>
      <c r="C11" s="1262"/>
    </row>
    <row r="12" spans="1:5" x14ac:dyDescent="0.2">
      <c r="A12" s="1261" t="s">
        <v>1301</v>
      </c>
      <c r="B12" s="1262" t="s">
        <v>1300</v>
      </c>
      <c r="C12" s="1262"/>
      <c r="D12" s="1264">
        <f>SUM('Revenues 9-14'!C112:D112,'Revenues 9-14'!F112:G112)</f>
        <v>161840</v>
      </c>
    </row>
    <row r="13" spans="1:5" x14ac:dyDescent="0.2">
      <c r="A13" s="1261" t="s">
        <v>1299</v>
      </c>
      <c r="B13" s="1262"/>
      <c r="C13" s="1262"/>
    </row>
    <row r="14" spans="1:5" x14ac:dyDescent="0.2">
      <c r="A14" s="1261" t="s">
        <v>1830</v>
      </c>
      <c r="B14" s="1262"/>
      <c r="C14" s="1262"/>
      <c r="D14" s="1264">
        <f>'ICR Computation 30'!E11</f>
        <v>1224</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-357644</v>
      </c>
    </row>
    <row r="19" spans="1:4" ht="13.5" thickBot="1" x14ac:dyDescent="0.25">
      <c r="A19" s="1265" t="s">
        <v>1297</v>
      </c>
      <c r="D19" s="1266">
        <f>SUM(D10:D17)</f>
        <v>2307333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t="s">
        <v>2129</v>
      </c>
      <c r="B24" s="2450"/>
      <c r="D24" s="1268">
        <v>-1224</v>
      </c>
    </row>
    <row r="25" spans="1:4" x14ac:dyDescent="0.2">
      <c r="A25" s="2447" t="s">
        <v>2130</v>
      </c>
      <c r="B25" s="2447"/>
      <c r="D25" s="1268">
        <v>-161840</v>
      </c>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2144269</v>
      </c>
    </row>
    <row r="33" spans="1:4" x14ac:dyDescent="0.2">
      <c r="D33" s="1269"/>
    </row>
    <row r="34" spans="1:4" x14ac:dyDescent="0.2">
      <c r="A34" s="317" t="s">
        <v>1294</v>
      </c>
    </row>
    <row r="35" spans="1:4" x14ac:dyDescent="0.2">
      <c r="A35" s="317" t="s">
        <v>1293</v>
      </c>
      <c r="B35" s="1258" t="s">
        <v>1292</v>
      </c>
      <c r="D35" s="1270">
        <f>' SEFA'!F25</f>
        <v>2144269</v>
      </c>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2144269</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4" zoomScale="120" zoomScaleNormal="120" workbookViewId="0">
      <selection activeCell="C24" sqref="C2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Grundy Co SpEd Coop</v>
      </c>
      <c r="B1" s="2453"/>
      <c r="C1" s="2453"/>
      <c r="D1" s="2453"/>
      <c r="E1" s="2453"/>
      <c r="F1" s="2453"/>
    </row>
    <row r="2" spans="1:7" ht="13.5" customHeight="1" x14ac:dyDescent="0.2">
      <c r="A2" s="2454">
        <f>'Single Audit Cover'!E7</f>
        <v>24032101061</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2095</v>
      </c>
      <c r="B7" s="2452"/>
      <c r="C7" s="2452"/>
      <c r="D7" s="2452"/>
      <c r="E7" s="2452"/>
      <c r="F7" s="2452"/>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2096</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t="s">
        <v>2097</v>
      </c>
      <c r="C17" s="1285">
        <v>84.027000000000001</v>
      </c>
      <c r="D17" s="2457">
        <v>194318</v>
      </c>
      <c r="E17" s="2457"/>
      <c r="F17" s="2457"/>
    </row>
    <row r="18" spans="1:6" ht="20.65" customHeight="1" x14ac:dyDescent="0.2">
      <c r="A18" s="1283"/>
      <c r="B18" s="1284" t="s">
        <v>2098</v>
      </c>
      <c r="C18" s="1285">
        <v>84.027000000000001</v>
      </c>
      <c r="D18" s="2457">
        <v>27738</v>
      </c>
      <c r="E18" s="2457"/>
      <c r="F18" s="2457"/>
    </row>
    <row r="19" spans="1:6" ht="20.65" customHeight="1" x14ac:dyDescent="0.2">
      <c r="A19" s="1283"/>
      <c r="B19" s="1284" t="s">
        <v>2099</v>
      </c>
      <c r="C19" s="1285">
        <v>84.027000000000001</v>
      </c>
      <c r="D19" s="2457">
        <v>5840</v>
      </c>
      <c r="E19" s="2457"/>
      <c r="F19" s="2457"/>
    </row>
    <row r="20" spans="1:6" ht="20.65" customHeight="1" x14ac:dyDescent="0.2">
      <c r="A20" s="1283"/>
      <c r="B20" s="1284" t="s">
        <v>2100</v>
      </c>
      <c r="C20" s="1285">
        <v>84.027000000000001</v>
      </c>
      <c r="D20" s="2457">
        <v>130765</v>
      </c>
      <c r="E20" s="2457"/>
      <c r="F20" s="2457"/>
    </row>
    <row r="21" spans="1:6" ht="20.65" customHeight="1" x14ac:dyDescent="0.2">
      <c r="A21" s="1283"/>
      <c r="B21" s="1284" t="s">
        <v>2101</v>
      </c>
      <c r="C21" s="1285">
        <v>84.027000000000001</v>
      </c>
      <c r="D21" s="2457">
        <v>56659</v>
      </c>
      <c r="E21" s="2457"/>
      <c r="F21" s="2457"/>
    </row>
    <row r="22" spans="1:6" ht="20.65" customHeight="1" x14ac:dyDescent="0.2">
      <c r="A22" s="1283"/>
      <c r="B22" s="1284" t="s">
        <v>2102</v>
      </c>
      <c r="C22" s="1285">
        <v>84.027000000000001</v>
      </c>
      <c r="D22" s="2457">
        <v>22592</v>
      </c>
      <c r="E22" s="2457"/>
      <c r="F22" s="2457"/>
    </row>
    <row r="23" spans="1:6" ht="20.65" customHeight="1" x14ac:dyDescent="0.2">
      <c r="A23" s="1283"/>
      <c r="B23" s="1284" t="s">
        <v>2103</v>
      </c>
      <c r="C23" s="1285">
        <v>84.027000000000001</v>
      </c>
      <c r="D23" s="2457">
        <v>19693</v>
      </c>
      <c r="E23" s="2457"/>
      <c r="F23" s="2457"/>
    </row>
    <row r="24" spans="1:6" ht="20.65" customHeight="1" x14ac:dyDescent="0.2">
      <c r="A24" s="1283"/>
      <c r="B24" s="1284" t="s">
        <v>2104</v>
      </c>
      <c r="C24" s="1285">
        <v>84.027000000000001</v>
      </c>
      <c r="D24" s="2457">
        <v>8400</v>
      </c>
      <c r="E24" s="2457"/>
      <c r="F24" s="2457"/>
    </row>
    <row r="25" spans="1:6" ht="20.65" customHeight="1" x14ac:dyDescent="0.2">
      <c r="A25" s="1283"/>
      <c r="B25" s="1284" t="s">
        <v>2105</v>
      </c>
      <c r="C25" s="1285">
        <v>84.027000000000001</v>
      </c>
      <c r="D25" s="2457">
        <v>18058</v>
      </c>
      <c r="E25" s="2457"/>
      <c r="F25" s="2457"/>
    </row>
    <row r="26" spans="1:6" ht="20.65" customHeight="1" x14ac:dyDescent="0.2">
      <c r="A26" s="1283"/>
      <c r="B26" s="1284" t="s">
        <v>2106</v>
      </c>
      <c r="C26" s="1285">
        <v>84.027000000000001</v>
      </c>
      <c r="D26" s="2457">
        <v>48445</v>
      </c>
      <c r="E26" s="2457"/>
      <c r="F26" s="2457"/>
    </row>
    <row r="27" spans="1:6" ht="20.65" customHeight="1" x14ac:dyDescent="0.2">
      <c r="A27" s="1283"/>
      <c r="B27" s="1284" t="s">
        <v>2107</v>
      </c>
      <c r="C27" s="1285">
        <v>84.027000000000001</v>
      </c>
      <c r="D27" s="2457">
        <v>122179</v>
      </c>
      <c r="E27" s="2457"/>
      <c r="F27" s="2457"/>
    </row>
    <row r="28" spans="1:6" ht="20.65" customHeight="1" x14ac:dyDescent="0.2">
      <c r="A28" s="1283"/>
      <c r="B28" s="1284" t="s">
        <v>2108</v>
      </c>
      <c r="C28" s="1285">
        <v>84.027000000000001</v>
      </c>
      <c r="D28" s="2457">
        <v>303697</v>
      </c>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2109</v>
      </c>
      <c r="B32" s="2461"/>
      <c r="C32" s="2461"/>
      <c r="D32" s="2461"/>
      <c r="E32" s="2461"/>
      <c r="F32" s="2461"/>
    </row>
    <row r="33" spans="1:6" ht="13.5" customHeight="1" x14ac:dyDescent="0.2">
      <c r="A33" s="328" t="s">
        <v>1509</v>
      </c>
      <c r="B33" s="328"/>
      <c r="C33" s="1288">
        <v>1224</v>
      </c>
      <c r="D33" s="1928"/>
      <c r="E33" s="1286"/>
    </row>
    <row r="34" spans="1:6" ht="13.5" customHeight="1" x14ac:dyDescent="0.2">
      <c r="A34" s="328" t="s">
        <v>1945</v>
      </c>
      <c r="B34" s="328"/>
      <c r="C34" s="1289">
        <v>0</v>
      </c>
      <c r="D34" s="1928" t="s">
        <v>1671</v>
      </c>
      <c r="E34" s="2462">
        <f>+C33+C34</f>
        <v>1224</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401</v>
      </c>
      <c r="D38" s="1928"/>
      <c r="E38" s="1286"/>
    </row>
    <row r="39" spans="1:6" ht="14.25" customHeight="1" x14ac:dyDescent="0.2">
      <c r="A39" s="328"/>
      <c r="B39" s="328" t="s">
        <v>1511</v>
      </c>
      <c r="C39" s="1292" t="s">
        <v>401</v>
      </c>
      <c r="D39" s="1928"/>
      <c r="E39" s="1286"/>
    </row>
    <row r="40" spans="1:6" ht="14.25" customHeight="1" x14ac:dyDescent="0.2">
      <c r="A40" s="328"/>
      <c r="B40" s="328" t="s">
        <v>1512</v>
      </c>
      <c r="C40" s="1292" t="s">
        <v>401</v>
      </c>
      <c r="D40" s="1928"/>
      <c r="E40" s="1286"/>
    </row>
    <row r="41" spans="1:6" ht="14.25" customHeight="1" x14ac:dyDescent="0.2">
      <c r="A41" s="328"/>
      <c r="B41" s="328" t="s">
        <v>1513</v>
      </c>
      <c r="C41" s="1292" t="s">
        <v>401</v>
      </c>
      <c r="D41" s="1928"/>
      <c r="E41" s="1286"/>
    </row>
    <row r="42" spans="1:6" ht="14.25" customHeight="1" x14ac:dyDescent="0.2">
      <c r="A42" s="328" t="s">
        <v>1514</v>
      </c>
      <c r="B42" s="328"/>
      <c r="C42" s="1926" t="s">
        <v>401</v>
      </c>
      <c r="D42" s="1928"/>
      <c r="E42" s="1286"/>
    </row>
    <row r="43" spans="1:6" ht="14.25" customHeight="1" x14ac:dyDescent="0.2">
      <c r="A43" s="328" t="s">
        <v>1515</v>
      </c>
      <c r="B43" s="328"/>
      <c r="C43" s="1293" t="s">
        <v>401</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M13" sqref="M1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Grundy Co SpEd Coop</v>
      </c>
      <c r="C1" s="2465"/>
      <c r="D1" s="2465"/>
      <c r="E1" s="2465"/>
      <c r="F1" s="2465"/>
      <c r="G1" s="2465"/>
      <c r="H1" s="2465"/>
      <c r="I1" s="2465"/>
      <c r="J1" s="2465"/>
      <c r="K1" s="2465"/>
      <c r="L1" s="2465"/>
      <c r="M1" s="2465"/>
    </row>
    <row r="2" spans="2:14" ht="15" x14ac:dyDescent="0.2">
      <c r="B2" s="2454">
        <f>'Single Audit Cover'!E7</f>
        <v>24032101061</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2110</v>
      </c>
      <c r="C11" s="1338"/>
      <c r="D11" s="1339"/>
      <c r="E11" s="1340"/>
      <c r="F11" s="1340"/>
      <c r="G11" s="1340"/>
      <c r="H11" s="1340"/>
      <c r="I11" s="1340"/>
      <c r="J11" s="1340"/>
      <c r="K11" s="1340"/>
      <c r="L11" s="1340">
        <f>+G11+I11+K11</f>
        <v>0</v>
      </c>
      <c r="M11" s="1340"/>
    </row>
    <row r="12" spans="2:14" ht="20.100000000000001" customHeight="1" x14ac:dyDescent="0.2">
      <c r="B12" s="1337" t="s">
        <v>2111</v>
      </c>
      <c r="C12" s="1341"/>
      <c r="D12" s="1342"/>
      <c r="E12" s="1343"/>
      <c r="F12" s="1343"/>
      <c r="G12" s="1343"/>
      <c r="H12" s="1343"/>
      <c r="I12" s="1343"/>
      <c r="J12" s="1343"/>
      <c r="K12" s="1343"/>
      <c r="L12" s="1340">
        <f t="shared" ref="L12:L27" si="0">+G12+I12+K12</f>
        <v>0</v>
      </c>
      <c r="M12" s="1343"/>
    </row>
    <row r="13" spans="2:14" ht="20.100000000000001" customHeight="1" x14ac:dyDescent="0.2">
      <c r="B13" s="1337" t="s">
        <v>2112</v>
      </c>
      <c r="C13" s="1341">
        <v>10.555</v>
      </c>
      <c r="D13" s="1342" t="s">
        <v>2113</v>
      </c>
      <c r="E13" s="1343"/>
      <c r="F13" s="1343">
        <v>1224</v>
      </c>
      <c r="G13" s="1343"/>
      <c r="H13" s="1343"/>
      <c r="I13" s="1343">
        <v>1224</v>
      </c>
      <c r="J13" s="1343"/>
      <c r="K13" s="1343"/>
      <c r="L13" s="1340">
        <f t="shared" si="0"/>
        <v>1224</v>
      </c>
      <c r="M13" s="1343"/>
    </row>
    <row r="14" spans="2:14" ht="20.100000000000001" customHeight="1" x14ac:dyDescent="0.2">
      <c r="B14" s="1337" t="s">
        <v>2114</v>
      </c>
      <c r="C14" s="1341"/>
      <c r="D14" s="1342"/>
      <c r="E14" s="1343"/>
      <c r="F14" s="1343"/>
      <c r="G14" s="1343"/>
      <c r="H14" s="1343"/>
      <c r="I14" s="1343"/>
      <c r="J14" s="1343"/>
      <c r="K14" s="1343"/>
      <c r="L14" s="1340">
        <f t="shared" si="0"/>
        <v>0</v>
      </c>
      <c r="M14" s="1343"/>
    </row>
    <row r="15" spans="2:14" ht="20.100000000000001" customHeight="1" x14ac:dyDescent="0.2">
      <c r="B15" s="1337" t="s">
        <v>2111</v>
      </c>
      <c r="C15" s="1341"/>
      <c r="D15" s="1342"/>
      <c r="E15" s="1343"/>
      <c r="F15" s="1343"/>
      <c r="G15" s="1343"/>
      <c r="H15" s="1343"/>
      <c r="I15" s="1343"/>
      <c r="J15" s="1343"/>
      <c r="K15" s="1343"/>
      <c r="L15" s="1340">
        <f t="shared" si="0"/>
        <v>0</v>
      </c>
      <c r="M15" s="1343"/>
    </row>
    <row r="16" spans="2:14" ht="20.100000000000001" customHeight="1" x14ac:dyDescent="0.2">
      <c r="B16" s="1337" t="s">
        <v>2116</v>
      </c>
      <c r="C16" s="1341">
        <v>84.173000000000002</v>
      </c>
      <c r="D16" s="1342" t="s">
        <v>2125</v>
      </c>
      <c r="E16" s="1343"/>
      <c r="F16" s="1343">
        <v>49206</v>
      </c>
      <c r="G16" s="1343"/>
      <c r="H16" s="1343"/>
      <c r="I16" s="1343">
        <v>69788</v>
      </c>
      <c r="J16" s="1343"/>
      <c r="K16" s="1343"/>
      <c r="L16" s="1340">
        <f t="shared" si="0"/>
        <v>69788</v>
      </c>
      <c r="M16" s="1343">
        <v>90160</v>
      </c>
    </row>
    <row r="17" spans="2:14" ht="20.100000000000001" customHeight="1" x14ac:dyDescent="0.2">
      <c r="B17" s="1337" t="s">
        <v>2117</v>
      </c>
      <c r="C17" s="1341">
        <v>84.173000000000002</v>
      </c>
      <c r="D17" s="1342" t="s">
        <v>2126</v>
      </c>
      <c r="E17" s="1343">
        <v>36608</v>
      </c>
      <c r="F17" s="1343">
        <v>13580</v>
      </c>
      <c r="G17" s="1343">
        <v>50188</v>
      </c>
      <c r="H17" s="1343"/>
      <c r="I17" s="1343"/>
      <c r="J17" s="1343"/>
      <c r="K17" s="1343"/>
      <c r="L17" s="1340">
        <f t="shared" si="0"/>
        <v>50188</v>
      </c>
      <c r="M17" s="1343">
        <v>76785</v>
      </c>
    </row>
    <row r="18" spans="2:14" ht="20.100000000000001" customHeight="1" x14ac:dyDescent="0.2">
      <c r="B18" s="1337" t="s">
        <v>2115</v>
      </c>
      <c r="C18" s="1341">
        <v>84.027000000000001</v>
      </c>
      <c r="D18" s="1342" t="s">
        <v>2127</v>
      </c>
      <c r="E18" s="1343"/>
      <c r="F18" s="1343">
        <v>1316136</v>
      </c>
      <c r="G18" s="1343"/>
      <c r="H18" s="1343"/>
      <c r="I18" s="1343">
        <v>2156528</v>
      </c>
      <c r="J18" s="1343">
        <v>958384</v>
      </c>
      <c r="K18" s="1343"/>
      <c r="L18" s="1340">
        <f t="shared" si="0"/>
        <v>2156528</v>
      </c>
      <c r="M18" s="1343">
        <v>2626094</v>
      </c>
    </row>
    <row r="19" spans="2:14" ht="20.100000000000001" customHeight="1" x14ac:dyDescent="0.2">
      <c r="B19" s="1337" t="s">
        <v>2118</v>
      </c>
      <c r="C19" s="1341">
        <v>84.027000000000001</v>
      </c>
      <c r="D19" s="1342" t="s">
        <v>2128</v>
      </c>
      <c r="E19" s="1343">
        <v>1433079</v>
      </c>
      <c r="F19" s="1343">
        <f>2141106-1433079</f>
        <v>708027</v>
      </c>
      <c r="G19" s="1343">
        <v>2141106</v>
      </c>
      <c r="H19" s="1343">
        <v>1013780</v>
      </c>
      <c r="I19" s="1343"/>
      <c r="J19" s="1343"/>
      <c r="K19" s="1343"/>
      <c r="L19" s="1340">
        <f t="shared" si="0"/>
        <v>2141106</v>
      </c>
      <c r="M19" s="1343">
        <v>2439747</v>
      </c>
    </row>
    <row r="20" spans="2:14" ht="20.100000000000001" customHeight="1" x14ac:dyDescent="0.2">
      <c r="B20" s="1337" t="s">
        <v>2119</v>
      </c>
      <c r="C20" s="1341"/>
      <c r="D20" s="1342"/>
      <c r="E20" s="1343"/>
      <c r="F20" s="1343"/>
      <c r="G20" s="1343"/>
      <c r="H20" s="1343"/>
      <c r="I20" s="1343"/>
      <c r="J20" s="1343"/>
      <c r="K20" s="1343"/>
      <c r="L20" s="1340">
        <f t="shared" si="0"/>
        <v>0</v>
      </c>
      <c r="M20" s="1343"/>
    </row>
    <row r="21" spans="2:14" ht="20.100000000000001" customHeight="1" x14ac:dyDescent="0.2">
      <c r="B21" s="1337" t="s">
        <v>2120</v>
      </c>
      <c r="C21" s="1341"/>
      <c r="D21" s="1342"/>
      <c r="E21" s="1343"/>
      <c r="F21" s="1343"/>
      <c r="G21" s="1343"/>
      <c r="H21" s="1343"/>
      <c r="I21" s="1343"/>
      <c r="J21" s="1343"/>
      <c r="K21" s="1343"/>
      <c r="L21" s="1340">
        <f t="shared" si="0"/>
        <v>0</v>
      </c>
      <c r="M21" s="1343"/>
    </row>
    <row r="22" spans="2:14" ht="20.100000000000001" customHeight="1" x14ac:dyDescent="0.2">
      <c r="B22" s="1337" t="s">
        <v>2121</v>
      </c>
      <c r="C22" s="1341">
        <v>93.778000000000006</v>
      </c>
      <c r="D22" s="1342" t="s">
        <v>2123</v>
      </c>
      <c r="E22" s="1343"/>
      <c r="F22" s="1343">
        <v>40091</v>
      </c>
      <c r="G22" s="1343"/>
      <c r="H22" s="1343"/>
      <c r="I22" s="1343">
        <v>57620</v>
      </c>
      <c r="J22" s="1343"/>
      <c r="K22" s="1343"/>
      <c r="L22" s="1340">
        <f t="shared" si="0"/>
        <v>57620</v>
      </c>
      <c r="M22" s="1343">
        <v>10000</v>
      </c>
    </row>
    <row r="23" spans="2:14" ht="20.100000000000001" customHeight="1" x14ac:dyDescent="0.2">
      <c r="B23" s="1337" t="s">
        <v>2122</v>
      </c>
      <c r="C23" s="1341">
        <v>93.778000000000006</v>
      </c>
      <c r="D23" s="1342" t="s">
        <v>2124</v>
      </c>
      <c r="E23" s="1343">
        <f>35704-640</f>
        <v>35064</v>
      </c>
      <c r="F23" s="1343">
        <v>16005</v>
      </c>
      <c r="G23" s="1343">
        <v>51069</v>
      </c>
      <c r="H23" s="1343"/>
      <c r="I23" s="1343"/>
      <c r="J23" s="1343"/>
      <c r="K23" s="1343"/>
      <c r="L23" s="1340">
        <f t="shared" si="0"/>
        <v>51069</v>
      </c>
      <c r="M23" s="1343">
        <v>50000</v>
      </c>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t="s">
        <v>1223</v>
      </c>
      <c r="C25" s="1341"/>
      <c r="D25" s="1342"/>
      <c r="E25" s="1343">
        <f t="shared" ref="E25:K25" si="1">E13+E16+E17+E18+E19+E22+E23</f>
        <v>1504751</v>
      </c>
      <c r="F25" s="1343">
        <f t="shared" si="1"/>
        <v>2144269</v>
      </c>
      <c r="G25" s="1343">
        <f t="shared" si="1"/>
        <v>2242363</v>
      </c>
      <c r="H25" s="1343">
        <f t="shared" si="1"/>
        <v>1013780</v>
      </c>
      <c r="I25" s="1343">
        <f t="shared" si="1"/>
        <v>2285160</v>
      </c>
      <c r="J25" s="1343">
        <f t="shared" si="1"/>
        <v>958384</v>
      </c>
      <c r="K25" s="1343">
        <f t="shared" si="1"/>
        <v>0</v>
      </c>
      <c r="L25" s="1340">
        <f t="shared" si="0"/>
        <v>4527523</v>
      </c>
      <c r="M25" s="1343">
        <f>M13+M16+M17+M18+M19+M22+M23</f>
        <v>5292786</v>
      </c>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Grundy Co SpEd Coop</v>
      </c>
      <c r="C1" s="2473"/>
      <c r="D1" s="2473"/>
      <c r="E1" s="2473"/>
      <c r="F1" s="2473"/>
      <c r="G1" s="2473"/>
      <c r="H1" s="2473"/>
      <c r="I1" s="2473"/>
      <c r="J1" s="1422"/>
    </row>
    <row r="2" spans="2:10" s="317" customFormat="1" ht="12.75" customHeight="1" x14ac:dyDescent="0.2">
      <c r="B2" s="2474">
        <f>'Single Audit Cover'!E7</f>
        <v>24032101061</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t="s">
        <v>2131</v>
      </c>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t="s">
        <v>2074</v>
      </c>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t="s">
        <v>2074</v>
      </c>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2074</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t="s">
        <v>2131</v>
      </c>
      <c r="E29" s="2479"/>
      <c r="F29" s="2479"/>
      <c r="G29" s="2479"/>
      <c r="H29" s="2479"/>
      <c r="I29" s="2479"/>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2074</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80" t="s">
        <v>1851</v>
      </c>
      <c r="D37" s="2481"/>
      <c r="E37" s="2481"/>
      <c r="F37" s="2482"/>
      <c r="G37" s="2480" t="s">
        <v>1674</v>
      </c>
      <c r="H37" s="2481"/>
      <c r="I37" s="2482"/>
    </row>
    <row r="38" spans="2:9" ht="16.5" customHeight="1" x14ac:dyDescent="0.2">
      <c r="B38" s="1444">
        <v>84.027000000000001</v>
      </c>
      <c r="C38" s="2468" t="s">
        <v>2133</v>
      </c>
      <c r="D38" s="2469"/>
      <c r="E38" s="2469"/>
      <c r="F38" s="2470"/>
      <c r="G38" s="2483">
        <v>2156528</v>
      </c>
      <c r="H38" s="2484"/>
      <c r="I38" s="2485"/>
    </row>
    <row r="39" spans="2:9" ht="16.5" customHeight="1" x14ac:dyDescent="0.2">
      <c r="B39" s="1444">
        <v>84.173000000000002</v>
      </c>
      <c r="C39" s="2468" t="s">
        <v>2132</v>
      </c>
      <c r="D39" s="2469"/>
      <c r="E39" s="2469"/>
      <c r="F39" s="2470"/>
      <c r="G39" s="2471">
        <v>69788</v>
      </c>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2226316</v>
      </c>
      <c r="H43" s="2489"/>
      <c r="I43" s="2489"/>
    </row>
    <row r="44" spans="2:9" ht="12.75" customHeight="1" x14ac:dyDescent="0.2"/>
    <row r="45" spans="2:9" ht="12.75" customHeight="1" x14ac:dyDescent="0.2">
      <c r="B45" s="1435" t="s">
        <v>1948</v>
      </c>
      <c r="D45" s="2490">
        <v>2285160</v>
      </c>
      <c r="E45" s="2491"/>
    </row>
    <row r="46" spans="2:9" ht="5.25" customHeight="1" x14ac:dyDescent="0.2">
      <c r="B46" s="1445"/>
      <c r="D46" s="1446"/>
      <c r="E46" s="1447"/>
    </row>
    <row r="47" spans="2:9" ht="12.75" customHeight="1" x14ac:dyDescent="0.2">
      <c r="B47" s="1300" t="s">
        <v>1676</v>
      </c>
      <c r="C47" s="1300"/>
      <c r="D47" s="1448">
        <f>+G43/D45</f>
        <v>0.97424950550508493</v>
      </c>
      <c r="E47" s="1449"/>
      <c r="F47" s="1450"/>
      <c r="I47" s="1451"/>
    </row>
    <row r="48" spans="2:9" ht="9.9499999999999993" customHeight="1" x14ac:dyDescent="0.2"/>
    <row r="49" spans="1:9" x14ac:dyDescent="0.2">
      <c r="B49" s="1368" t="s">
        <v>1335</v>
      </c>
      <c r="C49" s="1282"/>
      <c r="D49" s="1282"/>
      <c r="E49" s="2492">
        <v>750000</v>
      </c>
      <c r="F49" s="2492"/>
      <c r="G49" s="2492"/>
      <c r="H49" s="322"/>
    </row>
    <row r="51" spans="1:9" ht="13.5" customHeight="1" x14ac:dyDescent="0.2">
      <c r="B51" s="1368" t="s">
        <v>1334</v>
      </c>
      <c r="C51" s="1282"/>
      <c r="E51" s="1438"/>
      <c r="F51" s="1300" t="s">
        <v>940</v>
      </c>
      <c r="G51" s="1438" t="s">
        <v>2074</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6"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Grundy Co SpEd Coop</v>
      </c>
      <c r="C1" s="2472"/>
      <c r="D1" s="2472"/>
      <c r="E1" s="2472"/>
      <c r="F1" s="2472"/>
      <c r="G1" s="2472"/>
      <c r="H1" s="2472"/>
      <c r="I1" s="2472"/>
      <c r="J1" s="2472"/>
      <c r="K1" s="2472"/>
      <c r="L1" s="1374"/>
      <c r="M1" s="1374"/>
    </row>
    <row r="2" spans="1:13" ht="12" customHeight="1" x14ac:dyDescent="0.2">
      <c r="B2" s="2474">
        <f>'Single Audit Cover'!E7</f>
        <v>24032101061</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v>1</v>
      </c>
      <c r="E10" s="322"/>
      <c r="F10" s="1387" t="s">
        <v>1362</v>
      </c>
      <c r="G10" s="1388" t="s">
        <v>2074</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t="s">
        <v>2134</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t="s">
        <v>2135</v>
      </c>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8" t="s">
        <v>2138</v>
      </c>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t="s">
        <v>2139</v>
      </c>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t="s">
        <v>2136</v>
      </c>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t="s">
        <v>2137</v>
      </c>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3" t="s">
        <v>2140</v>
      </c>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Grundy Co SpEd Coop</v>
      </c>
      <c r="C1" s="2472"/>
      <c r="D1" s="2472"/>
      <c r="E1" s="2472"/>
      <c r="F1" s="2472"/>
      <c r="G1" s="2472"/>
      <c r="H1" s="2472"/>
      <c r="I1" s="2472"/>
      <c r="J1" s="2472"/>
      <c r="K1" s="2472"/>
      <c r="L1" s="1374"/>
      <c r="M1" s="1374"/>
    </row>
    <row r="2" spans="1:13" ht="12" customHeight="1" x14ac:dyDescent="0.2">
      <c r="B2" s="2474">
        <f>'Single Audit Cover'!E7</f>
        <v>24032101061</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956"/>
      <c r="M3" s="1956"/>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v>2</v>
      </c>
      <c r="E10" s="322"/>
      <c r="F10" s="1387" t="s">
        <v>1362</v>
      </c>
      <c r="G10" s="1388" t="s">
        <v>2074</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t="s">
        <v>2145</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t="s">
        <v>2146</v>
      </c>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8" t="s">
        <v>2145</v>
      </c>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t="s">
        <v>2144</v>
      </c>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t="s">
        <v>2143</v>
      </c>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t="s">
        <v>2142</v>
      </c>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3" t="s">
        <v>2141</v>
      </c>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16" sqref="D16:K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Grundy Co SpEd Coop</v>
      </c>
      <c r="C1" s="2499"/>
      <c r="D1" s="2499"/>
      <c r="E1" s="2499"/>
      <c r="F1" s="2499"/>
      <c r="G1" s="2499"/>
      <c r="H1" s="2499"/>
      <c r="I1" s="2499"/>
      <c r="J1" s="2499"/>
      <c r="K1" s="2499"/>
      <c r="L1" s="1465"/>
    </row>
    <row r="2" spans="1:12" ht="12.75" customHeight="1" x14ac:dyDescent="0.2">
      <c r="B2" s="2500">
        <f>'Single Audit Cover'!E7</f>
        <v>24032101061</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t="s">
        <v>2147</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Grundy Co SpEd Coop</v>
      </c>
      <c r="C1" s="2472"/>
      <c r="D1" s="2472"/>
      <c r="E1" s="1491"/>
    </row>
    <row r="2" spans="2:5" s="1282" customFormat="1" ht="12.75" customHeight="1" x14ac:dyDescent="0.2">
      <c r="B2" s="2474">
        <f>'Single Audit Cover'!E7</f>
        <v>24032101061</v>
      </c>
      <c r="C2" s="2474"/>
      <c r="D2" s="2474"/>
      <c r="E2" s="1492"/>
    </row>
    <row r="3" spans="2:5" ht="12.75" customHeight="1" x14ac:dyDescent="0.2">
      <c r="B3" s="2495" t="s">
        <v>1866</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t="s">
        <v>2148</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6ce3111e-7420-4802-b50a-75d4e9a0b980"/>
    <ds:schemaRef ds:uri="http://purl.org/dc/elements/1.1/"/>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4d435f69-8686-490b-bd6d-b153bf22ab50"/>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2018-09-06T13:15:19Z</cp:lastPrinted>
  <dcterms:created xsi:type="dcterms:W3CDTF">2003-10-29T19:06:34Z</dcterms:created>
  <dcterms:modified xsi:type="dcterms:W3CDTF">2018-12-26T21:52:38Z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