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1" sheetId="185" r:id="rId33"/>
    <sheet name="SF&amp;QC Sec-2-2" sheetId="175" r:id="rId34"/>
    <sheet name="SF&amp;QC Sec-3" sheetId="176" r:id="rId35"/>
    <sheet name="SSPAF" sheetId="177" r:id="rId36"/>
  </sheets>
  <definedNames>
    <definedName name="_xlnm.Print_Area" localSheetId="28">' SEFA'!$B$1:$M$48</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calcOnSave="0"/>
</workbook>
</file>

<file path=xl/calcChain.xml><?xml version="1.0" encoding="utf-8"?>
<calcChain xmlns="http://schemas.openxmlformats.org/spreadsheetml/2006/main">
  <c r="B4" i="185" l="1"/>
  <c r="I21" i="179" l="1"/>
  <c r="M17" i="184"/>
  <c r="K17" i="184"/>
  <c r="I17" i="184"/>
  <c r="G17" i="184"/>
  <c r="F17" i="184"/>
  <c r="E17" i="184"/>
  <c r="C16" i="169"/>
  <c r="L17" i="179"/>
  <c r="F21" i="179"/>
  <c r="L15" i="184" l="1"/>
  <c r="L14" i="184"/>
  <c r="L13" i="184"/>
  <c r="L12" i="184"/>
  <c r="L11" i="184"/>
  <c r="B4" i="184"/>
  <c r="M21" i="179"/>
  <c r="K21" i="179"/>
  <c r="G21" i="179"/>
  <c r="E21" i="179"/>
  <c r="L17" i="184" l="1"/>
  <c r="L21" i="183" l="1"/>
  <c r="L19" i="183"/>
  <c r="L18" i="183"/>
  <c r="L14" i="183"/>
  <c r="L13" i="183"/>
  <c r="B4" i="183"/>
  <c r="D27" i="8" l="1"/>
  <c r="E27" i="8"/>
  <c r="C27" i="8"/>
  <c r="C158" i="5"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1" i="179"/>
  <c r="L16" i="179"/>
  <c r="L14" i="179"/>
  <c r="L13" i="179"/>
  <c r="D14" i="171" l="1"/>
  <c r="D12" i="171"/>
  <c r="A10"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4"/>
  <c r="B1" i="183"/>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J23" i="12" s="1"/>
  <c r="B7729" i="106"/>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7761" i="106"/>
  <c r="L127" i="29"/>
  <c r="L129" i="29" s="1"/>
  <c r="L139" i="29"/>
  <c r="L149" i="29"/>
  <c r="I7" i="145"/>
  <c r="I6" i="145"/>
  <c r="D82" i="36"/>
  <c r="D78" i="36"/>
  <c r="K75" i="29"/>
  <c r="K130" i="29"/>
  <c r="K185" i="29"/>
  <c r="F14" i="4" s="1"/>
  <c r="B2597" i="106" s="1"/>
  <c r="D2597" i="106" s="1"/>
  <c r="K122" i="29"/>
  <c r="F15" i="145" s="1"/>
  <c r="F19" i="145"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D24" i="37"/>
  <c r="B4270" i="106" s="1"/>
  <c r="D4270" i="106" s="1"/>
  <c r="D4" i="7"/>
  <c r="B1760" i="106" s="1"/>
  <c r="D1760" i="106" s="1"/>
  <c r="D12" i="7"/>
  <c r="B1769" i="106" s="1"/>
  <c r="D1769" i="106" s="1"/>
  <c r="F44" i="34" l="1"/>
  <c r="B1274" i="106"/>
  <c r="D1274" i="106" s="1"/>
  <c r="J22" i="37"/>
  <c r="F42" i="34"/>
  <c r="F50" i="34"/>
  <c r="F46" i="34"/>
  <c r="H28" i="118"/>
  <c r="K28" i="118" s="1"/>
  <c r="O27" i="118" s="1"/>
  <c r="O29" i="118" s="1"/>
  <c r="L22" i="37"/>
  <c r="N22" i="3"/>
  <c r="B283" i="106" s="1"/>
  <c r="D283" i="106" s="1"/>
  <c r="D6103" i="106"/>
  <c r="B3647" i="106"/>
  <c r="D3647" i="106" s="1"/>
  <c r="D5" i="7"/>
  <c r="B1761" i="106" s="1"/>
  <c r="D1761" i="106" s="1"/>
  <c r="D7245" i="106"/>
  <c r="I210" i="29"/>
  <c r="H112" i="29"/>
  <c r="B7018" i="106" s="1"/>
  <c r="D7018" i="106" s="1"/>
  <c r="B1746" i="106"/>
  <c r="D1746" i="106" s="1"/>
  <c r="J41" i="3"/>
  <c r="B6216" i="106" s="1"/>
  <c r="D6216" i="106" s="1"/>
  <c r="G15" i="145"/>
  <c r="F28" i="108"/>
  <c r="F41" i="108" s="1"/>
  <c r="G43" i="108" s="1"/>
  <c r="E28" i="108"/>
  <c r="F34" i="34"/>
  <c r="L312" i="29"/>
  <c r="L5" i="11"/>
  <c r="B2056" i="106" s="1"/>
  <c r="D2056" i="106" s="1"/>
  <c r="F21" i="8"/>
  <c r="F19" i="7"/>
  <c r="B1807" i="106" s="1"/>
  <c r="D1807" i="106" s="1"/>
  <c r="B7235" i="106"/>
  <c r="D7235" i="106" s="1"/>
  <c r="B1223" i="106"/>
  <c r="D1223" i="106" s="1"/>
  <c r="B1329" i="106"/>
  <c r="D1329" i="106" s="1"/>
  <c r="F61" i="34"/>
  <c r="C342" i="29"/>
  <c r="B7216" i="106" s="1"/>
  <c r="D7216" i="106" s="1"/>
  <c r="B7231" i="106"/>
  <c r="D7231" i="106" s="1"/>
  <c r="D15" i="7"/>
  <c r="B1772" i="106" s="1"/>
  <c r="D1772" i="106" s="1"/>
  <c r="D11" i="7"/>
  <c r="B1768" i="106" s="1"/>
  <c r="D1768" i="106" s="1"/>
  <c r="D7" i="7"/>
  <c r="B1763" i="106" s="1"/>
  <c r="D1763" i="106" s="1"/>
  <c r="F172" i="5"/>
  <c r="B5644" i="106" s="1"/>
  <c r="D5644" i="106" s="1"/>
  <c r="B5096" i="106"/>
  <c r="D5096" i="106" s="1"/>
  <c r="I342" i="29"/>
  <c r="B7222" i="106" s="1"/>
  <c r="D7222" i="106" s="1"/>
  <c r="I129" i="29"/>
  <c r="B7037" i="106" s="1"/>
  <c r="D7037" i="106" s="1"/>
  <c r="H342" i="29"/>
  <c r="K184" i="29"/>
  <c r="F13" i="4" s="1"/>
  <c r="B2596" i="106" s="1"/>
  <c r="D2596" i="106" s="1"/>
  <c r="J210" i="29"/>
  <c r="B7072" i="106" s="1"/>
  <c r="D7072" i="106" s="1"/>
  <c r="F77" i="4"/>
  <c r="B3255" i="106" s="1"/>
  <c r="D3255" i="106" s="1"/>
  <c r="D54" i="36"/>
  <c r="L13" i="11"/>
  <c r="B2060" i="106" s="1"/>
  <c r="D2060" i="106" s="1"/>
  <c r="I24" i="12"/>
  <c r="L367" i="29"/>
  <c r="E174" i="29"/>
  <c r="B1309" i="106" s="1"/>
  <c r="D1309" i="106" s="1"/>
  <c r="K285" i="29"/>
  <c r="B3724" i="106" s="1"/>
  <c r="D3724" i="106" s="1"/>
  <c r="L342" i="29"/>
  <c r="H76" i="4"/>
  <c r="B3298" i="106" s="1"/>
  <c r="D3298" i="106" s="1"/>
  <c r="D5" i="4"/>
  <c r="B3406" i="106" s="1"/>
  <c r="D3406" i="106" s="1"/>
  <c r="E109" i="5"/>
  <c r="E4" i="4" s="1"/>
  <c r="B2630" i="106" s="1"/>
  <c r="D2630" i="106" s="1"/>
  <c r="G172" i="5"/>
  <c r="G173" i="5" s="1"/>
  <c r="B3619" i="106"/>
  <c r="D3619" i="106" s="1"/>
  <c r="F127" i="34"/>
  <c r="F131" i="34"/>
  <c r="B4373" i="106"/>
  <c r="D4373" i="106" s="1"/>
  <c r="F106" i="34"/>
  <c r="H173" i="5"/>
  <c r="C109" i="5"/>
  <c r="B5121" i="106" s="1"/>
  <c r="D5121" i="106" s="1"/>
  <c r="F111" i="34"/>
  <c r="C172" i="5"/>
  <c r="B5214" i="106" s="1"/>
  <c r="D5214" i="106" s="1"/>
  <c r="K274" i="5"/>
  <c r="B6022" i="106" s="1"/>
  <c r="D6022" i="106" s="1"/>
  <c r="B5752" i="106"/>
  <c r="D5752" i="106" s="1"/>
  <c r="F136" i="34"/>
  <c r="B3254" i="106"/>
  <c r="D3254" i="106" s="1"/>
  <c r="B3621" i="106"/>
  <c r="D3621" i="106" s="1"/>
  <c r="C367" i="29"/>
  <c r="B3622" i="106" s="1"/>
  <c r="D3622" i="106" s="1"/>
  <c r="H365" i="29"/>
  <c r="B7242" i="106" s="1"/>
  <c r="D7242" i="106" s="1"/>
  <c r="G210" i="29"/>
  <c r="J129" i="29"/>
  <c r="B7038" i="106" s="1"/>
  <c r="D7038" i="106" s="1"/>
  <c r="B3649" i="106"/>
  <c r="D3649" i="106" s="1"/>
  <c r="G367" i="29"/>
  <c r="B3650" i="106" s="1"/>
  <c r="D3650" i="106" s="1"/>
  <c r="B1410" i="106"/>
  <c r="D1410" i="106" s="1"/>
  <c r="K350" i="29"/>
  <c r="D17" i="7"/>
  <c r="B4104" i="106" s="1"/>
  <c r="D4104" i="106" s="1"/>
  <c r="H109" i="5"/>
  <c r="D13" i="7"/>
  <c r="B3726" i="106" s="1"/>
  <c r="D3726" i="106" s="1"/>
  <c r="J274" i="5"/>
  <c r="B7054" i="106" s="1"/>
  <c r="D7054" i="106" s="1"/>
  <c r="I173" i="5"/>
  <c r="B4216" i="106" s="1"/>
  <c r="D4216" i="106" s="1"/>
  <c r="F130" i="34"/>
  <c r="G109" i="5"/>
  <c r="B5066" i="106"/>
  <c r="D5066" i="106" s="1"/>
  <c r="G5" i="4"/>
  <c r="B3409" i="106" s="1"/>
  <c r="D3409" i="106" s="1"/>
  <c r="F128" i="34"/>
  <c r="D109" i="5"/>
  <c r="D9" i="7"/>
  <c r="B1767" i="106" s="1"/>
  <c r="D1767" i="106" s="1"/>
  <c r="K173" i="5"/>
  <c r="K6" i="4" s="1"/>
  <c r="B3570" i="106" s="1"/>
  <c r="D3570" i="106" s="1"/>
  <c r="J77" i="4"/>
  <c r="B6262" i="106" s="1"/>
  <c r="D6262" i="106" s="1"/>
  <c r="K76" i="4"/>
  <c r="B3586" i="106" s="1"/>
  <c r="D3586" i="106" s="1"/>
  <c r="K41" i="3"/>
  <c r="B4268" i="106"/>
  <c r="D4268" i="106" s="1"/>
  <c r="D31" i="36"/>
  <c r="D11" i="37"/>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7270" i="106"/>
  <c r="D7250" i="106" l="1"/>
  <c r="N23" i="3"/>
  <c r="B284" i="106" s="1"/>
  <c r="D284" i="106" s="1"/>
  <c r="J151" i="29"/>
  <c r="B7052" i="106" s="1"/>
  <c r="D7052" i="106" s="1"/>
  <c r="B1266" i="106"/>
  <c r="D1266" i="106" s="1"/>
  <c r="B5770" i="106"/>
  <c r="D5770" i="106" s="1"/>
  <c r="D7254" i="106"/>
  <c r="D7255" i="106"/>
  <c r="D7253" i="106"/>
  <c r="B7071" i="106"/>
  <c r="D7071" i="106" s="1"/>
  <c r="F66" i="34"/>
  <c r="B6014" i="106"/>
  <c r="D6014" i="106" s="1"/>
  <c r="D7256" i="106"/>
  <c r="D7251" i="106"/>
  <c r="B5778" i="106"/>
  <c r="D5778" i="106" s="1"/>
  <c r="G6" i="4"/>
  <c r="B2604" i="106" s="1"/>
  <c r="D2604" i="106" s="1"/>
  <c r="D51" i="36"/>
  <c r="K7" i="4"/>
  <c r="B3718" i="106" s="1"/>
  <c r="D3718" i="106" s="1"/>
  <c r="H275" i="5"/>
  <c r="B5915" i="106" s="1"/>
  <c r="D5915" i="106" s="1"/>
  <c r="L16" i="11"/>
  <c r="B2061" i="106" s="1"/>
  <c r="D2061" i="106" s="1"/>
  <c r="B1381" i="106"/>
  <c r="D1381" i="106" s="1"/>
  <c r="F173" i="5"/>
  <c r="B1879" i="106"/>
  <c r="D1879" i="106" s="1"/>
  <c r="H22" i="37"/>
  <c r="F73" i="34"/>
  <c r="G15" i="4"/>
  <c r="B6032" i="106" s="1"/>
  <c r="D6032" i="106" s="1"/>
  <c r="B1365" i="106"/>
  <c r="D1365" i="106" s="1"/>
  <c r="F65" i="34"/>
  <c r="I26" i="12"/>
  <c r="B7741" i="106" s="1"/>
  <c r="D7741" i="106" s="1"/>
  <c r="B1996" i="106"/>
  <c r="D1996" i="106" s="1"/>
  <c r="K342" i="29"/>
  <c r="F13" i="34" s="1"/>
  <c r="K365" i="29"/>
  <c r="B7243" i="106" s="1"/>
  <c r="D7243" i="106" s="1"/>
  <c r="B3628" i="106"/>
  <c r="D3628" i="106" s="1"/>
  <c r="C4" i="4"/>
  <c r="B2551" i="106" s="1"/>
  <c r="D2551" i="106" s="1"/>
  <c r="B5914" i="106"/>
  <c r="D5914" i="106" s="1"/>
  <c r="H77" i="4"/>
  <c r="B3299" i="106" s="1"/>
  <c r="D3299" i="106" s="1"/>
  <c r="K77" i="4"/>
  <c r="B3587" i="106" s="1"/>
  <c r="D3587" i="106" s="1"/>
  <c r="D19" i="7"/>
  <c r="B1775" i="106" s="1"/>
  <c r="D1775" i="106" s="1"/>
  <c r="J7" i="4"/>
  <c r="B6222" i="106" s="1"/>
  <c r="D6222" i="106" s="1"/>
  <c r="C173" i="5"/>
  <c r="B5906" i="106"/>
  <c r="D5906" i="106" s="1"/>
  <c r="H6" i="4"/>
  <c r="B2656" i="106" s="1"/>
  <c r="D2656" i="106" s="1"/>
  <c r="F274" i="5"/>
  <c r="F7" i="4" s="1"/>
  <c r="B2594" i="106" s="1"/>
  <c r="D2594" i="106" s="1"/>
  <c r="C114" i="29"/>
  <c r="B757" i="106" s="1"/>
  <c r="D757" i="106" s="1"/>
  <c r="L114" i="29"/>
  <c r="H367" i="29"/>
  <c r="B3660" i="106" s="1"/>
  <c r="D3660" i="106" s="1"/>
  <c r="B3670" i="106"/>
  <c r="D3670" i="106" s="1"/>
  <c r="K352" i="29"/>
  <c r="B5356" i="106"/>
  <c r="D5356" i="106" s="1"/>
  <c r="D4" i="4"/>
  <c r="B2564" i="106" s="1"/>
  <c r="D2564" i="106" s="1"/>
  <c r="D274" i="5"/>
  <c r="B5507" i="106" s="1"/>
  <c r="D5507" i="106" s="1"/>
  <c r="B6025" i="106"/>
  <c r="D6025" i="106" s="1"/>
  <c r="H4" i="4"/>
  <c r="I6" i="4"/>
  <c r="B5011" i="106" s="1"/>
  <c r="D5011" i="106" s="1"/>
  <c r="B6024" i="106"/>
  <c r="D6024" i="106" s="1"/>
  <c r="G4" i="4"/>
  <c r="B2603" i="106" s="1"/>
  <c r="D2603" i="106" s="1"/>
  <c r="D44" i="36"/>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K16" i="4"/>
  <c r="B5653" i="106"/>
  <c r="D5653" i="106" s="1"/>
  <c r="F6" i="4"/>
  <c r="B2593" i="106" s="1"/>
  <c r="D2593" i="106" s="1"/>
  <c r="F275" i="5"/>
  <c r="B5720" i="106" s="1"/>
  <c r="D5720" i="106" s="1"/>
  <c r="B1145" i="106"/>
  <c r="D1145" i="106" s="1"/>
  <c r="B7224" i="106"/>
  <c r="D7224" i="106" s="1"/>
  <c r="J8" i="4"/>
  <c r="J10" i="4" s="1"/>
  <c r="B6225" i="106" s="1"/>
  <c r="D6225" i="106" s="1"/>
  <c r="J17" i="4"/>
  <c r="J19" i="4" s="1"/>
  <c r="B6229" i="106" s="1"/>
  <c r="D6229" i="106" s="1"/>
  <c r="E41" i="108"/>
  <c r="E44" i="108" s="1"/>
  <c r="E45" i="108" s="1"/>
  <c r="G41" i="108"/>
  <c r="G44" i="108" s="1"/>
  <c r="G45" i="108" s="1"/>
  <c r="D275" i="5"/>
  <c r="B5508" i="106" s="1"/>
  <c r="D5508" i="106" s="1"/>
  <c r="D7" i="4"/>
  <c r="B2567" i="106" s="1"/>
  <c r="D2567" i="106" s="1"/>
  <c r="K367" i="29"/>
  <c r="B3678" i="106" s="1"/>
  <c r="D3678" i="106" s="1"/>
  <c r="K13" i="4"/>
  <c r="B3572" i="106" s="1"/>
  <c r="D3572" i="106" s="1"/>
  <c r="B3672" i="106"/>
  <c r="D3672" i="106" s="1"/>
  <c r="B5719" i="106"/>
  <c r="D5719" i="106" s="1"/>
  <c r="B5223" i="106"/>
  <c r="D5223" i="106" s="1"/>
  <c r="C6" i="4"/>
  <c r="B2553" i="106" s="1"/>
  <c r="D2553"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l="1"/>
  <c r="B6230" i="106" s="1"/>
  <c r="D6230" i="106" s="1"/>
  <c r="B6223" i="106"/>
  <c r="D6223" i="106" s="1"/>
  <c r="B6227" i="106"/>
  <c r="D6227" i="106" s="1"/>
  <c r="F8" i="4"/>
  <c r="D8" i="146" s="1"/>
  <c r="K368" i="29"/>
  <c r="B3681" i="106" s="1"/>
  <c r="D3681" i="106" s="1"/>
  <c r="K17" i="4"/>
  <c r="K20" i="4" s="1"/>
  <c r="F76" i="34"/>
  <c r="D8" i="4"/>
  <c r="B2568" i="106" s="1"/>
  <c r="D2568"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595" i="106"/>
  <c r="D2595" i="106" s="1"/>
  <c r="F10" i="4"/>
  <c r="B4125" i="106" s="1"/>
  <c r="D4125" i="106" s="1"/>
  <c r="B3575" i="106"/>
  <c r="D3575" i="106" s="1"/>
  <c r="K19" i="4"/>
  <c r="B4144" i="106" s="1"/>
  <c r="D4144" i="106" s="1"/>
  <c r="D10" i="4"/>
  <c r="B4123" i="106" s="1"/>
  <c r="D4123" i="106" s="1"/>
  <c r="C8" i="146"/>
  <c r="D20" i="4"/>
  <c r="B2574" i="106" s="1"/>
  <c r="D2574" i="106" s="1"/>
  <c r="H13" i="118"/>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C10" i="146" l="1"/>
  <c r="D78" i="4"/>
  <c r="D81" i="4" s="1"/>
  <c r="F8"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<sst xmlns="http://schemas.openxmlformats.org/spreadsheetml/2006/main" count="5243" uniqueCount="2148">
  <si>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</si>
  <si>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</si>
  <si>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</si>
  <si>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</si>
  <si>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</si>
  <si>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</si>
  <si>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</si>
  <si>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</si>
  <si>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</si>
  <si>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</si>
  <si>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</si>
  <si>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</si>
  <si>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</si>
  <si>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</si>
  <si>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</si>
  <si>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</si>
  <si>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</si>
  <si>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</si>
  <si>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</si>
  <si>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</si>
  <si>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</si>
  <si>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</si>
  <si>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</si>
  <si>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</si>
  <si>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</si>
  <si>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</si>
  <si>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</si>
  <si>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</si>
  <si>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</si>
  <si>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</si>
  <si>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</si>
  <si>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</si>
  <si>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</si>
  <si>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</si>
  <si>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</si>
  <si>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</si>
  <si>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</si>
  <si>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</si>
  <si>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</si>
  <si>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</si>
  <si>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</si>
  <si>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</si>
  <si>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</si>
  <si>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</si>
  <si>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</si>
  <si>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</si>
  <si>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</si>
  <si>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</si>
  <si>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</si>
  <si>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</si>
  <si>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</si>
  <si>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</si>
  <si>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</si>
  <si>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</si>
  <si>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</si>
  <si>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</si>
  <si>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</si>
  <si>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</si>
  <si>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</si>
  <si>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</si>
  <si>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</si>
  <si>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</si>
  <si>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</si>
  <si>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</si>
  <si>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</si>
  <si>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</si>
  <si>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</si>
  <si>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</si>
  <si>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</si>
  <si>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</si>
  <si>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</si>
  <si>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</si>
  <si>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</si>
  <si>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</si>
  <si>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</si>
  <si>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</si>
  <si>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</si>
  <si>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</si>
  <si>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</si>
  <si>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</si>
  <si>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</si>
  <si>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</si>
  <si>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</si>
  <si>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</si>
  <si>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</si>
  <si>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</si>
  <si>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</si>
  <si>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</si>
  <si>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</si>
  <si>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</si>
  <si>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</si>
  <si>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</si>
  <si>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</si>
  <si>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</si>
  <si>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</si>
  <si>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</si>
  <si>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</si>
  <si>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</si>
  <si>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</si>
  <si>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</si>
  <si>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</si>
  <si>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</si>
  <si>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</si>
  <si>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</si>
  <si>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</si>
  <si>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</si>
  <si>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</si>
  <si>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</si>
  <si>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</si>
  <si>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</si>
  <si>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</si>
  <si>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</si>
  <si>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</si>
  <si>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</si>
  <si>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</si>
  <si>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</si>
  <si>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</si>
  <si>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</si>
  <si>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</si>
  <si>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</si>
  <si>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</si>
  <si>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</si>
  <si>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</si>
  <si>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</si>
  <si>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</si>
  <si>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</si>
  <si>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</si>
  <si>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</si>
  <si>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</si>
  <si>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</si>
  <si>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</si>
  <si>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</si>
  <si>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</si>
  <si>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</si>
  <si>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</si>
  <si>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</si>
  <si>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</si>
  <si>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</si>
  <si>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</si>
  <si>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</si>
  <si>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</si>
  <si>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</si>
  <si>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</si>
  <si>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</si>
  <si>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</si>
  <si>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</si>
  <si>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</si>
  <si>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</si>
  <si>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</si>
  <si>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</si>
  <si>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</si>
  <si>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</si>
  <si>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</si>
  <si>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</si>
  <si>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</si>
  <si>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</si>
  <si>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</si>
  <si>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</si>
  <si>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</si>
  <si>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</si>
  <si>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</si>
  <si>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</si>
  <si>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</si>
  <si>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</si>
  <si>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</si>
  <si>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</si>
  <si>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</si>
  <si>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</si>
  <si>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</si>
  <si>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</si>
  <si>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</si>
  <si>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</si>
  <si>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</si>
  <si>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</si>
  <si>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</si>
  <si>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</si>
  <si>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</si>
  <si>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</si>
  <si>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</si>
  <si>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</si>
  <si>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</si>
  <si>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</si>
  <si>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</si>
  <si>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</si>
  <si>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</si>
  <si>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</si>
  <si>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</si>
  <si>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</si>
  <si>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</si>
  <si>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</si>
  <si>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</si>
  <si>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</si>
  <si>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</si>
  <si>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</si>
  <si>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</si>
  <si>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</si>
  <si>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</si>
  <si>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</si>
  <si>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</si>
  <si>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</si>
  <si>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</si>
  <si>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</si>
  <si>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</si>
  <si>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</si>
  <si>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</si>
  <si>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</si>
  <si>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</si>
  <si>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</si>
  <si>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</si>
  <si>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</si>
  <si>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</si>
  <si>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</si>
  <si>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</si>
  <si>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</si>
  <si>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</si>
  <si>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</si>
  <si>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</si>
  <si>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</si>
  <si>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</si>
  <si>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</si>
  <si>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</si>
  <si>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</si>
  <si>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</si>
  <si>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</si>
  <si>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</si>
  <si>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</si>
  <si>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</si>
  <si>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</si>
  <si>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</si>
  <si>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</si>
  <si>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</si>
  <si>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</si>
  <si>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</si>
  <si>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</si>
  <si>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</si>
  <si>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</si>
  <si>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</si>
  <si>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</si>
  <si>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</si>
  <si>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</si>
  <si>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</si>
  <si>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</si>
  <si>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</si>
  <si>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</si>
  <si>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</si>
  <si>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</si>
  <si>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</si>
  <si>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</si>
  <si>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</si>
  <si>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</si>
  <si>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</si>
  <si>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</si>
  <si>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</si>
  <si>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</si>
  <si>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</si>
  <si>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</si>
  <si>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</si>
  <si>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</si>
  <si>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</si>
  <si>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</si>
  <si>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</si>
  <si>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</si>
  <si>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</si>
  <si>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</si>
  <si>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</si>
  <si>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</si>
  <si>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</si>
  <si>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</si>
  <si>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</si>
  <si>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</si>
  <si>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</si>
  <si>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</si>
  <si>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</si>
  <si>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</si>
  <si>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</si>
  <si>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</si>
  <si>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</si>
  <si>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</si>
  <si>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</si>
  <si>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</si>
  <si>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</si>
  <si>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</si>
  <si>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</si>
  <si>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</si>
  <si>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</si>
  <si>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</si>
  <si>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</si>
  <si>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</si>
  <si>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</si>
  <si>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</si>
  <si>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</si>
  <si>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</si>
  <si>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</si>
  <si>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</si>
  <si>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</si>
  <si>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</si>
  <si>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</si>
  <si>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</si>
  <si>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</si>
  <si>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</si>
  <si>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</si>
  <si>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</si>
  <si>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</si>
  <si>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</si>
  <si>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</si>
  <si>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</si>
  <si>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</si>
  <si>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</si>
  <si>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</si>
  <si>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</si>
  <si>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</si>
  <si>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</si>
  <si>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</si>
  <si>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</si>
  <si>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</si>
  <si>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</si>
  <si>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</si>
  <si>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</si>
  <si>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</si>
  <si>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</si>
  <si>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</si>
  <si>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</si>
  <si>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</si>
  <si>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</si>
  <si>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</si>
  <si>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</si>
  <si>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</si>
  <si>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</si>
  <si>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</si>
  <si>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</si>
  <si>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</si>
  <si>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</si>
  <si>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</si>
  <si>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</si>
  <si>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</si>
  <si>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</si>
  <si>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</si>
  <si>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</si>
  <si>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</si>
  <si>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</si>
  <si>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</si>
  <si>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</si>
  <si>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</si>
  <si>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</si>
  <si>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</si>
  <si>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</si>
  <si>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</si>
  <si>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</si>
  <si>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</si>
  <si>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</si>
  <si>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</si>
  <si>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</si>
  <si>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</si>
  <si>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</si>
  <si>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</si>
  <si>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</si>
  <si>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</si>
  <si>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</si>
  <si>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</si>
  <si>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</si>
  <si>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</si>
  <si>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</si>
  <si>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</si>
  <si>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</si>
  <si>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</si>
  <si>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</si>
  <si>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</si>
  <si>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</si>
  <si>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</si>
  <si>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</si>
  <si>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</si>
  <si>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</si>
  <si>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</si>
  <si>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</si>
  <si>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</si>
  <si>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</si>
  <si>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</si>
  <si>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</si>
  <si>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</si>
  <si>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</si>
  <si>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</si>
  <si>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</si>
  <si>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</si>
  <si>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</si>
  <si>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</si>
  <si>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</si>
  <si>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</si>
  <si>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</si>
  <si>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</si>
  <si>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</si>
  <si>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</si>
  <si>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</si>
  <si>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</si>
  <si>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</si>
  <si>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</si>
  <si>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</si>
  <si>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</si>
  <si>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</si>
  <si>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</si>
  <si>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</si>
  <si>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</si>
  <si>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</si>
  <si>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</si>
  <si>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</si>
  <si>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</si>
  <si>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</si>
  <si>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</si>
  <si>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</si>
  <si>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</si>
  <si>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</si>
  <si>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</si>
  <si>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</si>
  <si>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</si>
  <si>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</si>
  <si>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</si>
  <si>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</si>
  <si>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</si>
  <si>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</si>
  <si>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</si>
  <si>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</si>
  <si>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</si>
  <si>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</si>
  <si>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</si>
  <si>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</si>
  <si>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</si>
  <si>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</si>
  <si>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</si>
  <si>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</si>
  <si>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</si>
  <si>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</si>
  <si>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</si>
  <si>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</si>
  <si>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</si>
  <si>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</si>
  <si>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</si>
  <si>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</si>
  <si>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</si>
  <si>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</si>
  <si>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</si>
  <si>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</si>
  <si>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</si>
  <si>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</si>
  <si>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</si>
  <si>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</si>
  <si>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</si>
  <si>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</si>
  <si>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</si>
  <si>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</si>
  <si>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</si>
  <si>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</si>
  <si>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</si>
  <si>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</si>
  <si>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</si>
  <si>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</si>
  <si>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</si>
  <si>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</si>
  <si>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</si>
  <si>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</si>
  <si>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</si>
  <si>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</si>
  <si>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</si>
  <si>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</si>
  <si>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</si>
  <si>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</si>
  <si>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</si>
  <si>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</si>
  <si>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</si>
  <si>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</si>
  <si>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</si>
  <si>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</si>
  <si>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</si>
  <si>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</si>
  <si>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</si>
  <si>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</si>
  <si>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</si>
  <si>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</si>
  <si>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</si>
  <si>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</si>
  <si>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</si>
  <si>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</si>
  <si>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</si>
  <si>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</si>
  <si>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</si>
  <si>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</si>
  <si>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</si>
  <si>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</si>
  <si>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</si>
  <si>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</si>
  <si>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</si>
  <si>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</si>
  <si>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</si>
  <si>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</si>
  <si>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</si>
  <si>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</si>
  <si>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</si>
  <si>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</si>
  <si>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</si>
  <si>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</si>
  <si>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</si>
  <si>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</si>
  <si>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</si>
  <si>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</si>
  <si>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</si>
  <si>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</si>
  <si>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</si>
  <si>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</si>
  <si>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</si>
  <si>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</si>
  <si>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</si>
  <si>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</si>
  <si>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</si>
  <si>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</si>
  <si>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</si>
  <si>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</si>
  <si>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</si>
  <si>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</si>
  <si>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</si>
  <si>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</si>
  <si>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</si>
  <si>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</si>
  <si>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</si>
  <si>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</si>
  <si>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</si>
  <si>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</si>
  <si>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</si>
  <si>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</si>
  <si>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</si>
  <si>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</si>
  <si>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</si>
  <si>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</si>
  <si>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</si>
  <si>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</si>
  <si>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</si>
  <si>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</si>
  <si>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</si>
  <si>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</si>
  <si>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</si>
  <si>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</si>
  <si>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</si>
  <si>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</si>
  <si>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</si>
  <si>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</si>
  <si>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</si>
  <si>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</si>
  <si>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</si>
  <si>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</si>
  <si>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</si>
  <si>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</si>
  <si>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</si>
  <si>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</si>
  <si>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</si>
  <si>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</si>
  <si>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</si>
  <si>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</si>
  <si>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</si>
  <si>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</si>
  <si>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</si>
  <si>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</si>
  <si>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</si>
  <si>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</si>
  <si>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</si>
  <si>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</si>
  <si>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</si>
  <si>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</si>
  <si>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</si>
  <si>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</si>
  <si>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</si>
  <si>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</si>
  <si>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</si>
  <si>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</si>
  <si>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</si>
  <si>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</si>
  <si>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</si>
  <si>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</si>
  <si>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</si>
  <si>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</si>
  <si>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</si>
  <si>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</si>
  <si>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</si>
  <si>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</si>
  <si>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</si>
  <si>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</si>
  <si>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</si>
  <si>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</si>
  <si>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</si>
  <si>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</si>
  <si>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</si>
  <si>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</si>
  <si>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</si>
  <si>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</si>
  <si>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</si>
  <si>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</si>
  <si>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</si>
  <si>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</si>
  <si>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</si>
  <si>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</si>
  <si>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</si>
  <si>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</si>
  <si>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</si>
  <si>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</si>
  <si>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</si>
  <si>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</si>
  <si>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</si>
  <si>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</si>
  <si>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</si>
  <si>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</si>
  <si>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</si>
  <si>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</si>
  <si>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</si>
  <si>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</si>
  <si>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</si>
  <si>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</si>
  <si>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</si>
  <si>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</si>
  <si>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</si>
  <si>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</si>
  <si>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</si>
  <si>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</si>
  <si>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</si>
  <si>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</si>
  <si>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</si>
  <si>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</si>
  <si>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</si>
  <si>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</si>
  <si>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</si>
  <si>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</si>
  <si>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</si>
  <si>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</si>
  <si>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</si>
  <si>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</si>
  <si>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</si>
  <si>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</si>
  <si>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</si>
  <si>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</si>
  <si>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</si>
  <si>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</si>
  <si>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</si>
  <si>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</si>
  <si>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</si>
  <si>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</si>
  <si>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</si>
  <si>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</si>
  <si>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</si>
  <si>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</si>
  <si>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</si>
  <si>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</si>
  <si>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</si>
  <si>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</si>
  <si>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</si>
  <si>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</si>
  <si>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</si>
  <si>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</si>
  <si>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</si>
  <si>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</si>
  <si>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</si>
  <si>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</si>
  <si>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</si>
  <si>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</si>
  <si>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</si>
  <si>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</si>
  <si>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</si>
  <si>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</si>
  <si>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</si>
  <si>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</si>
  <si>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</si>
  <si>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</si>
  <si>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</si>
  <si>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</si>
  <si>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</si>
  <si>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</si>
  <si>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</si>
  <si>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</si>
  <si>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</si>
  <si>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</si>
  <si>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</si>
  <si>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</si>
  <si>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</si>
  <si>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</si>
  <si>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</si>
  <si>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</si>
  <si>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</si>
  <si>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</si>
  <si>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</si>
  <si>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</si>
  <si>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</si>
  <si>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</si>
  <si>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</si>
  <si>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</si>
  <si>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</si>
  <si>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</si>
  <si>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</si>
  <si>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</si>
  <si>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</si>
  <si>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</si>
  <si>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</si>
  <si>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</si>
  <si>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</si>
  <si>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</si>
  <si>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</si>
  <si>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</si>
  <si>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</si>
  <si>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</si>
  <si>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</si>
  <si>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</si>
  <si>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</si>
  <si>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</si>
  <si>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</si>
  <si>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</si>
  <si>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</si>
  <si>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</si>
  <si>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</si>
  <si>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</si>
  <si>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</si>
  <si>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</si>
  <si>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</si>
  <si>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</si>
  <si>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</si>
  <si>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</si>
  <si>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</si>
  <si>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</si>
  <si>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</si>
  <si>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</si>
  <si>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</si>
  <si>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</si>
  <si>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</si>
  <si>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</si>
  <si>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</si>
  <si>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</si>
  <si>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</si>
  <si>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</si>
  <si>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</si>
  <si>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</si>
  <si>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</si>
  <si>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</si>
  <si>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</si>
  <si>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</si>
  <si>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</si>
  <si>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</si>
  <si>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</si>
  <si>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</si>
  <si>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</si>
  <si>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</si>
  <si>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</si>
  <si>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</si>
  <si>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</si>
  <si>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</si>
  <si>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</si>
  <si>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</si>
  <si>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</si>
  <si>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</si>
  <si>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</si>
  <si>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</si>
  <si>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</si>
  <si>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</si>
  <si>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</si>
  <si>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</si>
  <si>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</si>
  <si>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</si>
  <si>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</si>
  <si>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</si>
  <si>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</si>
  <si>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</si>
  <si>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</si>
  <si>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</si>
  <si>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</si>
  <si>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</si>
  <si>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</si>
  <si>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</si>
  <si>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</si>
  <si>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</si>
  <si>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</si>
  <si>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</si>
  <si>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</si>
  <si>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</si>
  <si>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</si>
  <si>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</si>
  <si>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</si>
  <si>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</si>
  <si>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</si>
  <si>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</si>
  <si>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</si>
  <si>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</si>
  <si>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</si>
  <si>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</si>
  <si>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</si>
  <si>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</si>
  <si>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</si>
  <si>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</si>
  <si>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</si>
  <si>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</si>
  <si>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</si>
  <si>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</si>
  <si>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</si>
  <si>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</si>
  <si>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</si>
  <si>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</si>
  <si>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</si>
  <si>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</si>
  <si>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</si>
  <si>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</si>
  <si>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</si>
  <si>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</si>
  <si>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</si>
  <si>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</si>
  <si>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</si>
  <si>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</si>
  <si>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</si>
  <si>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</si>
  <si>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</si>
  <si>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</si>
  <si>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</si>
  <si>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</si>
  <si>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</si>
  <si>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</si>
  <si>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</si>
  <si>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</si>
  <si>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</si>
  <si>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</si>
  <si>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</si>
  <si>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</si>
  <si>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</si>
  <si>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</si>
  <si>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</si>
  <si>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</si>
  <si>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</si>
  <si>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</si>
  <si>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</si>
  <si>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</si>
  <si>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</si>
  <si>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</si>
  <si>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</si>
  <si>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</si>
  <si>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</si>
  <si>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</si>
  <si>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</si>
  <si>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</si>
  <si>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</si>
  <si>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</si>
  <si>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</si>
  <si>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</si>
  <si>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</si>
  <si>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</si>
  <si>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</si>
  <si>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</si>
  <si>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</si>
  <si>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</si>
  <si>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</si>
  <si>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</si>
  <si>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</si>
  <si>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</si>
  <si>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</si>
  <si>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</si>
  <si>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</si>
  <si>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</si>
  <si>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</si>
  <si>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</si>
  <si>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</si>
  <si>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</si>
  <si>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</si>
  <si>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</si>
  <si>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</si>
  <si>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</si>
  <si>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</si>
  <si>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</si>
  <si>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</si>
  <si>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</si>
  <si>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</si>
  <si>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</si>
  <si>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</si>
  <si>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</si>
  <si>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</si>
  <si>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</si>
  <si>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</si>
  <si>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</si>
  <si>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</si>
  <si>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</si>
  <si>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</si>
  <si>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</si>
  <si>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</si>
  <si>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</si>
  <si>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</si>
  <si>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</si>
  <si>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</si>
  <si>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</si>
  <si>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</si>
  <si>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</si>
  <si>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</si>
  <si>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</si>
  <si>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</si>
  <si>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</si>
  <si>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</si>
  <si>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</si>
  <si>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</si>
  <si>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</si>
  <si>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</si>
  <si>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</si>
  <si>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</si>
  <si>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</si>
  <si>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</si>
  <si>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</si>
  <si>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</si>
  <si>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</si>
  <si>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</si>
  <si>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</si>
  <si>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</si>
  <si>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</si>
  <si>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</si>
  <si>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</si>
  <si>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</si>
  <si>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</si>
  <si>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</si>
  <si>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</si>
  <si>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</si>
  <si>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</si>
  <si>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</si>
  <si>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</si>
  <si>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</si>
  <si>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</si>
  <si>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</si>
  <si>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</si>
  <si>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</si>
  <si>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</si>
  <si>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</si>
  <si>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</si>
  <si>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</si>
  <si>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</si>
  <si>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</si>
  <si>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</si>
  <si>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</si>
  <si>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</si>
  <si>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</si>
  <si>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</si>
  <si>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</si>
  <si>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</si>
  <si>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</si>
  <si>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</si>
  <si>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</si>
  <si>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</si>
  <si>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</si>
  <si>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</si>
  <si>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</si>
  <si>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</si>
  <si>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</si>
  <si>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</si>
  <si>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</si>
  <si>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</si>
  <si>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</si>
  <si>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</si>
  <si>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</si>
  <si>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</si>
  <si>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</si>
  <si>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</si>
  <si>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</si>
  <si>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</si>
  <si>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</si>
  <si>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</si>
  <si>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</si>
  <si>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</si>
  <si>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</si>
  <si>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</si>
  <si>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</si>
  <si>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</si>
  <si>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</si>
  <si>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</si>
  <si>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</si>
  <si>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</si>
  <si>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</si>
  <si>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</si>
  <si>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</si>
  <si>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</si>
  <si>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</si>
  <si>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</si>
  <si>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</si>
  <si>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</si>
  <si>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</si>
  <si>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</si>
  <si>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</si>
  <si>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</si>
  <si>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</si>
  <si>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</si>
  <si>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</si>
  <si>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</si>
  <si>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</si>
  <si>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</si>
  <si>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</si>
  <si>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</si>
  <si>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</si>
  <si>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</si>
  <si>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</si>
  <si>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</si>
  <si>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</si>
  <si>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</si>
  <si>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</si>
  <si>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</si>
  <si>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</si>
  <si>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</si>
  <si>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</si>
  <si>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</si>
  <si>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</si>
  <si>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</si>
  <si>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</si>
  <si>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</si>
  <si>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</si>
  <si>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</si>
  <si>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</si>
  <si>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</si>
  <si>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</si>
  <si>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</si>
  <si>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</si>
  <si>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</si>
  <si>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</si>
  <si>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</si>
  <si>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</si>
  <si>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</si>
  <si>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</si>
  <si>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</si>
  <si>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</si>
  <si>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</si>
  <si>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</si>
  <si>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</si>
  <si>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</si>
  <si>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</si>
  <si>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</si>
  <si>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</si>
  <si>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</si>
  <si>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</si>
  <si>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</si>
  <si>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</si>
  <si>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</si>
  <si>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</si>
  <si>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</si>
  <si>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</si>
  <si>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</si>
  <si>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</si>
  <si>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</si>
  <si>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</si>
  <si>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</si>
  <si>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</si>
  <si>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</si>
  <si>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</si>
  <si>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</si>
  <si>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</si>
  <si>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</si>
  <si>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</si>
  <si>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</si>
  <si>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</si>
  <si>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</si>
  <si>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</si>
  <si>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</si>
  <si>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</si>
  <si>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</si>
  <si>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</si>
  <si>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</si>
  <si>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</si>
  <si>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</si>
  <si>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</si>
  <si>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</si>
  <si>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</si>
  <si>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</si>
  <si>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</si>
  <si>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</si>
  <si>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</si>
  <si>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</si>
  <si>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</si>
  <si>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</si>
  <si>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</si>
  <si>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</si>
  <si>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</si>
  <si>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</si>
  <si>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</si>
  <si>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</si>
  <si>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</si>
  <si>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</si>
  <si>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</si>
  <si>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</si>
  <si>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</si>
  <si>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</si>
  <si>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</si>
  <si>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</si>
  <si>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</si>
  <si>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</si>
  <si>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</si>
  <si>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</si>
  <si>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</si>
  <si>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</si>
  <si>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</si>
  <si>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</si>
  <si>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</si>
  <si>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</si>
  <si>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</si>
  <si>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</si>
  <si>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</si>
  <si>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</si>
  <si>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</si>
  <si>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</si>
  <si>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</si>
  <si>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</si>
  <si>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</si>
  <si>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</si>
  <si>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</si>
  <si>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</si>
  <si>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</si>
  <si>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</si>
  <si>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</si>
  <si>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</si>
  <si>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</si>
  <si>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</si>
  <si>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</si>
  <si>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</si>
  <si>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</si>
  <si>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</si>
  <si>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</si>
  <si>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</si>
  <si>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</si>
  <si>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</si>
  <si>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</si>
  <si>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</si>
  <si>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</si>
  <si>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</si>
  <si>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</si>
  <si>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</si>
  <si>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</si>
  <si>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</si>
  <si>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</si>
  <si>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</si>
  <si>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</si>
  <si>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</si>
  <si>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</si>
  <si>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</si>
  <si>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</si>
  <si>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</si>
  <si>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</si>
  <si>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</si>
  <si>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</si>
  <si>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</si>
  <si>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</si>
  <si>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</si>
  <si>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</si>
  <si>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</si>
  <si>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</si>
  <si>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</si>
  <si>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</si>
  <si>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</si>
  <si>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</si>
  <si>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</si>
  <si>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</si>
  <si>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</si>
  <si>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</si>
  <si>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</si>
  <si>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</si>
  <si>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</si>
  <si>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</si>
  <si>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</si>
  <si>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</si>
  <si>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</si>
  <si>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</si>
  <si>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</si>
  <si>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</si>
  <si>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</si>
  <si>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</si>
  <si>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</si>
  <si>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</si>
  <si>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</si>
  <si>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</si>
  <si>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</si>
  <si>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</si>
  <si>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</si>
  <si>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</si>
  <si>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</si>
  <si>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</si>
  <si>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</si>
  <si>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</si>
  <si>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</si>
  <si>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</si>
  <si>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</si>
  <si>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</si>
  <si>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</si>
  <si>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</si>
  <si>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</si>
  <si>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</si>
  <si>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</si>
  <si>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</si>
  <si>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</si>
  <si>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</si>
  <si>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</si>
  <si>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</si>
  <si>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</si>
  <si>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</si>
  <si>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</si>
  <si>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</si>
  <si>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</si>
  <si>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</si>
  <si>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</si>
  <si>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</si>
  <si>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</si>
  <si>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</si>
  <si>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</si>
  <si>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</si>
  <si>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</si>
  <si>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</si>
  <si>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</si>
  <si>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</si>
  <si>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</si>
  <si>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</si>
  <si>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</si>
  <si>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</si>
  <si>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</si>
  <si>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</si>
  <si>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</si>
  <si>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</si>
  <si>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</si>
  <si>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</si>
  <si>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</si>
  <si>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</si>
  <si>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</si>
  <si>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</si>
  <si>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</si>
  <si>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</si>
  <si>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</si>
  <si>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</si>
  <si>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</si>
  <si>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</si>
  <si>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</si>
  <si>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</si>
  <si>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</si>
  <si>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</si>
  <si>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</si>
  <si>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</si>
  <si>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</si>
  <si>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</si>
  <si>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</si>
  <si>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</si>
  <si>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</si>
  <si>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</si>
  <si>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</si>
  <si>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</si>
  <si>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</si>
  <si>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</si>
  <si>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</si>
  <si>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</si>
  <si>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</si>
  <si>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</si>
  <si>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</si>
  <si>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</si>
  <si>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</si>
  <si>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</si>
  <si>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</si>
  <si>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</si>
  <si>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</si>
  <si>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</si>
  <si>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</si>
  <si>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</si>
  <si>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</si>
  <si>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</si>
  <si>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</si>
  <si>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</si>
  <si>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</si>
  <si>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</si>
  <si>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</si>
  <si>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</si>
  <si>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</si>
  <si>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</si>
  <si>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</si>
  <si>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</si>
  <si>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</si>
  <si>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</si>
  <si>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</si>
  <si>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</si>
  <si>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</si>
  <si>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</si>
  <si>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</si>
  <si>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</si>
  <si>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</si>
  <si>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</si>
  <si>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</si>
  <si>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</si>
  <si>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</si>
  <si>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</si>
  <si>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</si>
  <si>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</si>
  <si>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</si>
  <si>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</si>
  <si>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</si>
  <si>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</si>
  <si>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</si>
  <si>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</si>
  <si>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</si>
  <si>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</si>
  <si>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</si>
  <si>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</si>
  <si>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</si>
  <si>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</si>
  <si>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</si>
  <si>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</si>
  <si>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</si>
  <si>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</si>
  <si>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</si>
  <si>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</si>
  <si>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</si>
  <si>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</si>
  <si>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</si>
  <si>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</si>
  <si>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</si>
  <si>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</si>
  <si>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</si>
  <si>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</si>
  <si>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</si>
  <si>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</si>
  <si>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</si>
  <si>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</si>
  <si>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</si>
  <si>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</si>
  <si>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</si>
  <si>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</si>
  <si>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</si>
  <si>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</si>
  <si>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</si>
  <si>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</si>
  <si>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</si>
  <si>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</si>
  <si>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</si>
  <si>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</si>
  <si>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</si>
  <si>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</si>
  <si>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</si>
  <si>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</si>
  <si>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</si>
  <si>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</si>
  <si>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</si>
  <si>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</si>
  <si>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</si>
  <si>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</si>
  <si>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</si>
  <si>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</si>
  <si>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</si>
  <si>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</si>
  <si>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</si>
  <si>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</si>
  <si>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</si>
  <si>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</si>
  <si>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</si>
  <si>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</si>
  <si>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</si>
  <si>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</si>
  <si>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</si>
  <si>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</si>
  <si>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</si>
  <si>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</si>
  <si>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</si>
  <si>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</si>
  <si>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</si>
  <si>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</si>
  <si>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</si>
  <si>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</si>
  <si>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</si>
  <si>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</si>
  <si>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</si>
  <si>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</si>
  <si>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</si>
  <si>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</si>
  <si>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</si>
  <si>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</si>
  <si>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</si>
  <si>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</si>
  <si>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</si>
  <si>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</si>
  <si>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</si>
  <si>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</si>
  <si>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</si>
  <si>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</si>
  <si>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</si>
  <si>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</si>
  <si>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</si>
  <si>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</si>
  <si>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</si>
  <si>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</si>
  <si>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</si>
  <si>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</si>
  <si>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</si>
  <si>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</si>
  <si>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</si>
  <si>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</si>
  <si>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</si>
  <si>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</si>
  <si>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</si>
  <si>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</si>
  <si>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</si>
  <si>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</si>
  <si>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</si>
  <si>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</si>
  <si>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</si>
  <si>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</si>
  <si>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</si>
  <si>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</si>
  <si>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</si>
  <si>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</si>
  <si>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</si>
  <si>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</si>
  <si>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</si>
  <si>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</si>
  <si>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</si>
  <si>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</si>
  <si>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</si>
  <si>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</si>
  <si>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</si>
  <si>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</si>
  <si>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</si>
  <si>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</si>
  <si>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</si>
  <si>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</si>
  <si>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</si>
  <si>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</si>
  <si>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</si>
  <si>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</si>
  <si>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</si>
  <si>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</si>
  <si>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</si>
  <si>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</si>
  <si>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</si>
  <si>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</si>
  <si>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</si>
  <si>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</si>
  <si>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</si>
  <si>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</si>
  <si>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</si>
  <si>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</si>
  <si>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</si>
  <si>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</si>
  <si>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</si>
  <si>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</si>
  <si>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</si>
  <si>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</si>
  <si>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</si>
  <si>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</si>
  <si>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</si>
  <si>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</si>
  <si>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</si>
  <si>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</si>
  <si>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</si>
  <si>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</si>
  <si>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</si>
  <si>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</si>
  <si>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</si>
  <si>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</si>
  <si>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</si>
  <si>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</si>
  <si>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</si>
  <si>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</si>
  <si>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</si>
  <si>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</si>
  <si>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</si>
  <si>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</si>
  <si>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</si>
  <si>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</si>
  <si>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</si>
  <si>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</si>
  <si>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</si>
  <si>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</si>
  <si>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</si>
  <si>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</si>
  <si>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</si>
  <si>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</si>
  <si>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</si>
  <si>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</si>
  <si>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</si>
  <si>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</si>
  <si>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</si>
  <si>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</si>
  <si>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</si>
  <si>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</si>
  <si>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</si>
  <si>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</si>
  <si>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</si>
  <si>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</si>
  <si>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</si>
  <si>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</si>
  <si>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</si>
  <si>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</si>
  <si>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</si>
  <si>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</si>
  <si>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</si>
  <si>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</si>
  <si>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</si>
  <si>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</si>
  <si>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</si>
  <si>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</si>
  <si>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</si>
  <si>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</si>
  <si>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</si>
  <si>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</si>
  <si>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</si>
  <si>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</si>
  <si>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</si>
  <si>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</si>
  <si>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</si>
  <si>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</si>
  <si>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</si>
  <si>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</si>
  <si>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</si>
  <si>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</si>
  <si>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</si>
  <si>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</si>
  <si>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</si>
  <si>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</si>
  <si>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</si>
  <si>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</si>
  <si>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</si>
  <si>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</si>
  <si>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</si>
  <si>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</si>
  <si>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</si>
  <si>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</si>
  <si>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</si>
  <si>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</si>
  <si>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</si>
  <si>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</si>
  <si>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</si>
  <si>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</si>
  <si>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</si>
  <si>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</si>
  <si>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</si>
  <si>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</si>
  <si>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</si>
  <si>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</si>
  <si>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</si>
  <si>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</si>
  <si>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</si>
  <si>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</si>
  <si>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</si>
  <si>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</si>
  <si>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</si>
  <si>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</si>
  <si>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</si>
  <si>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</si>
  <si>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</si>
  <si>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</si>
  <si>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</si>
  <si>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</si>
  <si>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</si>
  <si>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</si>
  <si>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</si>
  <si>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</si>
  <si>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</si>
  <si>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</si>
  <si>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</si>
  <si>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</si>
  <si>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</si>
  <si>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</si>
  <si>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</si>
  <si>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</si>
  <si>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</si>
  <si>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</si>
  <si>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</si>
  <si>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</si>
  <si>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</si>
  <si>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</si>
  <si>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</si>
  <si>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</si>
  <si>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</si>
  <si>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</si>
  <si>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</si>
  <si>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</si>
  <si>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</si>
  <si>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</si>
  <si>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</si>
  <si>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</si>
  <si>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</si>
  <si>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</si>
  <si>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</si>
  <si>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</si>
  <si>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</si>
  <si>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</si>
  <si>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</si>
  <si>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</si>
  <si>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</si>
  <si>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</si>
  <si>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</si>
  <si>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</si>
  <si>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</si>
  <si>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</si>
  <si>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</si>
  <si>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</si>
  <si>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</si>
  <si>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</si>
  <si>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</si>
  <si>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</si>
  <si>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</si>
  <si>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</si>
  <si>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</si>
  <si>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</si>
  <si>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</si>
  <si>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</si>
  <si>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</si>
  <si>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</si>
  <si>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</si>
  <si>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</si>
  <si>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</si>
  <si>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</si>
  <si>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</si>
  <si>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</si>
  <si>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</si>
  <si>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</si>
  <si>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</si>
  <si>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</si>
  <si>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</si>
  <si>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</si>
  <si>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</si>
  <si>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</si>
  <si>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</si>
  <si>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</si>
  <si>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</si>
  <si>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</si>
  <si>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</si>
  <si>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</si>
  <si>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</si>
  <si>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</si>
  <si>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</si>
  <si>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</si>
  <si>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</si>
  <si>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</si>
  <si>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</si>
  <si>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</si>
  <si>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</si>
  <si>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</si>
  <si>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</si>
  <si>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</si>
  <si>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</si>
  <si>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</si>
  <si>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</si>
  <si>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</si>
  <si>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</si>
  <si>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</si>
  <si>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</si>
  <si>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</si>
  <si>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</si>
  <si>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</si>
  <si>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</si>
  <si>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</si>
  <si>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</si>
  <si>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</si>
  <si>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</si>
  <si>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</si>
  <si>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</si>
  <si>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</si>
  <si>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</si>
  <si>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</si>
  <si>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</si>
  <si>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</si>
  <si>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</si>
  <si>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</si>
  <si>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</si>
  <si>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</si>
  <si>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</si>
  <si>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</si>
  <si>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</si>
  <si>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</si>
  <si>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</si>
  <si>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</si>
  <si>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</si>
  <si>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</si>
  <si>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</si>
  <si>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</si>
  <si>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</si>
  <si>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</si>
  <si>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</si>
  <si>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</si>
  <si>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</si>
  <si>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</si>
  <si>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</si>
  <si>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</si>
  <si>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</si>
  <si>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</si>
  <si>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</si>
  <si>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</si>
  <si>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</si>
  <si>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</si>
  <si>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</si>
  <si>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</si>
  <si>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</si>
  <si>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</si>
  <si>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</si>
  <si>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</si>
  <si>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</si>
  <si>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</si>
  <si>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</si>
  <si>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</si>
  <si>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</si>
  <si>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</si>
  <si>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</si>
  <si>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</si>
  <si>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</si>
  <si>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</si>
  <si>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</si>
  <si>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</si>
  <si>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</si>
  <si>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</si>
  <si>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</si>
  <si>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</si>
  <si>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</si>
  <si>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</si>
  <si>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</si>
  <si>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</si>
  <si>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</si>
  <si>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</si>
  <si>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</si>
  <si>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</si>
  <si>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</si>
  <si>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</si>
  <si>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</si>
  <si>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</si>
  <si>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</si>
  <si>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</si>
  <si>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</si>
  <si>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</si>
  <si>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</si>
  <si>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</si>
  <si>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</si>
  <si>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</si>
  <si>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</si>
  <si>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</si>
  <si>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</si>
  <si>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</si>
  <si>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</si>
  <si>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</si>
  <si>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</si>
  <si>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</si>
  <si>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</si>
  <si>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</si>
  <si>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</si>
  <si>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</si>
  <si>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</si>
  <si>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</si>
  <si>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</si>
  <si>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</si>
  <si>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</si>
  <si>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</si>
  <si>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</si>
  <si>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</si>
  <si>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</si>
  <si>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</si>
  <si>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</si>
  <si>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</si>
  <si>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</si>
  <si>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</si>
  <si>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</si>
  <si>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</si>
  <si>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</si>
  <si>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</si>
  <si>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</si>
  <si>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</si>
  <si>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</si>
  <si>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</si>
  <si>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</si>
  <si>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</si>
  <si>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</si>
  <si>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</si>
  <si>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</si>
  <si>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</si>
  <si>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</si>
  <si>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</si>
  <si>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</si>
  <si>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</si>
  <si>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</si>
  <si>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</si>
  <si>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</si>
  <si>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</si>
  <si>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</si>
  <si>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</si>
  <si>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</si>
  <si>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</si>
  <si>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</si>
  <si>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</si>
  <si>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</si>
  <si>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</si>
  <si>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</si>
  <si>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</si>
  <si>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</si>
  <si>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</si>
  <si>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</si>
  <si>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</si>
  <si>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</si>
  <si>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</si>
  <si>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</si>
  <si>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</si>
  <si>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</si>
  <si>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</si>
  <si>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</si>
  <si>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</si>
  <si>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</si>
  <si>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</si>
  <si>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</si>
  <si>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</si>
  <si>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</si>
  <si>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</si>
  <si>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</si>
  <si>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</si>
  <si>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</si>
  <si>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</si>
  <si>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</si>
  <si>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</si>
  <si>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</si>
  <si>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</si>
  <si>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</si>
  <si>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</si>
  <si>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</si>
  <si>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</si>
  <si>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</si>
  <si>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</si>
  <si>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</si>
  <si>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</si>
  <si>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</si>
  <si>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</si>
  <si>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</si>
  <si>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</si>
  <si>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</si>
  <si>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</si>
  <si>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</si>
  <si>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</si>
  <si>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</si>
  <si>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</si>
  <si>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</si>
  <si>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</si>
  <si>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</si>
  <si>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</si>
  <si>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</si>
  <si>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</si>
  <si>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</si>
  <si>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</si>
  <si>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</si>
  <si>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</si>
  <si>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</si>
  <si>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</si>
  <si>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</si>
  <si>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</si>
  <si>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</si>
  <si>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</si>
  <si>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</si>
  <si>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</si>
  <si>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</si>
  <si>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</si>
  <si>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</si>
  <si>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</si>
  <si>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</si>
  <si>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</si>
  <si>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</si>
  <si>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</si>
  <si>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</si>
  <si>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</si>
  <si>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</si>
  <si>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</si>
  <si>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</si>
  <si>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</si>
  <si>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</si>
  <si>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</si>
  <si>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</si>
  <si>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</si>
  <si>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</si>
  <si>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</si>
  <si>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</si>
  <si>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</si>
  <si>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</si>
  <si>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</si>
  <si>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</si>
  <si>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</si>
  <si>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</si>
  <si>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</si>
  <si>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</si>
  <si>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</si>
  <si>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</si>
  <si>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</si>
  <si>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</si>
  <si>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</si>
  <si>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</si>
  <si>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</si>
  <si>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</si>
  <si>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</si>
  <si>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</si>
  <si>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</si>
  <si>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</si>
  <si>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</si>
  <si>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</si>
  <si>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</si>
  <si>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</si>
  <si>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</si>
  <si>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</si>
  <si>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</si>
  <si>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</si>
  <si>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</si>
  <si>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</si>
  <si>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</si>
  <si>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</si>
  <si>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</si>
  <si>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</si>
  <si>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</si>
  <si>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</si>
  <si>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</si>
  <si>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</si>
  <si>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</si>
  <si>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</si>
  <si>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</si>
  <si>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</si>
  <si>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</si>
  <si>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</si>
  <si>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</si>
  <si>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</si>
  <si>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</si>
  <si>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</si>
  <si>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</si>
  <si>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</si>
  <si>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</si>
  <si>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</si>
  <si>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</si>
  <si>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</si>
  <si>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</si>
  <si>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</si>
  <si>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</si>
  <si>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</si>
  <si>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</si>
  <si>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</si>
  <si>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</si>
  <si>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</si>
  <si>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</si>
  <si>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</si>
  <si>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</si>
  <si>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</si>
  <si>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</si>
  <si>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</si>
  <si>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</si>
  <si>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</si>
  <si>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</si>
  <si>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</si>
  <si>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</si>
  <si>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</si>
  <si>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</si>
  <si>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</si>
  <si>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</si>
  <si>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</si>
  <si>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</si>
  <si>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</si>
  <si>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</si>
  <si>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</si>
  <si>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</si>
  <si>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</si>
  <si>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</si>
  <si>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</si>
  <si>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</si>
  <si>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</si>
  <si>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</si>
  <si>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</si>
  <si>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</si>
  <si>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</si>
  <si>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</si>
  <si>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</si>
  <si>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</si>
  <si>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</si>
  <si>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</si>
  <si>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</si>
  <si>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</si>
  <si>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</si>
  <si>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</si>
  <si>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</si>
  <si>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</si>
  <si>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</si>
  <si>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</si>
  <si>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</si>
  <si>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</si>
  <si>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</si>
  <si>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</si>
  <si>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</si>
  <si>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</si>
  <si>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</si>
  <si>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</si>
  <si>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</si>
  <si>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</si>
  <si>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</si>
  <si>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</si>
  <si>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</si>
  <si>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</si>
  <si>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</si>
  <si>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</si>
  <si>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</si>
  <si>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</si>
  <si>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</si>
  <si>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</si>
  <si>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</si>
  <si>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</si>
  <si>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</si>
  <si>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</si>
  <si>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</si>
  <si>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</si>
  <si>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</si>
  <si>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</si>
  <si>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</si>
  <si>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</si>
  <si>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</si>
  <si>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</si>
  <si>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</si>
  <si>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</si>
  <si>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</si>
  <si>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</si>
  <si>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</si>
  <si>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</si>
  <si>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</si>
  <si>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</si>
  <si>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</si>
  <si>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</si>
  <si>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</si>
  <si>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</si>
  <si>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</si>
  <si>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</si>
  <si>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</si>
  <si>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</si>
  <si>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</si>
  <si>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</si>
  <si>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</si>
  <si>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</si>
  <si>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</si>
  <si>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</si>
  <si>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</si>
  <si>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</si>
  <si>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</si>
  <si>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</si>
  <si>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</si>
  <si>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</si>
  <si>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</si>
  <si>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</si>
  <si>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</si>
  <si>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</si>
  <si>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</si>
  <si>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</si>
  <si>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</si>
  <si>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</si>
  <si>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</si>
  <si>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</si>
  <si>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</si>
  <si>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</si>
  <si>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</si>
  <si>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</si>
  <si>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</si>
  <si>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</si>
  <si>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</si>
  <si>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</si>
  <si>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</si>
  <si>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</si>
  <si>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</si>
  <si>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</si>
  <si>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</si>
  <si>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</si>
  <si>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</si>
  <si>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</si>
  <si>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</si>
  <si>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</si>
  <si>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</si>
  <si>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</si>
  <si>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</si>
  <si>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</si>
  <si>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</si>
  <si>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</si>
  <si>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</si>
  <si>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</si>
  <si>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</si>
  <si>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</si>
  <si>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</si>
  <si>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</si>
  <si>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</si>
  <si>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</si>
  <si>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</si>
  <si>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</si>
  <si>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</si>
  <si>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</si>
  <si>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</si>
  <si>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</si>
  <si>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</si>
  <si>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Transportation-Pupil Transportation Services-Purchased Services</t>
  </si>
  <si>
    <t>Ed-Data Processing Services-Purchased Services</t>
  </si>
  <si>
    <t>40-2550-300</t>
  </si>
  <si>
    <t>10-2660-300</t>
  </si>
  <si>
    <t>Illinois Central School Bus</t>
  </si>
  <si>
    <t>Brecht's Database</t>
  </si>
  <si>
    <t>Williamson</t>
  </si>
  <si>
    <t>411 South Court Street</t>
  </si>
  <si>
    <t>Marion</t>
  </si>
  <si>
    <t>jami.hodge@wces.com</t>
  </si>
  <si>
    <t>Jami Hodge</t>
  </si>
  <si>
    <t>618-993-2138</t>
  </si>
  <si>
    <t>618-997-3950</t>
  </si>
  <si>
    <t>Jalayne M Luckett, CPA, PC</t>
  </si>
  <si>
    <t>P.O. Box 1728</t>
  </si>
  <si>
    <t>IL</t>
  </si>
  <si>
    <t>618-993-2647</t>
  </si>
  <si>
    <t>618-993-3981</t>
  </si>
  <si>
    <t>066-003689</t>
  </si>
  <si>
    <t>jluckett@ghscpa.com</t>
  </si>
  <si>
    <t>Preschool non-public property share</t>
  </si>
  <si>
    <t>IDEA Flow-through non-public property share</t>
  </si>
  <si>
    <t>US Department of Education passed through the Illinois State Board of Education:</t>
  </si>
  <si>
    <t>(M) Special Education - Preschool - Flow-through</t>
  </si>
  <si>
    <t>84.173A</t>
  </si>
  <si>
    <t>4600-17</t>
  </si>
  <si>
    <t>4600-18</t>
  </si>
  <si>
    <t>(M) Special Education - IDEA - Flow-through</t>
  </si>
  <si>
    <t>84.027A</t>
  </si>
  <si>
    <t>4620-17</t>
  </si>
  <si>
    <t>4620-18</t>
  </si>
  <si>
    <t>Total ISBE Funding</t>
  </si>
  <si>
    <t>US Department of Education passed through the Illinois Department of Human Services:</t>
  </si>
  <si>
    <t>Department of Rehabilitation Services</t>
  </si>
  <si>
    <t>46CVF00023</t>
  </si>
  <si>
    <t>46CWF00023</t>
  </si>
  <si>
    <t>US Department of Health and Human Services passed through the State of Illinois Healthcare and Family Services:</t>
  </si>
  <si>
    <t>Title XIX - Medical Assistance Program</t>
  </si>
  <si>
    <t>4991-17</t>
  </si>
  <si>
    <t>4991-18</t>
  </si>
  <si>
    <t>N/A</t>
  </si>
  <si>
    <t>US Department of Health and Human Services passed through the State of Illinois Healthcare and Family Services and Williamson County Schools:</t>
  </si>
  <si>
    <t>Total Federal Financial Assistance</t>
  </si>
  <si>
    <t>IDEA Flow-through receivable 06/30/18</t>
  </si>
  <si>
    <t>IDEA Preschool receivable 06/30/18</t>
  </si>
  <si>
    <t>Department of Rehabilitation Services receivable 06/30/18</t>
  </si>
  <si>
    <t>X</t>
  </si>
  <si>
    <t>Totals by CFDA Number:</t>
  </si>
  <si>
    <t>None</t>
  </si>
  <si>
    <t>Unmodified</t>
  </si>
  <si>
    <t>84.027A, 84.173A</t>
  </si>
  <si>
    <t>Special Education Cluster (IDEA)</t>
  </si>
  <si>
    <t>Other Support Services - school admin: Southern Illinois Health Insurance Trust $67,882; Cell Phone $866</t>
  </si>
  <si>
    <t>ATLAS CPAs &amp; Advisors LLC</t>
  </si>
  <si>
    <t>ATLAS CPAs &amp; Advisors</t>
  </si>
  <si>
    <t>Total Federal Financia Assistance</t>
  </si>
  <si>
    <r>
      <t xml:space="preserve">The accompanying Schedule of Expenditures of Federal Awards includes the federal grant activity of </t>
    </r>
    <r>
      <rPr>
        <b/>
        <sz val="9"/>
        <rFont val="Calibri"/>
        <family val="2"/>
        <scheme val="minor"/>
      </rPr>
      <t>Williamson County Special Education District</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</si>
  <si>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Williamson County Special Education District</t>
    </r>
    <r>
      <rPr>
        <sz val="9"/>
        <rFont val="Calibri"/>
        <family val="2"/>
        <scheme val="minor"/>
      </rPr>
      <t xml:space="preserve"> provided federal awards to subrecipients as follows:</t>
    </r>
  </si>
  <si>
    <t>Lack of staff to prepare and review financial reporting.</t>
  </si>
  <si>
    <t>Financial reporting controls are limited due to small staff size.</t>
  </si>
  <si>
    <t>There is currently only one person performing all bookkeeping functions.</t>
  </si>
  <si>
    <t>Lack of internal control over financial reporting.</t>
  </si>
  <si>
    <t>The causes are small staff size and limited resources.</t>
  </si>
  <si>
    <t>Consideration should be given to implementing more internal controls.</t>
  </si>
  <si>
    <t>That is not practical due to staff size and finances.</t>
  </si>
  <si>
    <t>Lack of segregation of duties due to limited staff.</t>
  </si>
  <si>
    <t>Internal controls are limited due to small staff size.</t>
  </si>
  <si>
    <t>Lack of segregation of duties.</t>
  </si>
  <si>
    <t>Other Local Revenues, Account 1999:  Refunds and Reimbursement $184,058 (Ed)</t>
  </si>
  <si>
    <t>Other Restricted Revenue from Federal Sources:  Department of Human Services $60,858</t>
  </si>
  <si>
    <t>Other Short Term Borrowings: Grant Anticipation Loans $503,500</t>
  </si>
  <si>
    <t>Department of Rehabilitation Services receivable 06/30/17</t>
  </si>
  <si>
    <r>
      <t xml:space="preserve">The following amounts were expended in the form of non-cash assistance by </t>
    </r>
    <r>
      <rPr>
        <b/>
        <sz val="9"/>
        <rFont val="Calibri"/>
        <family val="2"/>
        <scheme val="minor"/>
      </rPr>
      <t xml:space="preserve">Williamson County Special Education District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</si>
  <si>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10/9/18 except as to note 6, which is as of November 29, 2018.</t>
  </si>
  <si>
    <t>Williamson Co SpEd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</si>
</sst>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5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63" fillId="0" borderId="0" xfId="3" applyFont="1" applyBorder="1" applyAlignment="1" applyProtection="1"/>
    <xf numFmtId="0" fontId="63" fillId="0" borderId="40" xfId="3" applyFont="1" applyBorder="1" applyAlignment="1" applyProtection="1"/>
    <xf numFmtId="0" fontId="63" fillId="0" borderId="5" xfId="3" applyFont="1" applyBorder="1" applyAlignment="1" applyProtection="1">
      <alignment horizontal="left" indent="1"/>
    </xf>
    <xf numFmtId="0" fontId="52" fillId="0" borderId="0" xfId="3" applyFont="1" applyBorder="1" applyAlignment="1" applyProtection="1">
      <alignment horizontal="center" vertical="center"/>
    </xf>
    <xf numFmtId="0" fontId="55" fillId="0" borderId="0" xfId="3" applyFont="1" applyProtection="1"/>
    <xf numFmtId="0" fontId="55" fillId="0" borderId="0" xfId="3" applyFont="1" applyBorder="1" applyProtection="1"/>
    <xf numFmtId="0" fontId="55" fillId="0" borderId="0" xfId="3" applyFont="1" applyAlignment="1" applyProtection="1">
      <alignment horizontal="center"/>
    </xf>
    <xf numFmtId="0" fontId="63" fillId="0" borderId="0" xfId="3" applyFont="1" applyProtection="1"/>
    <xf numFmtId="0" fontId="53" fillId="0" borderId="0" xfId="3" applyFont="1" applyProtection="1"/>
    <xf numFmtId="0" fontId="63" fillId="0" borderId="0" xfId="3" applyFont="1" applyBorder="1" applyProtection="1"/>
    <xf numFmtId="0" fontId="55" fillId="0" borderId="78" xfId="3" applyFont="1" applyBorder="1" applyProtection="1"/>
    <xf numFmtId="0" fontId="60" fillId="0" borderId="0" xfId="3" applyFont="1" applyProtection="1"/>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7"/>
    <cellStyle name="Normal 3 2 4" xfId="20"/>
    <cellStyle name="Normal 3 3" xfId="26"/>
    <cellStyle name="Normal 3 4" xfId="19"/>
    <cellStyle name="Normal 4" xfId="16"/>
    <cellStyle name="Normal 4 2" xfId="28"/>
    <cellStyle name="Normal 4 3" xfId="21"/>
    <cellStyle name="Normal 5" xfId="17"/>
    <cellStyle name="Normal 5 2" xfId="25"/>
    <cellStyle name="Normal 5 3" xfId="22"/>
    <cellStyle name="Normal 6" xfId="24"/>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1454728</xdr:colOff>
          <xdr:row>3</xdr:row>
          <xdr:rowOff>155864</xdr:rowOff>
        </xdr:from>
        <xdr:to>
          <xdr:col>1</xdr:col>
          <xdr:colOff>2366530</xdr:colOff>
          <xdr:row>8</xdr:row>
          <xdr:rowOff>115166</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2563091</xdr:colOff>
          <xdr:row>3</xdr:row>
          <xdr:rowOff>129887</xdr:rowOff>
        </xdr:from>
        <xdr:to>
          <xdr:col>1</xdr:col>
          <xdr:colOff>3474027</xdr:colOff>
          <xdr:row>8</xdr:row>
          <xdr:rowOff>89189</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3CBE740-664D-47C3-B76B-70A60D317E9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B3C53A7B-D19F-446B-A246-3892433C8E6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81" t="s">
        <v>425</v>
      </c>
      <c r="J1" s="2082"/>
      <c r="K1" s="2082"/>
      <c r="L1" s="2082"/>
      <c r="M1" s="2082"/>
      <c r="N1" s="2082"/>
      <c r="O1" s="2082"/>
      <c r="P1" s="2082"/>
      <c r="Q1" s="2082"/>
      <c r="R1" s="2082"/>
      <c r="S1" s="2082"/>
    </row>
    <row r="2" spans="1:28" ht="12" customHeight="1" x14ac:dyDescent="0.2">
      <c r="A2" s="47" t="s">
        <v>1683</v>
      </c>
      <c r="D2" s="48"/>
      <c r="I2" s="2083" t="s">
        <v>1036</v>
      </c>
      <c r="J2" s="2082"/>
      <c r="K2" s="2082"/>
      <c r="L2" s="2082"/>
      <c r="M2" s="2082"/>
      <c r="N2" s="2082"/>
      <c r="O2" s="2082"/>
      <c r="P2" s="2082"/>
      <c r="Q2" s="2082"/>
      <c r="R2" s="2082"/>
      <c r="S2" s="2082"/>
    </row>
    <row r="3" spans="1:28" ht="12" customHeight="1" x14ac:dyDescent="0.2">
      <c r="A3" s="155" t="s">
        <v>1684</v>
      </c>
      <c r="B3" s="156"/>
      <c r="C3" s="156"/>
      <c r="D3" s="157"/>
      <c r="I3" s="2083" t="s">
        <v>54</v>
      </c>
      <c r="J3" s="2082"/>
      <c r="K3" s="2082"/>
      <c r="L3" s="2082"/>
      <c r="M3" s="2082"/>
      <c r="N3" s="2082"/>
      <c r="O3" s="2082"/>
      <c r="P3" s="2082"/>
      <c r="Q3" s="2082"/>
      <c r="R3" s="2082"/>
      <c r="S3" s="2082"/>
    </row>
    <row r="4" spans="1:28" ht="12" customHeight="1" x14ac:dyDescent="0.2">
      <c r="A4" s="37"/>
      <c r="I4" s="2083" t="s">
        <v>545</v>
      </c>
      <c r="J4" s="2082"/>
      <c r="K4" s="2082"/>
      <c r="L4" s="2082"/>
      <c r="M4" s="2082"/>
      <c r="N4" s="2082"/>
      <c r="O4" s="2082"/>
      <c r="P4" s="2082"/>
      <c r="Q4" s="2082"/>
      <c r="R4" s="2082"/>
      <c r="S4" s="2082"/>
    </row>
    <row r="5" spans="1:28" ht="14.1" customHeight="1" x14ac:dyDescent="0.2">
      <c r="B5" s="104"/>
      <c r="C5" s="26" t="s">
        <v>966</v>
      </c>
      <c r="D5" s="84"/>
      <c r="E5" s="84"/>
      <c r="H5" s="38"/>
      <c r="I5" s="2090" t="s">
        <v>701</v>
      </c>
      <c r="J5" s="2035"/>
      <c r="K5" s="2035"/>
      <c r="L5" s="2035"/>
      <c r="M5" s="2035"/>
      <c r="N5" s="2035"/>
      <c r="O5" s="2035"/>
      <c r="P5" s="2035"/>
      <c r="Q5" s="2035"/>
      <c r="R5" s="2035"/>
      <c r="S5" s="2035"/>
    </row>
    <row r="6" spans="1:28" ht="14.1" customHeight="1" x14ac:dyDescent="0.2">
      <c r="B6" s="104" t="s">
        <v>2072</v>
      </c>
      <c r="C6" s="26" t="s">
        <v>967</v>
      </c>
      <c r="D6" s="84"/>
      <c r="E6" s="84"/>
      <c r="I6" s="2089" t="s">
        <v>938</v>
      </c>
      <c r="J6" s="2035"/>
      <c r="K6" s="2035"/>
      <c r="L6" s="2035"/>
      <c r="M6" s="2035"/>
      <c r="N6" s="2035"/>
      <c r="O6" s="2035"/>
      <c r="P6" s="2035"/>
      <c r="Q6" s="2035"/>
      <c r="R6" s="2035"/>
      <c r="S6" s="2035"/>
    </row>
    <row r="7" spans="1:28" ht="12.2" customHeight="1" x14ac:dyDescent="0.2">
      <c r="I7" s="2084">
        <v>43281</v>
      </c>
      <c r="J7" s="2085"/>
      <c r="K7" s="2085"/>
      <c r="L7" s="2085"/>
      <c r="M7" s="2085"/>
      <c r="N7" s="2085"/>
      <c r="O7" s="2085"/>
      <c r="P7" s="2085"/>
      <c r="Q7" s="2085"/>
      <c r="R7" s="2085"/>
      <c r="S7" s="20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6" t="s">
        <v>695</v>
      </c>
      <c r="J9" s="2087"/>
      <c r="K9" s="2087"/>
      <c r="L9" s="2087"/>
      <c r="M9" s="2087"/>
      <c r="N9" s="2087"/>
      <c r="O9" s="2087"/>
      <c r="P9" s="2087"/>
      <c r="Q9" s="2087"/>
      <c r="R9" s="2087"/>
      <c r="S9" s="2088"/>
      <c r="T9" s="2031" t="s">
        <v>554</v>
      </c>
      <c r="U9" s="2032"/>
      <c r="V9" s="2032"/>
      <c r="W9" s="2032"/>
      <c r="X9" s="2032"/>
      <c r="Y9" s="2032"/>
      <c r="Z9" s="2032"/>
      <c r="AA9" s="2033"/>
    </row>
    <row r="10" spans="1:28" ht="13.5" customHeight="1" x14ac:dyDescent="0.2">
      <c r="A10" s="2040" t="s">
        <v>696</v>
      </c>
      <c r="B10" s="2041"/>
      <c r="C10" s="2041"/>
      <c r="D10" s="2041"/>
      <c r="E10" s="2041"/>
      <c r="F10" s="2041"/>
      <c r="G10" s="2041"/>
      <c r="H10" s="2042"/>
      <c r="I10" s="29"/>
      <c r="J10" s="30"/>
      <c r="K10" s="28"/>
      <c r="R10" s="30"/>
      <c r="S10" s="30"/>
      <c r="T10" s="2034"/>
      <c r="U10" s="2035"/>
      <c r="V10" s="2035"/>
      <c r="W10" s="2035"/>
      <c r="X10" s="2035"/>
      <c r="Y10" s="2035"/>
      <c r="Z10" s="2035"/>
      <c r="AA10" s="2036"/>
    </row>
    <row r="11" spans="1:28" ht="14.25" customHeight="1" x14ac:dyDescent="0.2">
      <c r="A11" s="2043" t="s">
        <v>1012</v>
      </c>
      <c r="B11" s="2044"/>
      <c r="C11" s="2044"/>
      <c r="D11" s="2044"/>
      <c r="E11" s="2044"/>
      <c r="F11" s="2044"/>
      <c r="G11" s="2044"/>
      <c r="H11" s="2045"/>
      <c r="I11" s="27"/>
      <c r="J11" s="74"/>
      <c r="K11" s="27"/>
      <c r="O11" s="148"/>
      <c r="P11" s="100" t="s">
        <v>210</v>
      </c>
      <c r="Q11" s="30"/>
      <c r="R11" s="28"/>
      <c r="S11" s="27"/>
      <c r="T11" s="2037"/>
      <c r="U11" s="2038"/>
      <c r="V11" s="2038"/>
      <c r="W11" s="2038"/>
      <c r="X11" s="2038"/>
      <c r="Y11" s="2038"/>
      <c r="Z11" s="2038"/>
      <c r="AA11" s="2039"/>
    </row>
    <row r="12" spans="1:28" ht="13.5" customHeight="1" x14ac:dyDescent="0.2">
      <c r="A12" s="85" t="s">
        <v>982</v>
      </c>
      <c r="B12" s="76"/>
      <c r="C12" s="76"/>
      <c r="D12" s="76"/>
      <c r="E12" s="76"/>
      <c r="F12" s="76"/>
      <c r="G12" s="76"/>
      <c r="H12" s="53"/>
      <c r="I12" s="29"/>
      <c r="J12" s="30"/>
      <c r="K12" s="28"/>
      <c r="O12" s="149" t="s">
        <v>2072</v>
      </c>
      <c r="P12" s="100" t="s">
        <v>211</v>
      </c>
      <c r="Q12" s="74"/>
      <c r="R12" s="30"/>
      <c r="S12" s="30"/>
      <c r="T12" s="85" t="s">
        <v>283</v>
      </c>
      <c r="U12" s="51"/>
      <c r="V12" s="51"/>
      <c r="W12" s="51"/>
      <c r="X12" s="51"/>
      <c r="Y12" s="45"/>
      <c r="Z12" s="45"/>
      <c r="AA12" s="46"/>
    </row>
    <row r="13" spans="1:28" ht="13.5" customHeight="1" x14ac:dyDescent="0.2">
      <c r="A13" s="2051">
        <v>21100801060</v>
      </c>
      <c r="B13" s="2052"/>
      <c r="C13" s="2052"/>
      <c r="D13" s="2052"/>
      <c r="E13" s="2052"/>
      <c r="F13" s="2052"/>
      <c r="G13" s="2052"/>
      <c r="H13" s="2053"/>
      <c r="I13" s="31"/>
      <c r="J13" s="30"/>
      <c r="K13" s="28"/>
      <c r="L13" s="30"/>
      <c r="M13" s="30"/>
      <c r="N13" s="30"/>
      <c r="O13" s="30"/>
      <c r="P13" s="30"/>
      <c r="Q13" s="30"/>
      <c r="R13" s="30"/>
      <c r="S13" s="30"/>
      <c r="T13" s="2056" t="s">
        <v>2126</v>
      </c>
      <c r="U13" s="2057"/>
      <c r="V13" s="2057"/>
      <c r="W13" s="2057"/>
      <c r="X13" s="2057"/>
      <c r="Y13" s="2058"/>
      <c r="Z13" s="2058"/>
      <c r="AA13" s="205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9" t="s">
        <v>2079</v>
      </c>
      <c r="B15" s="2054"/>
      <c r="C15" s="2054"/>
      <c r="D15" s="2054"/>
      <c r="E15" s="2054"/>
      <c r="F15" s="2054"/>
      <c r="G15" s="2054"/>
      <c r="H15" s="2055"/>
      <c r="T15" s="2017" t="s">
        <v>2086</v>
      </c>
      <c r="U15" s="2018"/>
      <c r="V15" s="2018"/>
      <c r="W15" s="2018"/>
      <c r="X15" s="2018"/>
      <c r="Y15" s="2060"/>
      <c r="Z15" s="2060"/>
      <c r="AA15" s="206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9" t="s">
        <v>2147</v>
      </c>
      <c r="B17" s="2079"/>
      <c r="C17" s="2079"/>
      <c r="D17" s="2079"/>
      <c r="E17" s="2079"/>
      <c r="F17" s="2079"/>
      <c r="G17" s="2079"/>
      <c r="H17" s="2080"/>
      <c r="T17" s="2066" t="s">
        <v>2087</v>
      </c>
      <c r="U17" s="2067"/>
      <c r="V17" s="2067"/>
      <c r="W17" s="2067"/>
      <c r="X17" s="2067"/>
      <c r="Y17" s="2067"/>
      <c r="Z17" s="2067"/>
      <c r="AA17" s="2068"/>
    </row>
    <row r="18" spans="1:27" ht="13.5" customHeight="1" x14ac:dyDescent="0.2">
      <c r="A18" s="85" t="s">
        <v>551</v>
      </c>
      <c r="B18" s="76"/>
      <c r="C18" s="72"/>
      <c r="D18" s="76"/>
      <c r="E18" s="76"/>
      <c r="F18" s="76"/>
      <c r="G18" s="76"/>
      <c r="H18" s="56"/>
      <c r="I18" s="2076" t="s">
        <v>697</v>
      </c>
      <c r="J18" s="2077"/>
      <c r="K18" s="2077"/>
      <c r="L18" s="2077"/>
      <c r="M18" s="2077"/>
      <c r="N18" s="2077"/>
      <c r="O18" s="2077"/>
      <c r="P18" s="2077"/>
      <c r="Q18" s="2077"/>
      <c r="R18" s="2077"/>
      <c r="S18" s="2078"/>
      <c r="T18" s="85" t="s">
        <v>735</v>
      </c>
      <c r="U18" s="51"/>
      <c r="V18" s="72"/>
      <c r="W18" s="50"/>
      <c r="X18" s="85" t="s">
        <v>284</v>
      </c>
      <c r="Y18" s="81"/>
      <c r="Z18" s="159" t="s">
        <v>698</v>
      </c>
      <c r="AA18" s="46"/>
    </row>
    <row r="19" spans="1:27" ht="13.5" customHeight="1" x14ac:dyDescent="0.2">
      <c r="A19" s="2049" t="s">
        <v>2080</v>
      </c>
      <c r="B19" s="2050"/>
      <c r="C19" s="2050"/>
      <c r="D19" s="2050"/>
      <c r="E19" s="2050"/>
      <c r="F19" s="2050"/>
      <c r="G19" s="2050"/>
      <c r="H19" s="2048"/>
      <c r="I19" s="30"/>
      <c r="J19" s="99"/>
      <c r="K19" s="40"/>
      <c r="L19" s="38"/>
      <c r="M19" s="112" t="s">
        <v>333</v>
      </c>
      <c r="P19" s="27"/>
      <c r="Q19" s="27"/>
      <c r="R19" s="27"/>
      <c r="S19" s="31"/>
      <c r="T19" s="2049" t="s">
        <v>2081</v>
      </c>
      <c r="U19" s="2047"/>
      <c r="V19" s="2047"/>
      <c r="W19" s="2048"/>
      <c r="X19" s="2064" t="s">
        <v>2088</v>
      </c>
      <c r="Y19" s="2065"/>
      <c r="Z19" s="2062">
        <v>62959</v>
      </c>
      <c r="AA19" s="206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6" t="s">
        <v>2081</v>
      </c>
      <c r="B21" s="2047"/>
      <c r="C21" s="2047"/>
      <c r="D21" s="2047"/>
      <c r="E21" s="2047"/>
      <c r="F21" s="2047"/>
      <c r="G21" s="2047"/>
      <c r="H21" s="2048"/>
      <c r="I21" s="2072" t="s">
        <v>699</v>
      </c>
      <c r="J21" s="2035"/>
      <c r="K21" s="2035"/>
      <c r="L21" s="2035"/>
      <c r="M21" s="2035"/>
      <c r="N21" s="2035"/>
      <c r="O21" s="2035"/>
      <c r="P21" s="2035"/>
      <c r="Q21" s="2035"/>
      <c r="R21" s="2035"/>
      <c r="S21" s="2036"/>
      <c r="T21" s="2014" t="s">
        <v>2089</v>
      </c>
      <c r="U21" s="2015"/>
      <c r="V21" s="2015"/>
      <c r="W21" s="2015"/>
      <c r="X21" s="2028" t="s">
        <v>2090</v>
      </c>
      <c r="Y21" s="2029"/>
      <c r="Z21" s="2029"/>
      <c r="AA21" s="2030"/>
    </row>
    <row r="22" spans="1:27" ht="13.5" customHeight="1" x14ac:dyDescent="0.2">
      <c r="A22" s="87" t="s">
        <v>552</v>
      </c>
      <c r="B22" s="59"/>
      <c r="C22" s="59"/>
      <c r="D22" s="59"/>
      <c r="E22" s="59"/>
      <c r="F22" s="59"/>
      <c r="G22" s="59"/>
      <c r="H22" s="60"/>
      <c r="I22" s="2073" t="s">
        <v>1504</v>
      </c>
      <c r="J22" s="2074"/>
      <c r="K22" s="2074"/>
      <c r="L22" s="2074"/>
      <c r="M22" s="2074"/>
      <c r="N22" s="2074"/>
      <c r="O22" s="2074"/>
      <c r="P22" s="2074"/>
      <c r="Q22" s="2074"/>
      <c r="R22" s="2074"/>
      <c r="S22" s="2075"/>
      <c r="T22" s="85" t="s">
        <v>1595</v>
      </c>
      <c r="U22" s="51"/>
      <c r="V22" s="72"/>
      <c r="W22" s="51"/>
      <c r="X22" s="160" t="s">
        <v>1385</v>
      </c>
      <c r="Z22" s="45"/>
      <c r="AA22" s="46"/>
    </row>
    <row r="23" spans="1:27" ht="13.5" customHeight="1" x14ac:dyDescent="0.2">
      <c r="A23" s="2069" t="s">
        <v>2082</v>
      </c>
      <c r="B23" s="2070"/>
      <c r="C23" s="2070"/>
      <c r="D23" s="2070"/>
      <c r="E23" s="2070"/>
      <c r="F23" s="2070"/>
      <c r="G23" s="2070"/>
      <c r="H23" s="2071"/>
      <c r="T23" s="2009" t="s">
        <v>2091</v>
      </c>
      <c r="U23" s="2010"/>
      <c r="V23" s="2010"/>
      <c r="W23" s="2010"/>
      <c r="X23" s="2025">
        <v>43434</v>
      </c>
      <c r="Y23" s="2026"/>
      <c r="Z23" s="2026"/>
      <c r="AA23" s="2027"/>
    </row>
    <row r="24" spans="1:27" ht="14.1" customHeight="1" x14ac:dyDescent="0.2">
      <c r="A24" s="88" t="s">
        <v>698</v>
      </c>
      <c r="B24" s="49"/>
      <c r="C24" s="49"/>
      <c r="D24" s="49"/>
      <c r="E24" s="49"/>
      <c r="F24" s="49"/>
      <c r="G24" s="49"/>
      <c r="H24" s="61"/>
      <c r="J24" s="2111" t="str">
        <f>IF(B5="x",IF(AUDITCHECK!D29="AFR form Incomplete.","",IF(AUDITCHECK!D29="Deficit reduction plan is required.","School District must complete a deficit reduction plan in the 2018-2019 Budget",)),"")</f>
        <v/>
      </c>
      <c r="K24" s="2111"/>
      <c r="L24" s="2111"/>
      <c r="M24" s="2111"/>
      <c r="N24" s="2111"/>
      <c r="O24" s="2111"/>
      <c r="P24" s="2111"/>
      <c r="Q24" s="2111"/>
      <c r="R24" s="2111"/>
      <c r="S24" s="2112"/>
      <c r="T24" s="105" t="s">
        <v>552</v>
      </c>
      <c r="U24" s="106"/>
      <c r="V24" s="106"/>
      <c r="W24" s="106"/>
      <c r="X24" s="107"/>
      <c r="Y24" s="107"/>
      <c r="Z24" s="107"/>
      <c r="AA24" s="108"/>
    </row>
    <row r="25" spans="1:27" ht="14.1" customHeight="1" x14ac:dyDescent="0.2">
      <c r="A25" s="2046">
        <v>62959</v>
      </c>
      <c r="B25" s="2047"/>
      <c r="C25" s="2047"/>
      <c r="D25" s="2047"/>
      <c r="E25" s="2047"/>
      <c r="F25" s="2047"/>
      <c r="G25" s="2047"/>
      <c r="H25" s="2048"/>
      <c r="I25" s="113"/>
      <c r="J25" s="2113"/>
      <c r="K25" s="2113"/>
      <c r="L25" s="2113"/>
      <c r="M25" s="2113"/>
      <c r="N25" s="2113"/>
      <c r="O25" s="2113"/>
      <c r="P25" s="2113"/>
      <c r="Q25" s="2113"/>
      <c r="R25" s="2113"/>
      <c r="S25" s="2114"/>
      <c r="T25" s="2006" t="s">
        <v>2092</v>
      </c>
      <c r="U25" s="2007"/>
      <c r="V25" s="2007"/>
      <c r="W25" s="2007"/>
      <c r="X25" s="2007"/>
      <c r="Y25" s="2007"/>
      <c r="Z25" s="2007"/>
      <c r="AA25" s="200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04" t="s">
        <v>1590</v>
      </c>
      <c r="J27" s="2077"/>
      <c r="K27" s="2077"/>
      <c r="L27" s="2077"/>
      <c r="M27" s="2077"/>
      <c r="N27" s="2077"/>
      <c r="O27" s="2077"/>
      <c r="P27" s="2077"/>
      <c r="Q27" s="2077"/>
      <c r="R27" s="2077"/>
      <c r="S27" s="20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2072</v>
      </c>
      <c r="F29" s="141" t="s">
        <v>1383</v>
      </c>
      <c r="G29" s="114"/>
      <c r="I29" s="54"/>
      <c r="J29" s="148" t="s">
        <v>2072</v>
      </c>
      <c r="K29" s="28" t="s">
        <v>597</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2072</v>
      </c>
      <c r="K30" s="28" t="s">
        <v>597</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2072</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50"/>
      <c r="Q35" s="2047"/>
      <c r="R35" s="20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9" t="s">
        <v>2083</v>
      </c>
      <c r="B38" s="2079"/>
      <c r="C38" s="2079"/>
      <c r="D38" s="2079"/>
      <c r="E38" s="2079"/>
      <c r="F38" s="2047"/>
      <c r="G38" s="2047"/>
      <c r="H38" s="2048"/>
      <c r="I38" s="2098"/>
      <c r="J38" s="2018"/>
      <c r="K38" s="2018"/>
      <c r="L38" s="2018"/>
      <c r="M38" s="2018"/>
      <c r="N38" s="2018"/>
      <c r="O38" s="2018"/>
      <c r="P38" s="2019"/>
      <c r="Q38" s="2019"/>
      <c r="R38" s="2019"/>
      <c r="S38" s="2020"/>
      <c r="T38" s="2017"/>
      <c r="U38" s="2018"/>
      <c r="V38" s="2018"/>
      <c r="W38" s="2018"/>
      <c r="X38" s="2019"/>
      <c r="Y38" s="2019"/>
      <c r="Z38" s="2019"/>
      <c r="AA38" s="2020"/>
    </row>
    <row r="39" spans="1:27" ht="12" customHeight="1" x14ac:dyDescent="0.2">
      <c r="A39" s="2102" t="s">
        <v>552</v>
      </c>
      <c r="B39" s="2103"/>
      <c r="C39" s="72"/>
      <c r="D39" s="69"/>
      <c r="E39" s="69"/>
      <c r="F39" s="79"/>
      <c r="G39" s="69"/>
      <c r="H39" s="56"/>
      <c r="I39" s="2102" t="s">
        <v>552</v>
      </c>
      <c r="J39" s="2103"/>
      <c r="K39" s="2103"/>
      <c r="L39" s="2103"/>
      <c r="M39" s="2103"/>
      <c r="N39" s="67"/>
      <c r="O39" s="72"/>
      <c r="P39" s="72"/>
      <c r="Q39" s="78"/>
      <c r="R39" s="72"/>
      <c r="S39" s="56"/>
      <c r="T39" s="72" t="s">
        <v>552</v>
      </c>
      <c r="U39" s="51"/>
      <c r="V39" s="72"/>
      <c r="W39" s="50"/>
      <c r="X39" s="78"/>
      <c r="Y39" s="45"/>
      <c r="Z39" s="45"/>
      <c r="AA39" s="46"/>
    </row>
    <row r="40" spans="1:27" ht="13.5" customHeight="1" x14ac:dyDescent="0.2">
      <c r="A40" s="2105" t="s">
        <v>2082</v>
      </c>
      <c r="B40" s="2106"/>
      <c r="C40" s="2107"/>
      <c r="D40" s="2107"/>
      <c r="E40" s="2107"/>
      <c r="F40" s="2108"/>
      <c r="G40" s="2108"/>
      <c r="H40" s="2109"/>
      <c r="I40" s="2021"/>
      <c r="J40" s="2023"/>
      <c r="K40" s="2023"/>
      <c r="L40" s="2023"/>
      <c r="M40" s="2023"/>
      <c r="N40" s="2023"/>
      <c r="O40" s="2023"/>
      <c r="P40" s="2023"/>
      <c r="Q40" s="2023"/>
      <c r="R40" s="2023"/>
      <c r="S40" s="2024"/>
      <c r="T40" s="2021"/>
      <c r="U40" s="2022"/>
      <c r="V40" s="2023"/>
      <c r="W40" s="2023"/>
      <c r="X40" s="2023"/>
      <c r="Y40" s="2023"/>
      <c r="Z40" s="2023"/>
      <c r="AA40" s="202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95" t="s">
        <v>2084</v>
      </c>
      <c r="B42" s="2096"/>
      <c r="C42" s="2097"/>
      <c r="D42" s="2110" t="s">
        <v>2085</v>
      </c>
      <c r="E42" s="2096"/>
      <c r="F42" s="2096"/>
      <c r="G42" s="2096"/>
      <c r="H42" s="2097"/>
      <c r="I42" s="2016"/>
      <c r="J42" s="2012"/>
      <c r="K42" s="2012"/>
      <c r="L42" s="2012"/>
      <c r="M42" s="2012"/>
      <c r="N42" s="2012"/>
      <c r="O42" s="2013"/>
      <c r="P42" s="2011"/>
      <c r="Q42" s="2012"/>
      <c r="R42" s="2012"/>
      <c r="S42" s="2013"/>
      <c r="T42" s="2016"/>
      <c r="U42" s="2012"/>
      <c r="V42" s="2012"/>
      <c r="W42" s="2013"/>
      <c r="X42" s="2011"/>
      <c r="Y42" s="2012"/>
      <c r="Z42" s="2012"/>
      <c r="AA42" s="201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99"/>
      <c r="B44" s="2100"/>
      <c r="C44" s="2100"/>
      <c r="D44" s="2100"/>
      <c r="E44" s="2100"/>
      <c r="F44" s="2100"/>
      <c r="G44" s="2100"/>
      <c r="H44" s="2101"/>
      <c r="I44" s="2091"/>
      <c r="J44" s="2093"/>
      <c r="K44" s="2093"/>
      <c r="L44" s="2093"/>
      <c r="M44" s="2093"/>
      <c r="N44" s="2093"/>
      <c r="O44" s="2093"/>
      <c r="P44" s="2093"/>
      <c r="Q44" s="2093"/>
      <c r="R44" s="2093"/>
      <c r="S44" s="2094"/>
      <c r="T44" s="2091"/>
      <c r="U44" s="2092"/>
      <c r="V44" s="2092"/>
      <c r="W44" s="2092"/>
      <c r="X44" s="2092"/>
      <c r="Y44" s="2092"/>
      <c r="Z44" s="2093"/>
      <c r="AA44" s="209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1686</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38" sqref="E3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48" t="s">
        <v>1900</v>
      </c>
      <c r="B2" s="1550" t="s">
        <v>2032</v>
      </c>
      <c r="C2" s="715" t="s">
        <v>1905</v>
      </c>
      <c r="D2" s="715" t="s">
        <v>1906</v>
      </c>
      <c r="E2" s="715" t="s">
        <v>1907</v>
      </c>
      <c r="F2" s="715" t="s">
        <v>1908</v>
      </c>
    </row>
    <row r="3" spans="1:6" ht="12" customHeight="1" x14ac:dyDescent="0.2">
      <c r="A3" s="2249"/>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1910</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E27" sqref="E2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4" t="s">
        <v>650</v>
      </c>
      <c r="B1" s="2255"/>
      <c r="C1" s="722"/>
    </row>
    <row r="2" spans="1:7" ht="33.75" x14ac:dyDescent="0.2">
      <c r="A2" s="2263" t="s">
        <v>1900</v>
      </c>
      <c r="B2" s="2264"/>
      <c r="C2" s="1909" t="s">
        <v>2033</v>
      </c>
      <c r="D2" s="724" t="s">
        <v>2040</v>
      </c>
      <c r="E2" s="724" t="s">
        <v>2041</v>
      </c>
      <c r="F2" s="1909" t="s">
        <v>2034</v>
      </c>
    </row>
    <row r="3" spans="1:7" ht="15.75" customHeight="1" x14ac:dyDescent="0.2">
      <c r="A3" s="2267" t="s">
        <v>1176</v>
      </c>
      <c r="B3" s="2268"/>
      <c r="C3" s="2256"/>
      <c r="D3" s="2257"/>
      <c r="E3" s="2257"/>
      <c r="F3" s="2258"/>
    </row>
    <row r="4" spans="1:7" ht="12.75" customHeight="1" thickBot="1" x14ac:dyDescent="0.25">
      <c r="A4" s="2265" t="s">
        <v>651</v>
      </c>
      <c r="B4" s="2266"/>
      <c r="C4" s="581"/>
      <c r="D4" s="581"/>
      <c r="E4" s="581"/>
      <c r="F4" s="1777">
        <f>SUM(C4+D4)-E4</f>
        <v>0</v>
      </c>
    </row>
    <row r="5" spans="1:7" ht="15.75" customHeight="1" thickTop="1" x14ac:dyDescent="0.2">
      <c r="A5" s="2250" t="s">
        <v>1172</v>
      </c>
      <c r="B5" s="2251"/>
      <c r="C5" s="2259"/>
      <c r="D5" s="2260"/>
      <c r="E5" s="2260"/>
      <c r="F5" s="226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52" t="s">
        <v>652</v>
      </c>
      <c r="B15" s="2253"/>
      <c r="C15" s="1777">
        <f>SUM(C6:C14)</f>
        <v>0</v>
      </c>
      <c r="D15" s="1777">
        <f>SUM(D6:D14)</f>
        <v>0</v>
      </c>
      <c r="E15" s="1777">
        <f>SUM(E6:E14)</f>
        <v>0</v>
      </c>
      <c r="F15" s="1777">
        <f>SUM(F6:F14)</f>
        <v>0</v>
      </c>
      <c r="G15" s="552"/>
    </row>
    <row r="16" spans="1:7" s="202" customFormat="1" ht="15.75" customHeight="1" thickTop="1" x14ac:dyDescent="0.2">
      <c r="A16" s="2262" t="s">
        <v>1173</v>
      </c>
      <c r="B16" s="2251"/>
      <c r="C16" s="2259"/>
      <c r="D16" s="2260"/>
      <c r="E16" s="2260"/>
      <c r="F16" s="2261"/>
    </row>
    <row r="17" spans="1:11" ht="12.75" customHeight="1" thickBot="1" x14ac:dyDescent="0.25">
      <c r="A17" s="2275" t="s">
        <v>66</v>
      </c>
      <c r="B17" s="2276"/>
      <c r="C17" s="727"/>
      <c r="D17" s="585"/>
      <c r="E17" s="727"/>
      <c r="F17" s="1777">
        <f>SUM(C17+D17)-E17</f>
        <v>0</v>
      </c>
    </row>
    <row r="18" spans="1:11" ht="12.75" customHeight="1" thickTop="1" thickBot="1" x14ac:dyDescent="0.25">
      <c r="A18" s="2275" t="s">
        <v>6</v>
      </c>
      <c r="B18" s="2276"/>
      <c r="C18" s="727"/>
      <c r="D18" s="585"/>
      <c r="E18" s="727"/>
      <c r="F18" s="1777">
        <f>SUM(C18+D18)-E18</f>
        <v>0</v>
      </c>
    </row>
    <row r="19" spans="1:11" ht="12.75" customHeight="1" thickTop="1" thickBot="1" x14ac:dyDescent="0.25">
      <c r="A19" s="2275" t="s">
        <v>406</v>
      </c>
      <c r="B19" s="2276"/>
      <c r="C19" s="727"/>
      <c r="D19" s="585"/>
      <c r="E19" s="727"/>
      <c r="F19" s="1777">
        <f>SUM(C19+D19)-E19</f>
        <v>0</v>
      </c>
    </row>
    <row r="20" spans="1:11" ht="12.75" customHeight="1" thickTop="1" thickBot="1" x14ac:dyDescent="0.25">
      <c r="A20" s="2275" t="s">
        <v>468</v>
      </c>
      <c r="B20" s="2276"/>
      <c r="C20" s="727"/>
      <c r="D20" s="585"/>
      <c r="E20" s="727"/>
      <c r="F20" s="1777">
        <f>SUM(C20+D20)-E20</f>
        <v>0</v>
      </c>
    </row>
    <row r="21" spans="1:11" ht="14.25" thickTop="1" thickBot="1" x14ac:dyDescent="0.25">
      <c r="A21" s="2252" t="s">
        <v>653</v>
      </c>
      <c r="B21" s="2253"/>
      <c r="C21" s="1777">
        <f>SUM(C17:C20)</f>
        <v>0</v>
      </c>
      <c r="D21" s="1777">
        <f>SUM(D17:D20)</f>
        <v>0</v>
      </c>
      <c r="E21" s="1777">
        <f>SUM(E17:E20)</f>
        <v>0</v>
      </c>
      <c r="F21" s="1777">
        <f>SUM(F17:F20)</f>
        <v>0</v>
      </c>
      <c r="G21" s="552"/>
    </row>
    <row r="22" spans="1:11" ht="15.75" customHeight="1" thickTop="1" x14ac:dyDescent="0.2">
      <c r="A22" s="2277" t="s">
        <v>1174</v>
      </c>
      <c r="B22" s="2251"/>
      <c r="C22" s="2259"/>
      <c r="D22" s="2260"/>
      <c r="E22" s="2260"/>
      <c r="F22" s="2261"/>
    </row>
    <row r="23" spans="1:11" ht="13.5" thickBot="1" x14ac:dyDescent="0.25">
      <c r="A23" s="2265" t="s">
        <v>654</v>
      </c>
      <c r="B23" s="2266"/>
      <c r="C23" s="581"/>
      <c r="D23" s="581"/>
      <c r="E23" s="581"/>
      <c r="F23" s="1777">
        <f>SUM(C23+D23)-E23</f>
        <v>0</v>
      </c>
      <c r="G23" s="552"/>
    </row>
    <row r="24" spans="1:11" ht="15.75" customHeight="1" thickTop="1" x14ac:dyDescent="0.2">
      <c r="A24" s="2277" t="s">
        <v>1175</v>
      </c>
      <c r="B24" s="2251"/>
      <c r="C24" s="2259"/>
      <c r="D24" s="2260"/>
      <c r="E24" s="2260"/>
      <c r="F24" s="2261"/>
    </row>
    <row r="25" spans="1:11" ht="13.5" thickBot="1" x14ac:dyDescent="0.25">
      <c r="A25" s="2265" t="s">
        <v>655</v>
      </c>
      <c r="B25" s="2266"/>
      <c r="C25" s="581"/>
      <c r="D25" s="581"/>
      <c r="E25" s="581"/>
      <c r="F25" s="1777">
        <f>SUM(C25+D25)-E25</f>
        <v>0</v>
      </c>
      <c r="G25" s="552"/>
    </row>
    <row r="26" spans="1:11" ht="15.75" customHeight="1" thickTop="1" x14ac:dyDescent="0.2">
      <c r="A26" s="2250" t="s">
        <v>678</v>
      </c>
      <c r="B26" s="2251"/>
      <c r="C26" s="728"/>
      <c r="D26" s="728"/>
      <c r="E26" s="728"/>
      <c r="F26" s="729"/>
    </row>
    <row r="27" spans="1:11" ht="13.5" thickBot="1" x14ac:dyDescent="0.25">
      <c r="A27" s="2252" t="s">
        <v>1130</v>
      </c>
      <c r="B27" s="2253"/>
      <c r="C27" s="585">
        <f>1989600+936500</f>
        <v>2926100</v>
      </c>
      <c r="D27" s="585">
        <f>435000+503500</f>
        <v>938500</v>
      </c>
      <c r="E27" s="585">
        <f>(2424600+936500)</f>
        <v>3361100</v>
      </c>
      <c r="F27" s="1777">
        <f>SUM(C27+D27)-E27</f>
        <v>503500</v>
      </c>
      <c r="G27" s="552"/>
    </row>
    <row r="28" spans="1:11" ht="7.5" customHeight="1" thickTop="1" x14ac:dyDescent="0.2">
      <c r="A28" s="594"/>
    </row>
    <row r="29" spans="1:11" ht="23.25" customHeight="1" x14ac:dyDescent="0.2">
      <c r="A29" s="2278" t="s">
        <v>603</v>
      </c>
      <c r="B29" s="2255"/>
      <c r="C29" s="730"/>
      <c r="D29" s="730"/>
      <c r="E29" s="730"/>
      <c r="F29" s="730"/>
      <c r="G29" s="730"/>
      <c r="H29" s="730"/>
      <c r="I29" s="730"/>
      <c r="J29" s="730"/>
    </row>
    <row r="30" spans="1:11" ht="33.75" x14ac:dyDescent="0.2">
      <c r="A30" s="1551" t="s">
        <v>1131</v>
      </c>
      <c r="B30" s="731" t="s">
        <v>1186</v>
      </c>
      <c r="C30" s="1910" t="s">
        <v>604</v>
      </c>
      <c r="D30" s="1910" t="s">
        <v>1771</v>
      </c>
      <c r="E30" s="1910" t="s">
        <v>2035</v>
      </c>
      <c r="F30" s="1910" t="s">
        <v>2036</v>
      </c>
      <c r="G30" s="1910" t="s">
        <v>2039</v>
      </c>
      <c r="H30" s="1910" t="s">
        <v>2037</v>
      </c>
      <c r="I30" s="1910" t="s">
        <v>2038</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1909</v>
      </c>
      <c r="B51" s="747"/>
      <c r="C51" s="738"/>
      <c r="D51" s="738"/>
      <c r="E51" s="738"/>
      <c r="F51" s="738"/>
      <c r="G51" s="738"/>
      <c r="H51" s="737"/>
      <c r="I51" s="737"/>
      <c r="J51" s="747"/>
    </row>
    <row r="52" spans="1:11" ht="11.25" customHeight="1" x14ac:dyDescent="0.2">
      <c r="A52" s="749" t="s">
        <v>968</v>
      </c>
      <c r="B52" s="2269" t="s">
        <v>605</v>
      </c>
      <c r="C52" s="2270"/>
      <c r="D52" s="2270"/>
      <c r="E52" s="750" t="s">
        <v>900</v>
      </c>
      <c r="F52" s="2271"/>
      <c r="G52" s="2272"/>
      <c r="H52" s="737"/>
      <c r="I52" s="737"/>
      <c r="J52" s="747"/>
    </row>
    <row r="53" spans="1:11" ht="11.25" customHeight="1" x14ac:dyDescent="0.2">
      <c r="A53" s="751" t="s">
        <v>969</v>
      </c>
      <c r="B53" s="752" t="s">
        <v>1008</v>
      </c>
      <c r="C53" s="747"/>
      <c r="D53" s="738"/>
      <c r="E53" s="750" t="s">
        <v>518</v>
      </c>
      <c r="F53" s="2273"/>
      <c r="G53" s="2274"/>
      <c r="H53" s="737"/>
      <c r="I53" s="737"/>
      <c r="J53" s="747"/>
    </row>
    <row r="54" spans="1:11" ht="11.25" customHeight="1" x14ac:dyDescent="0.2">
      <c r="A54" s="753" t="s">
        <v>970</v>
      </c>
      <c r="B54" s="748" t="s">
        <v>1009</v>
      </c>
      <c r="C54" s="747"/>
      <c r="D54" s="738"/>
      <c r="E54" s="750" t="s">
        <v>519</v>
      </c>
      <c r="F54" s="2273"/>
      <c r="G54" s="227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3" t="s">
        <v>911</v>
      </c>
      <c r="B1" s="2304"/>
      <c r="C1" s="2304"/>
      <c r="D1" s="2304"/>
      <c r="E1" s="2304"/>
      <c r="F1" s="2304"/>
      <c r="G1" s="2305"/>
      <c r="H1" s="1552"/>
      <c r="I1" s="761"/>
      <c r="J1" s="433"/>
    </row>
    <row r="2" spans="1:11" ht="26.25" x14ac:dyDescent="0.2">
      <c r="A2" s="2282" t="s">
        <v>1775</v>
      </c>
      <c r="B2" s="2283"/>
      <c r="C2" s="2283"/>
      <c r="D2" s="2283"/>
      <c r="E2" s="2284"/>
      <c r="F2" s="762" t="s">
        <v>960</v>
      </c>
      <c r="G2" s="763" t="s">
        <v>1772</v>
      </c>
      <c r="H2" s="763" t="s">
        <v>430</v>
      </c>
      <c r="I2" s="763" t="s">
        <v>1220</v>
      </c>
      <c r="J2" s="763" t="s">
        <v>1914</v>
      </c>
      <c r="K2" s="763" t="s">
        <v>140</v>
      </c>
    </row>
    <row r="3" spans="1:11" x14ac:dyDescent="0.2">
      <c r="A3" s="2285" t="s">
        <v>1697</v>
      </c>
      <c r="B3" s="2286"/>
      <c r="C3" s="2286"/>
      <c r="D3" s="2286"/>
      <c r="E3" s="2287"/>
      <c r="F3" s="764"/>
      <c r="G3" s="765"/>
      <c r="H3" s="765"/>
      <c r="I3" s="765"/>
      <c r="J3" s="766"/>
      <c r="K3" s="766"/>
    </row>
    <row r="4" spans="1:11" x14ac:dyDescent="0.2">
      <c r="A4" s="2288" t="s">
        <v>387</v>
      </c>
      <c r="B4" s="2289"/>
      <c r="C4" s="2289"/>
      <c r="D4" s="2289"/>
      <c r="E4" s="2270"/>
      <c r="F4" s="767"/>
      <c r="G4" s="768"/>
      <c r="H4" s="769"/>
      <c r="I4" s="768"/>
      <c r="J4" s="770"/>
      <c r="K4" s="770"/>
    </row>
    <row r="5" spans="1:11" x14ac:dyDescent="0.2">
      <c r="A5" s="2306" t="s">
        <v>1129</v>
      </c>
      <c r="B5" s="2279"/>
      <c r="C5" s="2279"/>
      <c r="D5" s="2279"/>
      <c r="E5" s="230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306" t="s">
        <v>1915</v>
      </c>
      <c r="B10" s="2279"/>
      <c r="C10" s="2279"/>
      <c r="D10" s="2279"/>
      <c r="E10" s="2308"/>
      <c r="F10" s="784" t="s">
        <v>917</v>
      </c>
      <c r="G10" s="783"/>
      <c r="H10" s="785"/>
      <c r="I10" s="765"/>
      <c r="J10" s="766"/>
      <c r="K10" s="766"/>
    </row>
    <row r="11" spans="1:11" x14ac:dyDescent="0.2">
      <c r="A11" s="2306" t="s">
        <v>162</v>
      </c>
      <c r="B11" s="2279"/>
      <c r="C11" s="2279"/>
      <c r="D11" s="2279"/>
      <c r="E11" s="2307"/>
      <c r="F11" s="771" t="s">
        <v>907</v>
      </c>
      <c r="G11" s="772"/>
      <c r="H11" s="765"/>
      <c r="I11" s="765"/>
      <c r="J11" s="766"/>
      <c r="K11" s="774"/>
    </row>
    <row r="12" spans="1:11" ht="13.5" thickBot="1" x14ac:dyDescent="0.25">
      <c r="A12" s="2296" t="s">
        <v>961</v>
      </c>
      <c r="B12" s="2297"/>
      <c r="C12" s="2297"/>
      <c r="D12" s="2297"/>
      <c r="E12" s="2298"/>
      <c r="F12" s="1779"/>
      <c r="G12" s="1780">
        <f>SUM(G5:G11)</f>
        <v>0</v>
      </c>
      <c r="H12" s="1780">
        <f>SUM(H5:H11)</f>
        <v>0</v>
      </c>
      <c r="I12" s="1780">
        <f>SUM(I5:I11)</f>
        <v>0</v>
      </c>
      <c r="J12" s="1780">
        <f>SUM(J5:J11)</f>
        <v>0</v>
      </c>
      <c r="K12" s="1780">
        <f>SUM(K5:K11)</f>
        <v>0</v>
      </c>
    </row>
    <row r="13" spans="1:11" ht="13.5" thickTop="1" x14ac:dyDescent="0.2">
      <c r="A13" s="2290" t="s">
        <v>388</v>
      </c>
      <c r="B13" s="2291"/>
      <c r="C13" s="2291"/>
      <c r="D13" s="2291"/>
      <c r="E13" s="2292"/>
      <c r="F13" s="786"/>
      <c r="G13" s="787"/>
      <c r="H13" s="788"/>
      <c r="I13" s="789"/>
      <c r="J13" s="789"/>
      <c r="K13" s="789"/>
    </row>
    <row r="14" spans="1:11" x14ac:dyDescent="0.2">
      <c r="A14" s="2312" t="s">
        <v>476</v>
      </c>
      <c r="B14" s="2312"/>
      <c r="C14" s="2312"/>
      <c r="D14" s="2312"/>
      <c r="E14" s="2313"/>
      <c r="F14" s="790" t="s">
        <v>909</v>
      </c>
      <c r="G14" s="783"/>
      <c r="H14" s="765"/>
      <c r="I14" s="772"/>
      <c r="J14" s="774"/>
      <c r="K14" s="766"/>
    </row>
    <row r="15" spans="1:11" x14ac:dyDescent="0.2">
      <c r="A15" s="2279" t="s">
        <v>4</v>
      </c>
      <c r="B15" s="2279"/>
      <c r="C15" s="2279"/>
      <c r="D15" s="2279"/>
      <c r="E15" s="2307"/>
      <c r="F15" s="790" t="s">
        <v>910</v>
      </c>
      <c r="G15" s="772"/>
      <c r="H15" s="765"/>
      <c r="I15" s="765"/>
      <c r="J15" s="766"/>
      <c r="K15" s="766"/>
    </row>
    <row r="16" spans="1:11" x14ac:dyDescent="0.2">
      <c r="A16" s="2279" t="s">
        <v>316</v>
      </c>
      <c r="B16" s="2279"/>
      <c r="C16" s="2279"/>
      <c r="D16" s="2279"/>
      <c r="E16" s="2307"/>
      <c r="F16" s="790" t="s">
        <v>980</v>
      </c>
      <c r="G16" s="773"/>
      <c r="H16" s="768"/>
      <c r="I16" s="768"/>
      <c r="J16" s="770"/>
      <c r="K16" s="770"/>
    </row>
    <row r="17" spans="1:11" x14ac:dyDescent="0.2">
      <c r="A17" s="2301" t="s">
        <v>992</v>
      </c>
      <c r="B17" s="2301"/>
      <c r="C17" s="2301"/>
      <c r="D17" s="2301"/>
      <c r="E17" s="2302"/>
      <c r="F17" s="791"/>
      <c r="G17" s="792"/>
      <c r="H17" s="793"/>
      <c r="I17" s="793"/>
      <c r="J17" s="794"/>
      <c r="K17" s="795"/>
    </row>
    <row r="18" spans="1:11" x14ac:dyDescent="0.2">
      <c r="A18" s="2293" t="s">
        <v>386</v>
      </c>
      <c r="B18" s="2294"/>
      <c r="C18" s="2294"/>
      <c r="D18" s="2294"/>
      <c r="E18" s="2295"/>
      <c r="F18" s="790" t="s">
        <v>989</v>
      </c>
      <c r="G18" s="783"/>
      <c r="H18" s="783"/>
      <c r="I18" s="783"/>
      <c r="J18" s="766"/>
      <c r="K18" s="796"/>
    </row>
    <row r="19" spans="1:11" ht="21.75" customHeight="1" x14ac:dyDescent="0.2">
      <c r="A19" s="2314" t="s">
        <v>1911</v>
      </c>
      <c r="B19" s="2314"/>
      <c r="C19" s="2314"/>
      <c r="D19" s="2314"/>
      <c r="E19" s="2315"/>
      <c r="F19" s="790" t="s">
        <v>990</v>
      </c>
      <c r="G19" s="783"/>
      <c r="H19" s="783"/>
      <c r="I19" s="783"/>
      <c r="J19" s="766"/>
      <c r="K19" s="796"/>
    </row>
    <row r="20" spans="1:11" x14ac:dyDescent="0.2">
      <c r="A20" s="2293" t="s">
        <v>1916</v>
      </c>
      <c r="B20" s="2294"/>
      <c r="C20" s="2294"/>
      <c r="D20" s="2294"/>
      <c r="E20" s="2295"/>
      <c r="F20" s="790" t="s">
        <v>991</v>
      </c>
      <c r="G20" s="783"/>
      <c r="H20" s="783"/>
      <c r="I20" s="783"/>
      <c r="J20" s="766"/>
      <c r="K20" s="796"/>
    </row>
    <row r="21" spans="1:11" ht="13.5" thickBot="1" x14ac:dyDescent="0.25">
      <c r="A21" s="2299" t="s">
        <v>659</v>
      </c>
      <c r="B21" s="2299"/>
      <c r="C21" s="2299"/>
      <c r="D21" s="2299"/>
      <c r="E21" s="2299"/>
      <c r="F21" s="1781"/>
      <c r="G21" s="793"/>
      <c r="H21" s="797"/>
      <c r="I21" s="797"/>
      <c r="J21" s="1782">
        <f>SUM(J18:J20)</f>
        <v>0</v>
      </c>
      <c r="K21" s="794"/>
    </row>
    <row r="22" spans="1:11" ht="13.5" thickTop="1" x14ac:dyDescent="0.2">
      <c r="A22" s="2279" t="s">
        <v>1917</v>
      </c>
      <c r="B22" s="2279"/>
      <c r="C22" s="2279"/>
      <c r="D22" s="2279"/>
      <c r="E22" s="2307"/>
      <c r="F22" s="790" t="s">
        <v>917</v>
      </c>
      <c r="G22" s="783"/>
      <c r="H22" s="765"/>
      <c r="I22" s="765"/>
      <c r="J22" s="798"/>
      <c r="K22" s="766"/>
    </row>
    <row r="23" spans="1:11" ht="13.5" thickBot="1" x14ac:dyDescent="0.25">
      <c r="A23" s="2300" t="s">
        <v>962</v>
      </c>
      <c r="B23" s="2299"/>
      <c r="C23" s="2299"/>
      <c r="D23" s="2299"/>
      <c r="E23" s="2299"/>
      <c r="F23" s="1783"/>
      <c r="G23" s="1780">
        <f>SUM(G14:G16,G21,G22)</f>
        <v>0</v>
      </c>
      <c r="H23" s="1780">
        <f>SUM(H14:H16,H21,H22)</f>
        <v>0</v>
      </c>
      <c r="I23" s="1780">
        <f>SUM(I14:I16,I21,I22)</f>
        <v>0</v>
      </c>
      <c r="J23" s="1780">
        <f>SUM(J14:J16,J21,J22)</f>
        <v>0</v>
      </c>
      <c r="K23" s="1780">
        <f>SUM(K14:K16,K21,K22)</f>
        <v>0</v>
      </c>
    </row>
    <row r="24" spans="1:11" ht="14.25" thickTop="1" thickBot="1" x14ac:dyDescent="0.25">
      <c r="A24" s="2300" t="s">
        <v>2021</v>
      </c>
      <c r="B24" s="2299"/>
      <c r="C24" s="2299"/>
      <c r="D24" s="2299"/>
      <c r="E24" s="2299"/>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2031</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309"/>
      <c r="I31" s="2310"/>
      <c r="J31" s="2310"/>
      <c r="K31" s="2310"/>
    </row>
    <row r="32" spans="1:11" x14ac:dyDescent="0.2">
      <c r="A32" s="810"/>
      <c r="B32" s="237"/>
      <c r="C32" s="237"/>
      <c r="D32" s="237"/>
      <c r="E32" s="806"/>
      <c r="F32" s="812" t="s">
        <v>561</v>
      </c>
      <c r="G32" s="765"/>
      <c r="H32" s="2311"/>
      <c r="I32" s="2310"/>
      <c r="J32" s="2310"/>
      <c r="K32" s="2310"/>
    </row>
    <row r="33" spans="1:11" ht="1.5" customHeight="1" x14ac:dyDescent="0.2">
      <c r="A33" s="813" t="s">
        <v>1231</v>
      </c>
      <c r="B33" s="364"/>
      <c r="C33" s="364"/>
      <c r="D33" s="364"/>
      <c r="E33" s="364"/>
      <c r="F33" s="364"/>
      <c r="G33" s="814"/>
      <c r="H33" s="2311"/>
      <c r="I33" s="2310"/>
      <c r="J33" s="2310"/>
      <c r="K33" s="2310"/>
    </row>
    <row r="34" spans="1:11" x14ac:dyDescent="0.2">
      <c r="A34" s="815" t="s">
        <v>1918</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79" t="s">
        <v>562</v>
      </c>
      <c r="B41" s="2280"/>
      <c r="C41" s="2280"/>
      <c r="D41" s="2280"/>
      <c r="E41" s="2280"/>
      <c r="F41" s="228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1912</v>
      </c>
      <c r="B46" s="408" t="s">
        <v>1773</v>
      </c>
    </row>
    <row r="47" spans="1:11" s="824" customFormat="1" ht="12.75" customHeight="1" x14ac:dyDescent="0.2">
      <c r="A47" s="822"/>
      <c r="B47" s="823" t="s">
        <v>1774</v>
      </c>
      <c r="E47" s="823"/>
      <c r="K47" s="825"/>
    </row>
    <row r="48" spans="1:11" ht="12.75" customHeight="1" x14ac:dyDescent="0.2">
      <c r="A48" s="1554" t="s">
        <v>1913</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C1" colorId="8" zoomScale="110" zoomScaleNormal="110" workbookViewId="0">
      <selection activeCell="D24" sqref="D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8" t="s">
        <v>2030</v>
      </c>
      <c r="B1" s="2319"/>
      <c r="C1" s="2320"/>
      <c r="D1" s="827"/>
      <c r="E1" s="828"/>
      <c r="F1" s="828"/>
      <c r="G1" s="829"/>
      <c r="H1" s="830"/>
      <c r="I1" s="831"/>
      <c r="J1" s="2316"/>
      <c r="K1" s="2317"/>
      <c r="L1" s="2317"/>
    </row>
    <row r="2" spans="1:14" ht="69.75" customHeight="1" x14ac:dyDescent="0.2">
      <c r="A2" s="832" t="s">
        <v>1776</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50000</v>
      </c>
      <c r="D5" s="842"/>
      <c r="E5" s="842"/>
      <c r="F5" s="1782">
        <f>(C5+D5)-E5</f>
        <v>50000</v>
      </c>
      <c r="G5" s="838"/>
      <c r="H5" s="843"/>
      <c r="I5" s="843"/>
      <c r="J5" s="843"/>
      <c r="K5" s="794"/>
      <c r="L5" s="1791">
        <f>F5-K5</f>
        <v>50000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1689016</v>
      </c>
      <c r="D8" s="845"/>
      <c r="E8" s="845"/>
      <c r="F8" s="1782">
        <f>(C8+D8)-E8</f>
        <v>1689016</v>
      </c>
      <c r="G8" s="844">
        <v>50</v>
      </c>
      <c r="H8" s="766">
        <v>598430</v>
      </c>
      <c r="I8" s="766">
        <v>40717</v>
      </c>
      <c r="J8" s="766"/>
      <c r="K8" s="1791">
        <f>(H8+I8)-J8</f>
        <v>639147</v>
      </c>
      <c r="L8" s="1791">
        <f>F8-K8</f>
        <v>1049869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129994</v>
      </c>
      <c r="D10" s="847"/>
      <c r="E10" s="847"/>
      <c r="F10" s="1786">
        <f>(C10+D10)-E10</f>
        <v>129994</v>
      </c>
      <c r="G10" s="844">
        <v>20</v>
      </c>
      <c r="H10" s="848">
        <v>28122</v>
      </c>
      <c r="I10" s="848">
        <v>7278</v>
      </c>
      <c r="J10" s="848"/>
      <c r="K10" s="1791">
        <f>(H10+I10)-J10</f>
        <v>35400</v>
      </c>
      <c r="L10" s="1791">
        <f>F10-K10</f>
        <v>94594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377772</v>
      </c>
      <c r="D12" s="845">
        <v>10624</v>
      </c>
      <c r="E12" s="845">
        <v>12295</v>
      </c>
      <c r="F12" s="1782">
        <f>(C12+D12)-E12</f>
        <v>376101</v>
      </c>
      <c r="G12" s="844">
        <v>10</v>
      </c>
      <c r="H12" s="766">
        <v>310478</v>
      </c>
      <c r="I12" s="766">
        <v>15027</v>
      </c>
      <c r="J12" s="766">
        <v>11155</v>
      </c>
      <c r="K12" s="1791">
        <f>(H12+I12)-J12</f>
        <v>314350</v>
      </c>
      <c r="L12" s="1791">
        <f>F12-K12</f>
        <v>61751</v>
      </c>
    </row>
    <row r="13" spans="1:14" ht="14.25" thickTop="1" thickBot="1" x14ac:dyDescent="0.25">
      <c r="A13" s="849" t="s">
        <v>1184</v>
      </c>
      <c r="B13" s="841">
        <v>252</v>
      </c>
      <c r="C13" s="845">
        <v>243679</v>
      </c>
      <c r="D13" s="845"/>
      <c r="E13" s="845">
        <v>94475</v>
      </c>
      <c r="F13" s="1782">
        <f>(C13+D13)-E13</f>
        <v>149204</v>
      </c>
      <c r="G13" s="844">
        <v>5</v>
      </c>
      <c r="H13" s="766">
        <v>200305</v>
      </c>
      <c r="I13" s="766">
        <v>7220</v>
      </c>
      <c r="J13" s="766">
        <v>94475</v>
      </c>
      <c r="K13" s="1791">
        <f>(H13+I13)-J13</f>
        <v>113050</v>
      </c>
      <c r="L13" s="1791">
        <f>F13-K13</f>
        <v>36154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2490461</v>
      </c>
      <c r="D16" s="1782">
        <f>SUM(D3,D5:D6,D8:D10,D12:D15)</f>
        <v>10624</v>
      </c>
      <c r="E16" s="1782">
        <f>SUM(E3,E5:E6,E8:E10,E12:E15)</f>
        <v>106770</v>
      </c>
      <c r="F16" s="1782">
        <f>SUM(F3,F5:F6,F8:F10,F12:F15)</f>
        <v>2394315</v>
      </c>
      <c r="G16" s="844"/>
      <c r="H16" s="1782">
        <f>SUM(H3,H6,H8:H10,H12:H14,)</f>
        <v>1137335</v>
      </c>
      <c r="I16" s="1782">
        <f>SUM(I3,I6,I8:I10,I12:I14,)</f>
        <v>70242</v>
      </c>
      <c r="J16" s="1782">
        <f>SUM(J3,J6,J8:J10,J12:J14,)</f>
        <v>105630</v>
      </c>
      <c r="K16" s="1782">
        <f>(H16+I16)-J16</f>
        <v>1101947</v>
      </c>
      <c r="L16" s="1782">
        <f>F16-K16</f>
        <v>1292368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70242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9"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24" t="s">
        <v>1698</v>
      </c>
      <c r="B1" s="2325"/>
      <c r="C1" s="2325"/>
      <c r="D1" s="2325"/>
      <c r="E1" s="2325"/>
      <c r="F1" s="2326"/>
      <c r="G1" s="856"/>
    </row>
    <row r="2" spans="1:7" ht="15" customHeight="1" thickBot="1" x14ac:dyDescent="0.25">
      <c r="A2" s="2327" t="s">
        <v>498</v>
      </c>
      <c r="B2" s="2328"/>
      <c r="C2" s="2328"/>
      <c r="D2" s="2328"/>
      <c r="E2" s="2328"/>
      <c r="F2" s="232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30"/>
      <c r="B5" s="2331"/>
      <c r="C5" s="2331"/>
      <c r="D5" s="2331"/>
      <c r="E5" s="2331"/>
      <c r="F5" s="2331"/>
    </row>
    <row r="6" spans="1:7" ht="13.5" customHeight="1" thickBot="1" x14ac:dyDescent="0.25">
      <c r="A6" s="2321" t="s">
        <v>1166</v>
      </c>
      <c r="B6" s="2322"/>
      <c r="C6" s="2322"/>
      <c r="D6" s="2322"/>
      <c r="E6" s="2322"/>
      <c r="F6" s="2323"/>
      <c r="G6" s="866"/>
    </row>
    <row r="7" spans="1:7" s="866" customFormat="1" ht="12" thickTop="1" x14ac:dyDescent="0.2">
      <c r="A7" s="867" t="s">
        <v>523</v>
      </c>
      <c r="B7" s="868"/>
      <c r="C7" s="869"/>
      <c r="D7" s="868"/>
      <c r="E7" s="869"/>
      <c r="F7" s="868"/>
    </row>
    <row r="8" spans="1:7" x14ac:dyDescent="0.2">
      <c r="A8" s="870" t="s">
        <v>479</v>
      </c>
      <c r="B8" s="871" t="s">
        <v>1543</v>
      </c>
      <c r="C8" s="872"/>
      <c r="D8" s="870" t="s">
        <v>522</v>
      </c>
      <c r="E8" s="869" t="s">
        <v>1015</v>
      </c>
      <c r="F8" s="1934">
        <f>'Expenditures 15-22'!K114</f>
        <v>17462829</v>
      </c>
      <c r="G8" s="866"/>
    </row>
    <row r="9" spans="1:7" x14ac:dyDescent="0.2">
      <c r="A9" s="870" t="s">
        <v>480</v>
      </c>
      <c r="B9" s="871" t="s">
        <v>1984</v>
      </c>
      <c r="C9" s="872"/>
      <c r="D9" s="870" t="s">
        <v>522</v>
      </c>
      <c r="E9" s="869"/>
      <c r="F9" s="1935">
        <f>'Expenditures 15-22'!K151</f>
        <v>2788</v>
      </c>
      <c r="G9" s="873"/>
    </row>
    <row r="10" spans="1:7" x14ac:dyDescent="0.2">
      <c r="A10" s="870" t="s">
        <v>520</v>
      </c>
      <c r="B10" s="871" t="s">
        <v>1985</v>
      </c>
      <c r="C10" s="872"/>
      <c r="D10" s="870" t="s">
        <v>522</v>
      </c>
      <c r="E10" s="869"/>
      <c r="F10" s="1935">
        <f>'Expenditures 15-22'!K174</f>
        <v>0</v>
      </c>
      <c r="G10" s="873"/>
    </row>
    <row r="11" spans="1:7" x14ac:dyDescent="0.2">
      <c r="A11" s="870" t="s">
        <v>481</v>
      </c>
      <c r="B11" s="871" t="s">
        <v>1986</v>
      </c>
      <c r="C11" s="872"/>
      <c r="D11" s="870" t="s">
        <v>522</v>
      </c>
      <c r="E11" s="869"/>
      <c r="F11" s="1935">
        <f>'Expenditures 15-22'!K210</f>
        <v>1600816</v>
      </c>
      <c r="G11" s="873"/>
    </row>
    <row r="12" spans="1:7" x14ac:dyDescent="0.2">
      <c r="A12" s="870" t="s">
        <v>482</v>
      </c>
      <c r="B12" s="871" t="s">
        <v>1987</v>
      </c>
      <c r="C12" s="872"/>
      <c r="D12" s="870" t="s">
        <v>522</v>
      </c>
      <c r="E12" s="869"/>
      <c r="F12" s="1935">
        <f>'Expenditures 15-22'!K295</f>
        <v>0</v>
      </c>
      <c r="G12" s="873"/>
    </row>
    <row r="13" spans="1:7" x14ac:dyDescent="0.2">
      <c r="A13" s="870" t="s">
        <v>108</v>
      </c>
      <c r="B13" s="871" t="s">
        <v>1988</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19066433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1682</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1544</v>
      </c>
      <c r="C34" s="887" t="str">
        <f>'Expenditures 15-22'!B7</f>
        <v>1125</v>
      </c>
      <c r="D34" s="888" t="str">
        <f>'Expenditures 15-22'!A7</f>
        <v>Pre-K Programs</v>
      </c>
      <c r="E34" s="869"/>
      <c r="F34" s="1939">
        <f>'Expenditures 15-22'!K7-SUM('Expenditures 15-22'!G7,'Expenditures 15-22'!I7)</f>
        <v>1696583</v>
      </c>
      <c r="G34" s="866"/>
    </row>
    <row r="35" spans="1:7" x14ac:dyDescent="0.2">
      <c r="A35" s="870" t="s">
        <v>479</v>
      </c>
      <c r="B35" s="870" t="s">
        <v>1545</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1547</v>
      </c>
      <c r="C38" s="887">
        <f>'Expenditures 15-22'!B15</f>
        <v>1600</v>
      </c>
      <c r="D38" s="889" t="str">
        <f>'Expenditures 15-22'!A15</f>
        <v>Summer School Programs</v>
      </c>
      <c r="E38" s="869"/>
      <c r="F38" s="1939">
        <f>'Expenditures 15-22'!K15-SUM('Expenditures 15-22'!G15,'Expenditures 15-22'!I15)</f>
        <v>420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1549</v>
      </c>
      <c r="C52" s="890" t="str">
        <f>'Expenditures 15-22'!B75</f>
        <v>3000</v>
      </c>
      <c r="D52" s="889" t="s">
        <v>469</v>
      </c>
      <c r="E52" s="869"/>
      <c r="F52" s="1939">
        <f>'Expenditures 15-22'!K75-SUM('Expenditures 15-22'!G75,'Expenditures 15-22'!I75)</f>
        <v>135197</v>
      </c>
      <c r="G52" s="866"/>
    </row>
    <row r="53" spans="1:7" x14ac:dyDescent="0.2">
      <c r="A53" s="870" t="s">
        <v>479</v>
      </c>
      <c r="B53" s="870" t="s">
        <v>1550</v>
      </c>
      <c r="C53" s="890">
        <f>'Expenditures 15-22'!B102</f>
        <v>4000</v>
      </c>
      <c r="D53" s="889" t="str">
        <f>'Expenditures 15-22'!A102</f>
        <v>Total Payments to Other Govt Units</v>
      </c>
      <c r="E53" s="869"/>
      <c r="F53" s="1939">
        <f>'Expenditures 15-22'!K102</f>
        <v>239667</v>
      </c>
      <c r="G53" s="866"/>
    </row>
    <row r="54" spans="1:7" x14ac:dyDescent="0.2">
      <c r="A54" s="870" t="s">
        <v>479</v>
      </c>
      <c r="B54" s="870" t="s">
        <v>1551</v>
      </c>
      <c r="C54" s="890" t="s">
        <v>1039</v>
      </c>
      <c r="D54" s="886" t="s">
        <v>1157</v>
      </c>
      <c r="E54" s="869"/>
      <c r="F54" s="1939">
        <f>'Expenditures 15-22'!G114</f>
        <v>10624</v>
      </c>
      <c r="G54" s="866"/>
    </row>
    <row r="55" spans="1:7" x14ac:dyDescent="0.2">
      <c r="A55" s="870" t="s">
        <v>479</v>
      </c>
      <c r="B55" s="870" t="s">
        <v>1552</v>
      </c>
      <c r="C55" s="890" t="s">
        <v>1039</v>
      </c>
      <c r="D55" s="886" t="s">
        <v>309</v>
      </c>
      <c r="E55" s="869"/>
      <c r="F55" s="1939">
        <f>'Expenditures 15-22'!I114</f>
        <v>0</v>
      </c>
      <c r="G55" s="866"/>
    </row>
    <row r="56" spans="1:7" x14ac:dyDescent="0.2">
      <c r="A56" s="870" t="s">
        <v>480</v>
      </c>
      <c r="B56" s="870" t="s">
        <v>1553</v>
      </c>
      <c r="C56" s="887" t="str">
        <f>'Expenditures 15-22'!B130</f>
        <v>3000</v>
      </c>
      <c r="D56" s="893" t="s">
        <v>469</v>
      </c>
      <c r="E56" s="869"/>
      <c r="F56" s="1939">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9">
        <f>'Expenditures 15-22'!K139</f>
        <v>0</v>
      </c>
      <c r="G57" s="866"/>
    </row>
    <row r="58" spans="1:7" x14ac:dyDescent="0.2">
      <c r="A58" s="870" t="s">
        <v>480</v>
      </c>
      <c r="B58" s="870" t="s">
        <v>1990</v>
      </c>
      <c r="C58" s="887" t="s">
        <v>1039</v>
      </c>
      <c r="D58" s="886" t="s">
        <v>1157</v>
      </c>
      <c r="E58" s="869"/>
      <c r="F58" s="1941">
        <f>'Expenditures 15-22'!G151</f>
        <v>0</v>
      </c>
      <c r="G58" s="866"/>
    </row>
    <row r="59" spans="1:7" x14ac:dyDescent="0.2">
      <c r="A59" s="894" t="s">
        <v>480</v>
      </c>
      <c r="B59" s="857" t="s">
        <v>1991</v>
      </c>
      <c r="C59" s="895" t="s">
        <v>1039</v>
      </c>
      <c r="D59" s="857" t="s">
        <v>309</v>
      </c>
      <c r="F59" s="1942">
        <f>'Expenditures 15-22'!I151</f>
        <v>0</v>
      </c>
      <c r="G59" s="866"/>
    </row>
    <row r="60" spans="1:7" x14ac:dyDescent="0.2">
      <c r="A60" s="894" t="s">
        <v>520</v>
      </c>
      <c r="B60" s="857" t="s">
        <v>1992</v>
      </c>
      <c r="C60" s="895">
        <v>4000</v>
      </c>
      <c r="D60" s="857" t="s">
        <v>330</v>
      </c>
      <c r="F60" s="1940">
        <f>'Expenditures 15-22'!K160</f>
        <v>0</v>
      </c>
      <c r="G60" s="866"/>
    </row>
    <row r="61" spans="1:7" x14ac:dyDescent="0.2">
      <c r="A61" s="896" t="s">
        <v>520</v>
      </c>
      <c r="B61" s="896" t="s">
        <v>1993</v>
      </c>
      <c r="C61" s="897" t="str">
        <f>'Expenditures 15-22'!B170</f>
        <v>5300</v>
      </c>
      <c r="D61" s="898" t="s">
        <v>329</v>
      </c>
      <c r="E61" s="880"/>
      <c r="F61" s="1939">
        <f>'Expenditures 15-22'!K170</f>
        <v>0</v>
      </c>
      <c r="G61" s="866"/>
    </row>
    <row r="62" spans="1:7" x14ac:dyDescent="0.2">
      <c r="A62" s="870" t="s">
        <v>481</v>
      </c>
      <c r="B62" s="870" t="s">
        <v>1994</v>
      </c>
      <c r="C62" s="887">
        <f>'Expenditures 15-22'!B185</f>
        <v>3000</v>
      </c>
      <c r="D62" s="877" t="s">
        <v>469</v>
      </c>
      <c r="E62" s="869"/>
      <c r="F62" s="1939">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1996</v>
      </c>
      <c r="C64" s="897" t="str">
        <f>'Expenditures 15-22'!B206</f>
        <v>5300</v>
      </c>
      <c r="D64" s="893" t="s">
        <v>329</v>
      </c>
      <c r="E64" s="869"/>
      <c r="F64" s="1939">
        <f>'Expenditures 15-22'!K206</f>
        <v>0</v>
      </c>
      <c r="G64" s="866"/>
    </row>
    <row r="65" spans="1:8" x14ac:dyDescent="0.2">
      <c r="A65" s="870" t="s">
        <v>481</v>
      </c>
      <c r="B65" s="870" t="s">
        <v>1997</v>
      </c>
      <c r="C65" s="887" t="s">
        <v>1039</v>
      </c>
      <c r="D65" s="886" t="s">
        <v>1157</v>
      </c>
      <c r="E65" s="869"/>
      <c r="F65" s="1939">
        <f>'Expenditures 15-22'!G210</f>
        <v>0</v>
      </c>
      <c r="G65" s="866"/>
    </row>
    <row r="66" spans="1:8" x14ac:dyDescent="0.2">
      <c r="A66" s="870" t="s">
        <v>481</v>
      </c>
      <c r="B66" s="870" t="s">
        <v>1998</v>
      </c>
      <c r="C66" s="887" t="s">
        <v>1039</v>
      </c>
      <c r="D66" s="886" t="s">
        <v>309</v>
      </c>
      <c r="E66" s="869"/>
      <c r="F66" s="1939">
        <f>'Expenditures 15-22'!I210</f>
        <v>0</v>
      </c>
      <c r="G66" s="866"/>
    </row>
    <row r="67" spans="1:8" x14ac:dyDescent="0.2">
      <c r="A67" s="870" t="s">
        <v>482</v>
      </c>
      <c r="B67" s="870" t="s">
        <v>1999</v>
      </c>
      <c r="C67" s="887" t="str">
        <f>'Expenditures 15-22'!B216</f>
        <v>1125</v>
      </c>
      <c r="D67" s="893" t="str">
        <f>'Expenditures 15-22'!A216</f>
        <v>Pre-K Programs</v>
      </c>
      <c r="E67" s="869"/>
      <c r="F67" s="1939">
        <f>'Expenditures 15-22'!K216</f>
        <v>0</v>
      </c>
      <c r="G67" s="866"/>
    </row>
    <row r="68" spans="1:8" x14ac:dyDescent="0.2">
      <c r="A68" s="870" t="s">
        <v>482</v>
      </c>
      <c r="B68" s="870" t="s">
        <v>1554</v>
      </c>
      <c r="C68" s="887" t="str">
        <f>'Expenditures 15-22'!B218</f>
        <v>1225</v>
      </c>
      <c r="D68" s="893" t="str">
        <f>'Expenditures 15-22'!A218</f>
        <v>Special Education Programs - Pre-K</v>
      </c>
      <c r="E68" s="869"/>
      <c r="F68" s="1939">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2001</v>
      </c>
      <c r="C70" s="887">
        <f>'Expenditures 15-22'!B221</f>
        <v>1300</v>
      </c>
      <c r="D70" s="888" t="str">
        <f>'Expenditures 15-22'!A221</f>
        <v>Adult/Continuing Education Programs</v>
      </c>
      <c r="E70" s="869"/>
      <c r="F70" s="1939">
        <f>'Expenditures 15-22'!K221</f>
        <v>0</v>
      </c>
      <c r="G70" s="866"/>
    </row>
    <row r="71" spans="1:8" x14ac:dyDescent="0.2">
      <c r="A71" s="870" t="s">
        <v>482</v>
      </c>
      <c r="B71" s="870" t="s">
        <v>2002</v>
      </c>
      <c r="C71" s="887">
        <f>'Expenditures 15-22'!B224</f>
        <v>1600</v>
      </c>
      <c r="D71" s="888" t="str">
        <f>'Expenditures 15-22'!A224</f>
        <v>Summer School Programs</v>
      </c>
      <c r="E71" s="869"/>
      <c r="F71" s="1939">
        <f>'Expenditures 15-22'!K224</f>
        <v>0</v>
      </c>
      <c r="G71" s="866"/>
    </row>
    <row r="72" spans="1:8" x14ac:dyDescent="0.2">
      <c r="A72" s="870" t="s">
        <v>482</v>
      </c>
      <c r="B72" s="870" t="s">
        <v>2003</v>
      </c>
      <c r="C72" s="887">
        <f>'Expenditures 15-22'!B280</f>
        <v>3000</v>
      </c>
      <c r="D72" s="877" t="s">
        <v>469</v>
      </c>
      <c r="E72" s="869"/>
      <c r="F72" s="1939">
        <f>'Expenditures 15-22'!K280</f>
        <v>0</v>
      </c>
      <c r="G72" s="866"/>
    </row>
    <row r="73" spans="1:8" x14ac:dyDescent="0.2">
      <c r="A73" s="870" t="s">
        <v>482</v>
      </c>
      <c r="B73" s="870" t="s">
        <v>2004</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2005</v>
      </c>
      <c r="C74" s="887" t="s">
        <v>915</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2006</v>
      </c>
      <c r="E76" s="1796" t="s">
        <v>1015</v>
      </c>
      <c r="F76" s="1800">
        <f>SUM(F18:F74)</f>
        <v>2082491</v>
      </c>
      <c r="G76" s="866"/>
    </row>
    <row r="77" spans="1:8" s="894" customFormat="1" ht="12" customHeight="1" thickTop="1" thickBot="1" x14ac:dyDescent="0.25">
      <c r="A77" s="1801"/>
      <c r="B77" s="1798"/>
      <c r="C77" s="1794"/>
      <c r="D77" s="1799" t="s">
        <v>2007</v>
      </c>
      <c r="E77" s="1796"/>
      <c r="F77" s="1802">
        <f>(F14-F76)</f>
        <v>16983942</v>
      </c>
      <c r="G77" s="870"/>
    </row>
    <row r="78" spans="1:8" s="894" customFormat="1" ht="12" customHeight="1" thickTop="1" x14ac:dyDescent="0.2">
      <c r="A78" s="1803"/>
      <c r="B78" s="1798"/>
      <c r="C78" s="1794"/>
      <c r="D78" s="1799" t="s">
        <v>2054</v>
      </c>
      <c r="E78" s="1796"/>
      <c r="F78" s="899">
        <v>0</v>
      </c>
      <c r="G78" s="900"/>
      <c r="H78" s="870"/>
    </row>
    <row r="79" spans="1:8" s="894" customFormat="1" ht="12" customHeight="1" thickBot="1" x14ac:dyDescent="0.25">
      <c r="A79" s="1804"/>
      <c r="B79" s="1798"/>
      <c r="C79" s="1794"/>
      <c r="D79" s="1799" t="s">
        <v>2008</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321" t="s">
        <v>1167</v>
      </c>
      <c r="B81" s="2322"/>
      <c r="C81" s="2322"/>
      <c r="D81" s="2322"/>
      <c r="E81" s="2322"/>
      <c r="F81" s="232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8634898</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1642295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995106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2540262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1563</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1540</v>
      </c>
      <c r="C163" s="941" t="s">
        <v>1541</v>
      </c>
      <c r="D163" s="942" t="s">
        <v>1542</v>
      </c>
      <c r="E163" s="943"/>
      <c r="F163" s="1811">
        <f>SUM('Revenues 9-14'!C261:H261,'Revenues 9-14'!J261:K261)</f>
        <v>0</v>
      </c>
      <c r="G163" s="906"/>
    </row>
    <row r="164" spans="1:7" x14ac:dyDescent="0.2">
      <c r="A164" s="928" t="s">
        <v>1067</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208699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861436</v>
      </c>
      <c r="G173" s="948"/>
    </row>
    <row r="174" spans="1:7" x14ac:dyDescent="0.2">
      <c r="A174" s="949" t="s">
        <v>689</v>
      </c>
      <c r="B174" s="945" t="s">
        <v>1557</v>
      </c>
      <c r="C174" s="946">
        <f>'Revenues 9-14'!B272</f>
        <v>4999</v>
      </c>
      <c r="D174" s="947" t="str">
        <f>'Revenues 9-14'!A272</f>
        <v>Other Restricted Revenue from Federal Sources (Describe &amp; Itemize)</v>
      </c>
      <c r="E174" s="907"/>
      <c r="F174" s="1811">
        <f>SUM('Revenues 9-14'!C272:D272,'Revenues 9-14'!F272:G272)</f>
        <v>60858</v>
      </c>
      <c r="G174" s="928"/>
    </row>
    <row r="175" spans="1:7" x14ac:dyDescent="0.2">
      <c r="A175" s="1944" t="s">
        <v>5</v>
      </c>
      <c r="B175" s="1945" t="s">
        <v>2053</v>
      </c>
      <c r="C175" s="1946">
        <v>3100</v>
      </c>
      <c r="D175" s="1947" t="s">
        <v>2056</v>
      </c>
      <c r="E175" s="907"/>
      <c r="F175" s="1931"/>
      <c r="G175" s="928"/>
    </row>
    <row r="176" spans="1:7" x14ac:dyDescent="0.2">
      <c r="A176" s="1944" t="s">
        <v>685</v>
      </c>
      <c r="B176" s="1945" t="s">
        <v>2053</v>
      </c>
      <c r="C176" s="1946">
        <v>3300</v>
      </c>
      <c r="D176" s="1947" t="s">
        <v>2057</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2009</v>
      </c>
      <c r="E178" s="1809" t="s">
        <v>1015</v>
      </c>
      <c r="F178" s="1810">
        <f>SUM(F84:F136,F161:F176)</f>
        <v>14943554</v>
      </c>
    </row>
    <row r="179" spans="1:7" ht="12" customHeight="1" x14ac:dyDescent="0.2">
      <c r="A179" s="1792"/>
      <c r="B179" s="1806"/>
      <c r="C179" s="1807"/>
      <c r="D179" s="1808" t="s">
        <v>2010</v>
      </c>
      <c r="E179" s="1809"/>
      <c r="F179" s="1811">
        <f>'PCTC-OEPP 27-28'!F77-F178</f>
        <v>2040388</v>
      </c>
    </row>
    <row r="180" spans="1:7" ht="12" customHeight="1" x14ac:dyDescent="0.2">
      <c r="A180" s="1792"/>
      <c r="B180" s="1806"/>
      <c r="C180" s="1807"/>
      <c r="D180" s="1808" t="s">
        <v>1919</v>
      </c>
      <c r="E180" s="1809"/>
      <c r="F180" s="1811">
        <f>'Cap Outlay Deprec 26'!I18</f>
        <v>70242</v>
      </c>
    </row>
    <row r="181" spans="1:7" ht="12" customHeight="1" x14ac:dyDescent="0.2">
      <c r="A181" s="1792"/>
      <c r="B181" s="1806"/>
      <c r="C181" s="1807"/>
      <c r="D181" s="1808" t="s">
        <v>2011</v>
      </c>
      <c r="E181" s="1809"/>
      <c r="F181" s="1811">
        <f>F179+F180</f>
        <v>2110630</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2012</v>
      </c>
      <c r="E183" s="1809" t="s">
        <v>1625</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8" customFormat="1" ht="12.2" customHeight="1" x14ac:dyDescent="0.2">
      <c r="A186" s="1948" t="s">
        <v>2060</v>
      </c>
      <c r="B186" s="1949"/>
      <c r="C186" s="1950"/>
      <c r="D186" s="1949"/>
      <c r="E186" s="1950"/>
      <c r="F186" s="1949"/>
      <c r="G186" s="1949"/>
    </row>
    <row r="187" spans="1:7" s="1948" customFormat="1" ht="12.2" customHeight="1" x14ac:dyDescent="0.2">
      <c r="A187" s="1951" t="s">
        <v>2061</v>
      </c>
      <c r="C187" s="1950"/>
      <c r="D187" s="1949"/>
      <c r="E187" s="1950"/>
      <c r="F187" s="1949"/>
      <c r="G187" s="1949"/>
    </row>
    <row r="188" spans="1:7" ht="12" customHeight="1" x14ac:dyDescent="0.2">
      <c r="C188" s="950"/>
      <c r="D188" s="931"/>
      <c r="E188" s="950"/>
      <c r="F188" s="931"/>
      <c r="G188" s="931"/>
    </row>
    <row r="189" spans="1:7" x14ac:dyDescent="0.2">
      <c r="A189" s="1952" t="s">
        <v>2059</v>
      </c>
      <c r="B189" s="1953"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1935</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35" t="s">
        <v>1920</v>
      </c>
      <c r="B4" s="2336"/>
      <c r="C4" s="2336"/>
      <c r="D4" s="2336"/>
      <c r="E4" s="2336"/>
      <c r="F4" s="2336"/>
      <c r="G4" s="2337"/>
    </row>
    <row r="5" spans="1:7" x14ac:dyDescent="0.25">
      <c r="A5" s="2338"/>
      <c r="B5" s="2339"/>
      <c r="C5" s="2339"/>
      <c r="D5" s="2339"/>
      <c r="E5" s="2339"/>
      <c r="F5" s="2339"/>
      <c r="G5" s="2340"/>
    </row>
    <row r="6" spans="1:7" ht="18.75" x14ac:dyDescent="0.25">
      <c r="A6" s="1556" t="s">
        <v>1921</v>
      </c>
      <c r="B6" s="1557"/>
      <c r="C6" s="1557"/>
      <c r="D6" s="1557"/>
      <c r="E6" s="1557"/>
      <c r="F6" s="1557"/>
      <c r="G6" s="1558"/>
    </row>
    <row r="7" spans="1:7" ht="30.75" customHeight="1" x14ac:dyDescent="0.25">
      <c r="A7" s="2341" t="s">
        <v>2070</v>
      </c>
      <c r="B7" s="2342"/>
      <c r="C7" s="2342"/>
      <c r="D7" s="2342"/>
      <c r="E7" s="2342"/>
      <c r="F7" s="2342"/>
      <c r="G7" s="2343"/>
    </row>
    <row r="8" spans="1:7" ht="15.75" customHeight="1" x14ac:dyDescent="0.25">
      <c r="A8" s="2344" t="s">
        <v>2019</v>
      </c>
      <c r="B8" s="2345"/>
      <c r="C8" s="2345"/>
      <c r="D8" s="2345"/>
      <c r="E8" s="2345"/>
      <c r="F8" s="2345"/>
      <c r="G8" s="2346"/>
    </row>
    <row r="9" spans="1:7" ht="35.25" customHeight="1" x14ac:dyDescent="0.25">
      <c r="A9" s="2341" t="s">
        <v>2018</v>
      </c>
      <c r="B9" s="2342"/>
      <c r="C9" s="2342"/>
      <c r="D9" s="2342"/>
      <c r="E9" s="2342"/>
      <c r="F9" s="2342"/>
      <c r="G9" s="2343"/>
    </row>
    <row r="10" spans="1:7" ht="15" customHeight="1" x14ac:dyDescent="0.25">
      <c r="A10" s="1559" t="s">
        <v>1922</v>
      </c>
      <c r="B10" s="1560"/>
      <c r="C10" s="1560"/>
      <c r="D10" s="1560"/>
      <c r="E10" s="1560"/>
      <c r="F10" s="1560"/>
      <c r="G10" s="1561"/>
    </row>
    <row r="11" spans="1:7" ht="17.25" customHeight="1" x14ac:dyDescent="0.25">
      <c r="A11" s="2341" t="s">
        <v>1936</v>
      </c>
      <c r="B11" s="2342"/>
      <c r="C11" s="2342"/>
      <c r="D11" s="2342"/>
      <c r="E11" s="2342"/>
      <c r="F11" s="2342"/>
      <c r="G11" s="2343"/>
    </row>
    <row r="12" spans="1:7" ht="15" customHeight="1" x14ac:dyDescent="0.25">
      <c r="A12" s="1559" t="s">
        <v>1927</v>
      </c>
      <c r="B12" s="1560"/>
      <c r="C12" s="1560"/>
      <c r="D12" s="1560"/>
      <c r="E12" s="1560"/>
      <c r="F12" s="1560"/>
      <c r="G12" s="1561"/>
    </row>
    <row r="13" spans="1:7" ht="32.25" customHeight="1" x14ac:dyDescent="0.25">
      <c r="A13" s="2332" t="s">
        <v>1928</v>
      </c>
      <c r="B13" s="2333"/>
      <c r="C13" s="2333"/>
      <c r="D13" s="2333"/>
      <c r="E13" s="2333"/>
      <c r="F13" s="2333"/>
      <c r="G13" s="2334"/>
    </row>
    <row r="14" spans="1:7" x14ac:dyDescent="0.25">
      <c r="A14" s="1683" t="s">
        <v>1937</v>
      </c>
      <c r="B14" s="1684"/>
      <c r="C14" s="1684"/>
      <c r="D14" s="1684"/>
      <c r="E14" s="1684"/>
      <c r="F14" s="1684"/>
      <c r="G14" s="1685"/>
    </row>
    <row r="15" spans="1:7" ht="61.5" customHeight="1" x14ac:dyDescent="0.25">
      <c r="A15" s="1568" t="s">
        <v>1929</v>
      </c>
      <c r="B15" s="1568" t="s">
        <v>1930</v>
      </c>
      <c r="C15" s="1568" t="s">
        <v>1931</v>
      </c>
      <c r="D15" s="1569" t="s">
        <v>1932</v>
      </c>
      <c r="E15" s="1569" t="s">
        <v>1923</v>
      </c>
      <c r="F15" s="1569" t="s">
        <v>1933</v>
      </c>
      <c r="G15" s="1569" t="s">
        <v>1934</v>
      </c>
    </row>
    <row r="16" spans="1:7" x14ac:dyDescent="0.25">
      <c r="A16" s="1670" t="s">
        <v>1938</v>
      </c>
      <c r="B16" s="1671" t="s">
        <v>1926</v>
      </c>
      <c r="C16" s="1672" t="s">
        <v>1924</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6" t="s">
        <v>2073</v>
      </c>
      <c r="B17" s="1957" t="s">
        <v>2075</v>
      </c>
      <c r="C17" s="1958" t="s">
        <v>2077</v>
      </c>
      <c r="D17" s="1867">
        <v>1589710</v>
      </c>
      <c r="E17" s="1562">
        <f t="shared" ref="E17:E141" si="1">IF(D17&lt;=25000,D17,IF(D17&gt;25000,25000,0))</f>
        <v>25000</v>
      </c>
      <c r="F17" s="1815">
        <f t="shared" si="0"/>
        <v>25000</v>
      </c>
      <c r="G17" s="1816">
        <f>IF(F17=0,0,D17-F17)</f>
        <v>1564710</v>
      </c>
      <c r="H17" s="1669"/>
    </row>
    <row r="18" spans="1:8" x14ac:dyDescent="0.25">
      <c r="A18" s="1956" t="s">
        <v>2074</v>
      </c>
      <c r="B18" s="1957" t="s">
        <v>2076</v>
      </c>
      <c r="C18" s="1958" t="s">
        <v>2078</v>
      </c>
      <c r="D18" s="1867">
        <v>13848</v>
      </c>
      <c r="E18" s="1562">
        <f t="shared" ref="E18:E140" si="2">IF(D18&lt;=25000,D18,IF(D18&gt;25000,25000,0))</f>
        <v>13848</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13848</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1603558</v>
      </c>
      <c r="E141" s="1563">
        <f t="shared" si="1"/>
        <v>25000</v>
      </c>
      <c r="F141" s="1817">
        <f>SUM(F17:F140)</f>
        <v>38848</v>
      </c>
      <c r="G141" s="1818">
        <f>SUM(G17:G140)</f>
        <v>1564710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47" t="s">
        <v>1777</v>
      </c>
      <c r="B5" s="2348"/>
      <c r="C5" s="2348"/>
      <c r="D5" s="2348"/>
      <c r="E5" s="2348"/>
      <c r="F5" s="2348"/>
      <c r="G5" s="234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352" t="s">
        <v>1940</v>
      </c>
      <c r="B11" s="2353"/>
      <c r="C11" s="2353"/>
      <c r="D11" s="2354"/>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12743368</v>
      </c>
      <c r="F19" s="1822"/>
      <c r="G19" s="1824">
        <f>'Expenditures 15-22'!K33-SUM('Expenditures 15-22'!G33,'Expenditures 15-22'!I33)+'Expenditures 15-22'!D229</f>
        <v>12743368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2603679</v>
      </c>
      <c r="F21" s="1825"/>
      <c r="G21" s="1828">
        <f>'Expenditures 15-22'!K42-SUM('Expenditures 15-22'!G42,'Expenditures 15-22'!I42)+'Expenditures 15-22'!K120-SUM('Expenditures 15-22'!G120,'Expenditures 15-22'!I120)+'Expenditures 15-22'!K180-SUM('Expenditures 15-22'!G180,'Expenditures 15-22'!I180)+'Expenditures 15-22'!D238</f>
        <v>2603679</v>
      </c>
      <c r="H21" s="988"/>
      <c r="I21" s="162"/>
    </row>
    <row r="22" spans="1:9" s="669" customFormat="1" ht="12" customHeight="1" x14ac:dyDescent="0.2">
      <c r="A22" s="995" t="s">
        <v>585</v>
      </c>
      <c r="B22" s="996"/>
      <c r="C22" s="994">
        <v>2200</v>
      </c>
      <c r="D22" s="1825"/>
      <c r="E22" s="1827">
        <f>'Expenditures 15-22'!K47-SUM('Expenditures 15-22'!G47,'Expenditures 15-22'!I47)+'Expenditures 15-22'!D243</f>
        <v>634834</v>
      </c>
      <c r="F22" s="1825"/>
      <c r="G22" s="1828">
        <f>'Expenditures 15-22'!K47-SUM('Expenditures 15-22'!G47,'Expenditures 15-22'!I47)+'Expenditures 15-22'!D243</f>
        <v>634834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822011</v>
      </c>
      <c r="F23" s="1825"/>
      <c r="G23" s="1827">
        <f>'Expenditures 15-22'!K53-SUM('Expenditures 15-22'!G53,'Expenditures 15-22'!I53)+'Expenditures 15-22'!D257+'Expenditures 15-22'!K330-SUM('Expenditures 15-22'!G330,'Expenditures 15-22'!I330)</f>
        <v>822011</v>
      </c>
      <c r="H23" s="988"/>
      <c r="I23" s="162"/>
    </row>
    <row r="24" spans="1:9" s="669" customFormat="1" ht="12" customHeight="1" x14ac:dyDescent="0.2">
      <c r="A24" s="995" t="s">
        <v>587</v>
      </c>
      <c r="B24" s="996"/>
      <c r="C24" s="994">
        <v>2400</v>
      </c>
      <c r="D24" s="1825"/>
      <c r="E24" s="1827">
        <f>'Expenditures 15-22'!K57-SUM('Expenditures 15-22'!G57,'Expenditures 15-22'!I57)+'Expenditures 15-22'!D261</f>
        <v>68748</v>
      </c>
      <c r="F24" s="1825"/>
      <c r="G24" s="1828">
        <f>'Expenditures 15-22'!K57-SUM('Expenditures 15-22'!G57,'Expenditures 15-22'!I57)+'Expenditures 15-22'!D261</f>
        <v>68748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103097</v>
      </c>
      <c r="E27" s="1827">
        <f>E8</f>
        <v>0</v>
      </c>
      <c r="F27" s="1827">
        <f>'Expenditures 15-22'!K60-SUM('Expenditures 15-22'!G60,'Expenditures 15-22'!I60)+'Expenditures 15-22'!D264-E8</f>
        <v>103097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77571</v>
      </c>
      <c r="F28" s="1829">
        <f>'Expenditures 15-22'!K61-SUM('Expenditures 15-22'!G61,'Expenditures 15-22'!I61)+'Expenditures 15-22'!K124-SUM('Expenditures 15-22'!G124,'Expenditures 15-22'!I124)+'Expenditures 15-22'!D266-E9</f>
        <v>77571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1600816</v>
      </c>
      <c r="F29" s="1825"/>
      <c r="G29" s="1828">
        <f>'Expenditures 15-22'!K62-SUM('Expenditures 15-22'!G62,'Expenditures 15-22'!I62)+'Expenditures 15-22'!K125-SUM('Expenditures 15-22'!G125,'Expenditures 15-22'!I125)+'Expenditures 15-22'!K182-SUM('Expenditures 15-22'!G182,'Expenditures 15-22'!I182)+'Expenditures 15-22'!D267</f>
        <v>1600816</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3799</v>
      </c>
      <c r="E31" s="1827">
        <f>E12</f>
        <v>0</v>
      </c>
      <c r="F31" s="1827">
        <f>'Expenditures 15-22'!K64-SUM('Expenditures 15-22'!G64,'Expenditures 15-22'!I64)+'Expenditures 15-22'!D269-E12</f>
        <v>3799</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6137</v>
      </c>
      <c r="E37" s="1827">
        <f>E14</f>
        <v>0</v>
      </c>
      <c r="F37" s="1827">
        <f>'Expenditures 15-22'!K71-SUM('Expenditures 15-22'!G71,'Expenditures 15-22'!I71)+'Expenditures 15-22'!D276-E14</f>
        <v>6137</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135197</v>
      </c>
      <c r="F39" s="1825"/>
      <c r="G39" s="1827">
        <f>'Expenditures 15-22'!K75-SUM('Expenditures 15-22'!G75,'Expenditures 15-22'!I75)+'Expenditures 15-22'!K130-SUM('Expenditures 15-22'!G130,'Expenditures 15-22'!I130)+'Expenditures 15-22'!K185-SUM('Expenditures 15-22'!G185,'Expenditures 15-22'!I185)+'Expenditures 15-22'!D280</f>
        <v>135197</v>
      </c>
    </row>
    <row r="40" spans="1:7" ht="12" customHeight="1" x14ac:dyDescent="0.2">
      <c r="A40" s="991" t="s">
        <v>1925</v>
      </c>
      <c r="B40" s="992"/>
      <c r="C40" s="994"/>
      <c r="D40" s="1825"/>
      <c r="E40" s="1829">
        <f>-'Contracts Paid in CY 29'!G141</f>
        <v>-1564710</v>
      </c>
      <c r="F40" s="1825"/>
      <c r="G40" s="1829">
        <f>-'Contracts Paid in CY 29'!G141</f>
        <v>-1564710</v>
      </c>
    </row>
    <row r="41" spans="1:7" ht="12" customHeight="1" x14ac:dyDescent="0.2">
      <c r="A41" s="999" t="s">
        <v>158</v>
      </c>
      <c r="B41" s="1000"/>
      <c r="C41" s="1001"/>
      <c r="D41" s="1829">
        <f>SUM(D19:D39)</f>
        <v>113033</v>
      </c>
      <c r="E41" s="1829">
        <f>SUM(E19:E40)</f>
        <v>17121514</v>
      </c>
      <c r="F41" s="1829">
        <f>SUM(F19:F39)</f>
        <v>190604</v>
      </c>
      <c r="G41" s="1829">
        <f>SUM(G19:G40)</f>
        <v>17043943</v>
      </c>
    </row>
    <row r="42" spans="1:7" x14ac:dyDescent="0.2">
      <c r="A42" s="988"/>
      <c r="B42" s="162"/>
      <c r="C42" s="1002"/>
      <c r="D42" s="2350" t="s">
        <v>543</v>
      </c>
      <c r="E42" s="2351"/>
      <c r="F42" s="1003" t="s">
        <v>544</v>
      </c>
      <c r="G42" s="1004"/>
    </row>
    <row r="43" spans="1:7" ht="12" customHeight="1" x14ac:dyDescent="0.2">
      <c r="A43" s="988"/>
      <c r="B43" s="162"/>
      <c r="C43" s="1002"/>
      <c r="D43" s="1830" t="s">
        <v>493</v>
      </c>
      <c r="E43" s="1831">
        <f>D41</f>
        <v>113033</v>
      </c>
      <c r="F43" s="1830" t="s">
        <v>495</v>
      </c>
      <c r="G43" s="1831">
        <f>F41</f>
        <v>190604</v>
      </c>
    </row>
    <row r="44" spans="1:7" ht="12" customHeight="1" x14ac:dyDescent="0.2">
      <c r="A44" s="988"/>
      <c r="B44" s="162"/>
      <c r="C44" s="1002"/>
      <c r="D44" s="1830" t="s">
        <v>494</v>
      </c>
      <c r="E44" s="1831">
        <f>E41</f>
        <v>17121514</v>
      </c>
      <c r="F44" s="1830" t="s">
        <v>494</v>
      </c>
      <c r="G44" s="1831">
        <f>G41</f>
        <v>17043943</v>
      </c>
    </row>
    <row r="45" spans="1:7" ht="12" customHeight="1" x14ac:dyDescent="0.2">
      <c r="A45" s="988"/>
      <c r="B45" s="162"/>
      <c r="C45" s="162"/>
      <c r="D45" s="1832" t="s">
        <v>1063</v>
      </c>
      <c r="E45" s="1833">
        <f>(E43/E44)</f>
        <v>6.6018110314309819E-3</v>
      </c>
      <c r="F45" s="1832" t="s">
        <v>1063</v>
      </c>
      <c r="G45" s="1833">
        <f>(G43/G44)</f>
        <v>1.1183093020200784E-2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58" t="s">
        <v>1446</v>
      </c>
      <c r="B1" s="2358"/>
      <c r="C1" s="2358"/>
      <c r="D1" s="2358"/>
      <c r="E1" s="2358"/>
      <c r="F1" s="2358"/>
    </row>
    <row r="2" spans="1:10" x14ac:dyDescent="0.2">
      <c r="A2" s="1912" t="s">
        <v>2043</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59" t="s">
        <v>1626</v>
      </c>
      <c r="B5" s="2360"/>
      <c r="C5" s="2361"/>
      <c r="D5" s="2361"/>
      <c r="E5" s="2361"/>
      <c r="F5" s="2361"/>
    </row>
    <row r="6" spans="1:10" ht="12" customHeight="1" x14ac:dyDescent="0.25">
      <c r="A6" s="1875"/>
      <c r="B6" s="1876"/>
      <c r="C6" s="2362" t="str">
        <f>COVER!A17</f>
        <v>Williamson Co SpEd District</v>
      </c>
      <c r="D6" s="2362"/>
      <c r="E6" s="2362"/>
      <c r="F6" s="1877"/>
    </row>
    <row r="7" spans="1:10" ht="11.25" customHeight="1" thickBot="1" x14ac:dyDescent="0.3">
      <c r="A7" s="1875"/>
      <c r="B7" s="1876"/>
      <c r="C7" s="2363">
        <f>COVER!A13</f>
        <v>21100801060</v>
      </c>
      <c r="D7" s="2363"/>
      <c r="E7" s="2363"/>
      <c r="F7" s="1877"/>
    </row>
    <row r="8" spans="1:10" ht="25.5" customHeight="1" thickBot="1" x14ac:dyDescent="0.25">
      <c r="A8" s="1918" t="s">
        <v>2020</v>
      </c>
      <c r="B8" s="1878" t="s">
        <v>2072</v>
      </c>
      <c r="C8" s="1914" t="s">
        <v>1779</v>
      </c>
      <c r="D8" s="1913" t="s">
        <v>1780</v>
      </c>
      <c r="E8" s="1915" t="s">
        <v>1447</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1607</v>
      </c>
      <c r="B19" s="1889"/>
      <c r="C19" s="1890"/>
      <c r="D19" s="1890"/>
      <c r="E19" s="1893"/>
      <c r="F19" s="1892"/>
      <c r="H19" s="1903">
        <f t="shared" si="0"/>
        <v>0</v>
      </c>
      <c r="I19" s="1903">
        <f t="shared" si="1"/>
        <v>0</v>
      </c>
      <c r="J19" s="1903">
        <f t="shared" si="2"/>
        <v>0</v>
      </c>
    </row>
    <row r="20" spans="1:12" ht="12" customHeight="1" x14ac:dyDescent="0.2">
      <c r="A20" s="1888" t="s">
        <v>1608</v>
      </c>
      <c r="B20" s="1889"/>
      <c r="C20" s="1890"/>
      <c r="D20" s="1890"/>
      <c r="E20" s="1893"/>
      <c r="F20" s="1892"/>
      <c r="H20" s="1903">
        <f t="shared" si="0"/>
        <v>0</v>
      </c>
      <c r="I20" s="1903">
        <f t="shared" si="1"/>
        <v>0</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c r="D26" s="1890"/>
      <c r="E26" s="1893"/>
      <c r="F26" s="1892"/>
      <c r="H26" s="1903">
        <f t="shared" si="0"/>
        <v>0</v>
      </c>
      <c r="I26" s="1903">
        <f t="shared" si="1"/>
        <v>0</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64"/>
      <c r="D35" s="2364"/>
      <c r="E35" s="2364"/>
      <c r="F35" s="2365"/>
    </row>
    <row r="36" spans="1:11" ht="12" customHeight="1" x14ac:dyDescent="0.2">
      <c r="A36" s="2355"/>
      <c r="B36" s="2356"/>
      <c r="C36" s="2356"/>
      <c r="D36" s="2356"/>
      <c r="E36" s="2356"/>
      <c r="F36" s="2357"/>
    </row>
    <row r="37" spans="1:11" ht="12" customHeight="1" x14ac:dyDescent="0.2">
      <c r="A37" s="2355"/>
      <c r="B37" s="2356"/>
      <c r="C37" s="2356"/>
      <c r="D37" s="2356"/>
      <c r="E37" s="2356"/>
      <c r="F37" s="2357"/>
    </row>
    <row r="38" spans="1:11" ht="12" customHeight="1" x14ac:dyDescent="0.2">
      <c r="A38" s="2369"/>
      <c r="B38" s="2370"/>
      <c r="C38" s="2370"/>
      <c r="D38" s="2370"/>
      <c r="E38" s="2370"/>
      <c r="F38" s="2371"/>
    </row>
    <row r="39" spans="1:11" ht="4.5" hidden="1" customHeight="1" x14ac:dyDescent="0.2">
      <c r="A39" s="1898"/>
      <c r="B39" s="1898"/>
      <c r="C39" s="1898"/>
      <c r="D39" s="1898"/>
      <c r="E39" s="1898"/>
      <c r="F39" s="1898"/>
    </row>
    <row r="40" spans="1:11" s="1895" customFormat="1" ht="12" customHeight="1" x14ac:dyDescent="0.25">
      <c r="A40" s="1899" t="s">
        <v>1458</v>
      </c>
      <c r="B40" s="1900"/>
      <c r="C40" s="2372"/>
      <c r="D40" s="2372"/>
      <c r="E40" s="2372"/>
      <c r="F40" s="2373"/>
      <c r="H40" s="1904"/>
      <c r="I40" s="1904"/>
      <c r="J40" s="1904"/>
      <c r="K40" s="1904"/>
    </row>
    <row r="41" spans="1:11" s="1895" customFormat="1" ht="12" customHeight="1" x14ac:dyDescent="0.25">
      <c r="A41" s="2374"/>
      <c r="B41" s="2375"/>
      <c r="C41" s="2375"/>
      <c r="D41" s="2375"/>
      <c r="E41" s="2375"/>
      <c r="F41" s="2376"/>
      <c r="H41" s="1904"/>
      <c r="I41" s="1904"/>
      <c r="J41" s="1904"/>
      <c r="K41" s="1904"/>
    </row>
    <row r="42" spans="1:11" s="1895" customFormat="1" ht="12" customHeight="1" x14ac:dyDescent="0.25">
      <c r="A42" s="2374"/>
      <c r="B42" s="2375"/>
      <c r="C42" s="2375"/>
      <c r="D42" s="2375"/>
      <c r="E42" s="2375"/>
      <c r="F42" s="2376"/>
      <c r="H42" s="1904"/>
      <c r="I42" s="1904"/>
      <c r="J42" s="1904"/>
      <c r="K42" s="1904"/>
    </row>
    <row r="43" spans="1:11" s="1895" customFormat="1" ht="15" x14ac:dyDescent="0.25">
      <c r="A43" s="2366"/>
      <c r="B43" s="2367"/>
      <c r="C43" s="2367"/>
      <c r="D43" s="2367"/>
      <c r="E43" s="2367"/>
      <c r="F43" s="2368"/>
      <c r="H43" s="1904"/>
      <c r="I43" s="1904"/>
      <c r="J43" s="1904"/>
      <c r="K43" s="1904"/>
    </row>
    <row r="44" spans="1:11" s="1895" customFormat="1" ht="12" hidden="1" customHeight="1" x14ac:dyDescent="0.25">
      <c r="A44" s="2366"/>
      <c r="B44" s="2367"/>
      <c r="C44" s="2367"/>
      <c r="D44" s="2367"/>
      <c r="E44" s="2367"/>
      <c r="F44" s="236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82" t="str">
        <f>COVER!A17</f>
        <v>Williamson Co SpEd District</v>
      </c>
      <c r="J6" s="2383"/>
      <c r="Q6" s="1686"/>
    </row>
    <row r="7" spans="1:17" x14ac:dyDescent="0.2">
      <c r="A7" s="2384" t="s">
        <v>924</v>
      </c>
      <c r="B7" s="2385"/>
      <c r="C7" s="2385"/>
      <c r="D7" s="2385"/>
      <c r="E7" s="2386"/>
      <c r="F7" s="1018"/>
      <c r="G7" s="1010"/>
      <c r="H7" s="1017" t="s">
        <v>390</v>
      </c>
      <c r="I7" s="2387">
        <f>COVER!A13</f>
        <v>21100801060</v>
      </c>
      <c r="J7" s="238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88" t="s">
        <v>502</v>
      </c>
      <c r="B11" s="2389"/>
      <c r="C11" s="239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611309</v>
      </c>
      <c r="F12" s="1040"/>
      <c r="G12" s="1834">
        <f t="shared" ref="G12:G18" si="0">SUM(E12:F12)</f>
        <v>611309</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68748</v>
      </c>
      <c r="F14" s="1040"/>
      <c r="G14" s="1834">
        <f t="shared" si="0"/>
        <v>68748</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3799</v>
      </c>
      <c r="F16" s="1040"/>
      <c r="G16" s="1834">
        <f t="shared" si="0"/>
        <v>3799</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91" t="s">
        <v>7</v>
      </c>
      <c r="C18" s="2392"/>
      <c r="D18" s="239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683856</v>
      </c>
      <c r="F19" s="1836">
        <f t="shared" si="2"/>
        <v>0</v>
      </c>
      <c r="G19" s="1836">
        <f t="shared" si="2"/>
        <v>683856</v>
      </c>
      <c r="H19" s="1836">
        <f t="shared" si="2"/>
        <v>0</v>
      </c>
      <c r="I19" s="1836">
        <f t="shared" si="2"/>
        <v>0</v>
      </c>
      <c r="J19" s="1836">
        <f t="shared" si="2"/>
        <v>0</v>
      </c>
    </row>
    <row r="20" spans="1:10" ht="13.5" thickTop="1" x14ac:dyDescent="0.2">
      <c r="A20" s="1036">
        <v>9</v>
      </c>
      <c r="B20" s="2394" t="s">
        <v>1702</v>
      </c>
      <c r="C20" s="2394"/>
      <c r="D20" s="2395"/>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400"/>
      <c r="D26" s="2400"/>
      <c r="E26" s="1051"/>
      <c r="F26" s="2399"/>
      <c r="G26" s="2399"/>
    </row>
    <row r="27" spans="1:10" x14ac:dyDescent="0.2">
      <c r="B27" s="1048"/>
      <c r="C27" s="1052" t="s">
        <v>1093</v>
      </c>
      <c r="D27" s="1053"/>
      <c r="E27" s="1054"/>
      <c r="F27" s="2396" t="s">
        <v>1588</v>
      </c>
      <c r="G27" s="2396"/>
    </row>
    <row r="28" spans="1:10" ht="28.5" customHeight="1" x14ac:dyDescent="0.2">
      <c r="B28" s="1048"/>
      <c r="C28" s="2398"/>
      <c r="D28" s="2398"/>
      <c r="E28" s="1055"/>
      <c r="F28" s="2398"/>
      <c r="G28" s="2398"/>
    </row>
    <row r="29" spans="1:10" x14ac:dyDescent="0.2">
      <c r="B29" s="1048"/>
      <c r="C29" s="1056" t="s">
        <v>1641</v>
      </c>
      <c r="E29" s="1057"/>
      <c r="F29" s="2397" t="s">
        <v>1589</v>
      </c>
      <c r="G29" s="239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79" t="s">
        <v>134</v>
      </c>
      <c r="D33" s="2380"/>
      <c r="E33" s="2380"/>
      <c r="F33" s="2380"/>
      <c r="G33" s="2380"/>
      <c r="H33" s="2380"/>
      <c r="I33" s="2380"/>
    </row>
    <row r="34" spans="1:10" ht="10.35" customHeight="1" x14ac:dyDescent="0.2">
      <c r="C34" s="2380"/>
      <c r="D34" s="2380"/>
      <c r="E34" s="2380"/>
      <c r="F34" s="2380"/>
      <c r="G34" s="2380"/>
      <c r="H34" s="2380"/>
      <c r="I34" s="2380"/>
    </row>
    <row r="35" spans="1:10" ht="7.5" customHeight="1" x14ac:dyDescent="0.2">
      <c r="C35" s="1063"/>
    </row>
    <row r="36" spans="1:10" ht="13.5" customHeight="1" x14ac:dyDescent="0.2">
      <c r="B36" s="1062"/>
      <c r="C36" s="2381" t="s">
        <v>1939</v>
      </c>
      <c r="D36" s="2380"/>
      <c r="E36" s="2380"/>
      <c r="F36" s="2380"/>
      <c r="G36" s="2380"/>
      <c r="H36" s="2380"/>
      <c r="I36" s="2380"/>
      <c r="J36" s="1064"/>
    </row>
    <row r="37" spans="1:10" ht="22.5" customHeight="1" x14ac:dyDescent="0.2">
      <c r="C37" s="2380"/>
      <c r="D37" s="2380"/>
      <c r="E37" s="2380"/>
      <c r="F37" s="2380"/>
      <c r="G37" s="2380"/>
      <c r="H37" s="2380"/>
      <c r="I37" s="2380"/>
      <c r="J37" s="1064"/>
    </row>
    <row r="38" spans="1:10" ht="7.5" customHeight="1" x14ac:dyDescent="0.2">
      <c r="C38" s="1063"/>
      <c r="D38" s="1065"/>
      <c r="E38" s="1066"/>
      <c r="F38" s="1067"/>
      <c r="G38" s="1066"/>
    </row>
    <row r="39" spans="1:10" ht="13.5" customHeight="1" x14ac:dyDescent="0.2">
      <c r="B39" s="1062"/>
      <c r="C39" s="2377" t="s">
        <v>937</v>
      </c>
      <c r="D39" s="2378"/>
      <c r="E39" s="2378"/>
      <c r="F39" s="2378"/>
      <c r="G39" s="2378"/>
      <c r="H39" s="2378"/>
      <c r="I39" s="237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2141</v>
      </c>
    </row>
    <row r="6" spans="1:2" x14ac:dyDescent="0.2">
      <c r="A6" s="1069">
        <v>2</v>
      </c>
      <c r="B6" s="329" t="s">
        <v>2142</v>
      </c>
    </row>
    <row r="7" spans="1:2" x14ac:dyDescent="0.2">
      <c r="A7" s="1069">
        <v>3</v>
      </c>
      <c r="B7" s="329" t="s">
        <v>2125</v>
      </c>
    </row>
    <row r="8" spans="1:2" x14ac:dyDescent="0.2">
      <c r="A8" s="1069">
        <v>4</v>
      </c>
      <c r="B8" s="329" t="s">
        <v>2143</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Williamson Co SpEd District</v>
      </c>
    </row>
    <row r="65" spans="2:2" x14ac:dyDescent="0.2">
      <c r="B65" s="1071">
        <f>COVER!A13</f>
        <v>21100801060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1707</v>
      </c>
    </row>
    <row r="22" spans="1:5" x14ac:dyDescent="0.2">
      <c r="A22" s="168"/>
      <c r="B22" s="162" t="s">
        <v>1963</v>
      </c>
      <c r="C22" s="162" t="s">
        <v>1231</v>
      </c>
      <c r="D22" s="167" t="s">
        <v>1965</v>
      </c>
      <c r="E22" s="1859" t="s">
        <v>1708</v>
      </c>
    </row>
    <row r="23" spans="1:5" x14ac:dyDescent="0.2">
      <c r="A23" s="168"/>
      <c r="B23" s="162" t="s">
        <v>1964</v>
      </c>
      <c r="D23" s="167" t="s">
        <v>658</v>
      </c>
      <c r="E23" s="1859" t="s">
        <v>1016</v>
      </c>
    </row>
    <row r="24" spans="1:5" x14ac:dyDescent="0.2">
      <c r="A24" s="168" t="s">
        <v>1706</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1601</v>
      </c>
      <c r="C31" s="162" t="s">
        <v>1231</v>
      </c>
      <c r="D31" s="167"/>
      <c r="E31" s="171"/>
    </row>
    <row r="32" spans="1:5" x14ac:dyDescent="0.2">
      <c r="B32" s="167" t="s">
        <v>1983</v>
      </c>
      <c r="C32" s="162" t="s">
        <v>1231</v>
      </c>
      <c r="D32" s="169" t="s">
        <v>1602</v>
      </c>
      <c r="E32" s="170" t="s">
        <v>1462</v>
      </c>
    </row>
    <row r="33" spans="1:5" x14ac:dyDescent="0.2">
      <c r="A33" s="172"/>
      <c r="D33" s="169"/>
      <c r="E33" s="171"/>
    </row>
    <row r="34" spans="1:5" x14ac:dyDescent="0.2">
      <c r="A34" s="172"/>
      <c r="D34" s="169"/>
      <c r="E34" s="171"/>
    </row>
    <row r="35" spans="1:5" ht="15.75" customHeight="1" thickBot="1" x14ac:dyDescent="0.25">
      <c r="A35" s="2118" t="s">
        <v>1125</v>
      </c>
      <c r="B35" s="2118"/>
      <c r="C35" s="2118"/>
      <c r="D35" s="2118"/>
      <c r="E35" s="211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5" t="s">
        <v>715</v>
      </c>
      <c r="B40" s="2115"/>
      <c r="C40" s="2115"/>
      <c r="D40" s="2115"/>
      <c r="E40" s="2115"/>
    </row>
    <row r="41" spans="1:5" x14ac:dyDescent="0.2">
      <c r="A41" s="2116" t="s">
        <v>1705</v>
      </c>
      <c r="B41" s="2116"/>
      <c r="C41" s="2116"/>
      <c r="D41" s="2116"/>
      <c r="E41" s="2116"/>
    </row>
    <row r="42" spans="1:5" ht="12.75" customHeight="1" x14ac:dyDescent="0.2">
      <c r="A42" s="2117" t="s">
        <v>1080</v>
      </c>
      <c r="B42" s="2117"/>
      <c r="C42" s="2117"/>
      <c r="D42" s="2117"/>
      <c r="E42" s="2117"/>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7" t="s">
        <v>1874</v>
      </c>
    </row>
    <row r="60" spans="1:3" x14ac:dyDescent="0.2">
      <c r="A60" s="196"/>
      <c r="B60" s="1507" t="s">
        <v>1875</v>
      </c>
    </row>
    <row r="61" spans="1:3" ht="6" customHeight="1" x14ac:dyDescent="0.2">
      <c r="A61" s="197"/>
      <c r="B61" s="189"/>
    </row>
    <row r="62" spans="1:3" x14ac:dyDescent="0.2">
      <c r="A62" s="169" t="s">
        <v>1713</v>
      </c>
      <c r="B62" s="198" t="s">
        <v>1871</v>
      </c>
    </row>
    <row r="63" spans="1:3" x14ac:dyDescent="0.2">
      <c r="A63" s="188"/>
      <c r="B63" s="169" t="s">
        <v>1886</v>
      </c>
    </row>
    <row r="64" spans="1:3" x14ac:dyDescent="0.2">
      <c r="A64" s="195"/>
      <c r="B64" s="1509"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8" t="s">
        <v>1716</v>
      </c>
    </row>
    <row r="72" spans="1:9" ht="9" customHeight="1" x14ac:dyDescent="0.2">
      <c r="A72" s="192"/>
      <c r="B72" s="199"/>
    </row>
    <row r="73" spans="1:9" x14ac:dyDescent="0.2">
      <c r="A73" s="189" t="s">
        <v>1717</v>
      </c>
      <c r="B73" s="169" t="s">
        <v>1882</v>
      </c>
    </row>
    <row r="74" spans="1:9" x14ac:dyDescent="0.2">
      <c r="A74" s="189"/>
      <c r="B74" s="169" t="s">
        <v>1881</v>
      </c>
    </row>
    <row r="75" spans="1:9" ht="8.25" customHeight="1" x14ac:dyDescent="0.2">
      <c r="A75" s="189"/>
      <c r="B75" s="189"/>
    </row>
    <row r="76" spans="1:9" ht="12.2" customHeight="1" x14ac:dyDescent="0.2">
      <c r="A76" s="189" t="s">
        <v>1718</v>
      </c>
      <c r="B76" s="198" t="s">
        <v>1883</v>
      </c>
    </row>
    <row r="77" spans="1:9" ht="12.2" customHeight="1" x14ac:dyDescent="0.2">
      <c r="A77" s="190"/>
      <c r="B77" s="169" t="s">
        <v>1719</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6" sqref="C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401" t="s">
        <v>1783</v>
      </c>
      <c r="B18" s="240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1457325</xdr:colOff>
                <xdr:row>3</xdr:row>
                <xdr:rowOff>152400</xdr:rowOff>
              </from>
              <to>
                <xdr:col>1</xdr:col>
                <xdr:colOff>2362200</xdr:colOff>
                <xdr:row>8</xdr:row>
                <xdr:rowOff>114300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2562225</xdr:colOff>
                <xdr:row>3</xdr:row>
                <xdr:rowOff>133350</xdr:rowOff>
              </from>
              <to>
                <xdr:col>1</xdr:col>
                <xdr:colOff>3476625</xdr:colOff>
                <xdr:row>8</xdr:row>
                <xdr:rowOff>85725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2" t="s">
        <v>1789</v>
      </c>
      <c r="B1" s="2403"/>
      <c r="C1" s="2403"/>
      <c r="D1" s="2403"/>
      <c r="E1" s="2403"/>
      <c r="F1" s="2404"/>
    </row>
    <row r="2" spans="1:8" ht="45" customHeight="1" x14ac:dyDescent="0.2">
      <c r="A2" s="2412" t="s">
        <v>1790</v>
      </c>
      <c r="B2" s="2413"/>
      <c r="C2" s="2413"/>
      <c r="D2" s="2413"/>
      <c r="E2" s="2413"/>
      <c r="F2" s="2414"/>
      <c r="G2" s="1075"/>
      <c r="H2" s="1075"/>
    </row>
    <row r="3" spans="1:8" ht="57" customHeight="1" x14ac:dyDescent="0.2">
      <c r="A3" s="2415" t="s">
        <v>1785</v>
      </c>
      <c r="B3" s="2416"/>
      <c r="C3" s="2416"/>
      <c r="D3" s="2416"/>
      <c r="E3" s="2416"/>
      <c r="F3" s="2417"/>
      <c r="G3" s="1075"/>
      <c r="H3" s="1075"/>
    </row>
    <row r="4" spans="1:8" ht="14.25" customHeight="1" x14ac:dyDescent="0.2">
      <c r="A4" s="2421" t="s">
        <v>2051</v>
      </c>
      <c r="B4" s="2422"/>
      <c r="C4" s="2422"/>
      <c r="D4" s="2422"/>
      <c r="E4" s="2422"/>
      <c r="F4" s="2423"/>
      <c r="G4" s="1075"/>
      <c r="H4" s="1075"/>
    </row>
    <row r="5" spans="1:8" ht="14.25" customHeight="1" x14ac:dyDescent="0.2">
      <c r="A5" s="2424" t="s">
        <v>2052</v>
      </c>
      <c r="B5" s="2425"/>
      <c r="C5" s="2425"/>
      <c r="D5" s="2425"/>
      <c r="E5" s="2425"/>
      <c r="F5" s="2426"/>
      <c r="G5" s="1075"/>
      <c r="H5" s="1075"/>
    </row>
    <row r="6" spans="1:8" s="1076" customFormat="1" ht="41.25" customHeight="1" x14ac:dyDescent="0.2">
      <c r="A6" s="2418" t="s">
        <v>1791</v>
      </c>
      <c r="B6" s="2419"/>
      <c r="C6" s="2419"/>
      <c r="D6" s="2419"/>
      <c r="E6" s="2419"/>
      <c r="F6" s="2420"/>
    </row>
    <row r="7" spans="1:8" ht="42" customHeight="1" x14ac:dyDescent="0.2">
      <c r="A7" s="1077" t="s">
        <v>502</v>
      </c>
      <c r="B7" s="1078" t="s">
        <v>1575</v>
      </c>
      <c r="C7" s="1078" t="s">
        <v>1576</v>
      </c>
      <c r="D7" s="1078" t="s">
        <v>1574</v>
      </c>
      <c r="E7" s="1078" t="s">
        <v>1577</v>
      </c>
      <c r="F7" s="1078" t="s">
        <v>1434</v>
      </c>
    </row>
    <row r="8" spans="1:8" s="1080" customFormat="1" ht="14.25" customHeight="1" x14ac:dyDescent="0.2">
      <c r="A8" s="1079" t="s">
        <v>1435</v>
      </c>
      <c r="B8" s="1838">
        <f>'Acct Summary 7-8'!C8</f>
        <v>17635789</v>
      </c>
      <c r="C8" s="1838">
        <f>'Acct Summary 7-8'!D8</f>
        <v>5000</v>
      </c>
      <c r="D8" s="1838">
        <f>'Acct Summary 7-8'!F8</f>
        <v>1475293</v>
      </c>
      <c r="E8" s="1838">
        <f>'Acct Summary 7-8'!I8</f>
        <v>0</v>
      </c>
      <c r="F8" s="1838">
        <f>SUM(B8:E8)</f>
        <v>19116082</v>
      </c>
    </row>
    <row r="9" spans="1:8" s="1080" customFormat="1" ht="14.25" customHeight="1" thickBot="1" x14ac:dyDescent="0.25">
      <c r="A9" s="1079" t="s">
        <v>1436</v>
      </c>
      <c r="B9" s="1839">
        <f>'Acct Summary 7-8'!C17</f>
        <v>17462829</v>
      </c>
      <c r="C9" s="1839">
        <f>'Acct Summary 7-8'!D17</f>
        <v>2788</v>
      </c>
      <c r="D9" s="1839">
        <f>'Acct Summary 7-8'!F17</f>
        <v>1600816</v>
      </c>
      <c r="E9" s="1838"/>
      <c r="F9" s="1838">
        <f>SUM(B9:E9)</f>
        <v>19066433</v>
      </c>
    </row>
    <row r="10" spans="1:8" s="1080" customFormat="1" ht="14.25" thickTop="1" thickBot="1" x14ac:dyDescent="0.25">
      <c r="A10" s="1081" t="s">
        <v>1437</v>
      </c>
      <c r="B10" s="1840">
        <f>(B8-B9)</f>
        <v>172960</v>
      </c>
      <c r="C10" s="1840">
        <f>(C8-C9)</f>
        <v>2212</v>
      </c>
      <c r="D10" s="1840">
        <f>(D8-D9)</f>
        <v>-125523</v>
      </c>
      <c r="E10" s="1839">
        <f>(E8-E9)</f>
        <v>0</v>
      </c>
      <c r="F10" s="1841">
        <f>SUM(F8-F9)</f>
        <v>49649</v>
      </c>
    </row>
    <row r="11" spans="1:8" s="1080" customFormat="1" ht="14.25" thickTop="1" thickBot="1" x14ac:dyDescent="0.25">
      <c r="A11" s="1082" t="s">
        <v>1784</v>
      </c>
      <c r="B11" s="1842">
        <f>'Acct Summary 7-8'!C81</f>
        <v>1821854</v>
      </c>
      <c r="C11" s="1842">
        <f>'Acct Summary 7-8'!D81</f>
        <v>3192</v>
      </c>
      <c r="D11" s="1842">
        <f>'Acct Summary 7-8'!F81</f>
        <v>-253173</v>
      </c>
      <c r="E11" s="1842">
        <f>'Acct Summary 7-8'!I81</f>
        <v>0</v>
      </c>
      <c r="F11" s="1843">
        <f>SUM(B11:E11)</f>
        <v>1571873</v>
      </c>
    </row>
    <row r="12" spans="1:8" ht="16.5" customHeight="1" thickTop="1" x14ac:dyDescent="0.2">
      <c r="A12" s="1083"/>
      <c r="B12" s="1084"/>
      <c r="C12" s="2406" t="str">
        <f>IF(AND(F10&lt;0,F11&gt;=0,ABS(F10*3)&gt;ABS(F11)),A16,IF(AND(F10&lt;0,F11&gt;0,ABS(F10*3)&lt;=ABS(F11)),A17,IF(AND(F10&lt;0,F11&lt;0),A16,IF(F11=0,A19,A18))))</f>
        <v>Balanced - no deficit reduction plan is required.</v>
      </c>
      <c r="D12" s="2407"/>
      <c r="E12" s="2407"/>
      <c r="F12" s="2408"/>
    </row>
    <row r="13" spans="1:8" ht="19.5" customHeight="1" x14ac:dyDescent="0.2">
      <c r="A13" s="1085"/>
      <c r="B13" s="1086"/>
      <c r="C13" s="2406"/>
      <c r="D13" s="2407"/>
      <c r="E13" s="2407"/>
      <c r="F13" s="2408"/>
      <c r="H13" s="1075"/>
    </row>
    <row r="14" spans="1:8" ht="19.5" customHeight="1" x14ac:dyDescent="0.2">
      <c r="A14" s="1085"/>
      <c r="B14" s="1086"/>
      <c r="C14" s="2406"/>
      <c r="D14" s="2407"/>
      <c r="E14" s="2407"/>
      <c r="F14" s="2408"/>
      <c r="H14" s="1075"/>
    </row>
    <row r="15" spans="1:8" ht="17.25" customHeight="1" x14ac:dyDescent="0.2">
      <c r="A15" s="1085"/>
      <c r="B15" s="1086"/>
      <c r="C15" s="2409"/>
      <c r="D15" s="2410"/>
      <c r="E15" s="2410"/>
      <c r="F15" s="2411"/>
      <c r="H15" s="1075"/>
    </row>
    <row r="16" spans="1:8" s="310" customFormat="1" ht="51.75" hidden="1" customHeight="1" x14ac:dyDescent="0.2">
      <c r="A16" s="2405" t="s">
        <v>1786</v>
      </c>
      <c r="B16" s="2405"/>
      <c r="C16" s="2405"/>
      <c r="D16" s="2405"/>
      <c r="E16" s="2405"/>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24" sqref="D2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427" t="s">
        <v>686</v>
      </c>
      <c r="B3" s="2428"/>
      <c r="C3" s="2428"/>
      <c r="D3" s="2429"/>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38" t="s">
        <v>1583</v>
      </c>
      <c r="D7" s="2439"/>
    </row>
    <row r="8" spans="1:4" s="669" customFormat="1" ht="12.75" x14ac:dyDescent="0.2">
      <c r="A8" s="1139"/>
      <c r="B8" s="1094"/>
      <c r="C8" s="1097" t="s">
        <v>1582</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1584</v>
      </c>
      <c r="D14" s="1138"/>
    </row>
    <row r="15" spans="1:4" s="669" customFormat="1" ht="21.75" customHeight="1" x14ac:dyDescent="0.2">
      <c r="A15" s="2430" t="s">
        <v>1065</v>
      </c>
      <c r="B15" s="2431"/>
      <c r="C15" s="2431"/>
      <c r="D15" s="2432"/>
    </row>
    <row r="16" spans="1:4" s="669" customFormat="1" ht="24" customHeight="1" x14ac:dyDescent="0.2">
      <c r="A16" s="2433" t="s">
        <v>684</v>
      </c>
      <c r="B16" s="2434"/>
      <c r="C16" s="2434"/>
      <c r="D16" s="2435"/>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442" t="s">
        <v>332</v>
      </c>
      <c r="D21" s="2443"/>
    </row>
    <row r="22" spans="1:10" ht="12.75" x14ac:dyDescent="0.2">
      <c r="A22" s="1140"/>
      <c r="B22" s="1141">
        <v>2</v>
      </c>
      <c r="C22" s="2440" t="s">
        <v>1604</v>
      </c>
      <c r="D22" s="244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44" t="s">
        <v>557</v>
      </c>
      <c r="D43" s="244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36" t="s">
        <v>817</v>
      </c>
      <c r="D56" s="243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436" t="s">
        <v>1796</v>
      </c>
      <c r="D70" s="243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21100801060</v>
      </c>
    </row>
    <row r="3" spans="1:2" x14ac:dyDescent="0.2">
      <c r="A3" t="s">
        <v>1013</v>
      </c>
      <c r="B3" s="138" t="str">
        <f>COVER!A15</f>
        <v>Williamson</v>
      </c>
    </row>
    <row r="4" spans="1:2" x14ac:dyDescent="0.2">
      <c r="A4" t="s">
        <v>1064</v>
      </c>
      <c r="B4" s="138" t="str">
        <f>COVER!A17</f>
        <v>Williamson Co SpEd District</v>
      </c>
    </row>
    <row r="5" spans="1:2" x14ac:dyDescent="0.2">
      <c r="A5" t="s">
        <v>728</v>
      </c>
      <c r="B5" s="138" t="str">
        <f>COVER!A38</f>
        <v>Jami Hodge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497</v>
      </c>
      <c r="B14" s="138" t="str">
        <f>IF(COVER!J31="x","Yes",IF(COVER!L31="x","No",0))</f>
        <v>No</v>
      </c>
    </row>
    <row r="15" spans="1:2" x14ac:dyDescent="0.2">
      <c r="A15" t="s">
        <v>598</v>
      </c>
      <c r="B15" s="138" t="str">
        <f>COVER!T23</f>
        <v>066-003689</v>
      </c>
    </row>
    <row r="16" spans="1:2" x14ac:dyDescent="0.2">
      <c r="A16" t="s">
        <v>442</v>
      </c>
      <c r="B16" s="138" t="str">
        <f>COVER!T13</f>
        <v>ATLAS CPAs &amp; Advisors LLC</v>
      </c>
    </row>
    <row r="17" spans="1:2" x14ac:dyDescent="0.2">
      <c r="A17" t="s">
        <v>939</v>
      </c>
      <c r="B17" s="138" t="str">
        <f>COVER!T15</f>
        <v>Jalayne M Luckett, CPA, PC</v>
      </c>
    </row>
    <row r="18" spans="1:2" x14ac:dyDescent="0.2">
      <c r="A18" t="s">
        <v>1212</v>
      </c>
      <c r="B18" s="138" t="str">
        <f>COVER!T17</f>
        <v>P.O. Box 1728</v>
      </c>
    </row>
    <row r="19" spans="1:2" x14ac:dyDescent="0.2">
      <c r="A19" t="s">
        <v>941</v>
      </c>
      <c r="B19" s="138" t="str">
        <f>COVER!T25</f>
        <v>jluckett@ghscpa.com</v>
      </c>
    </row>
    <row r="20" spans="1:2" x14ac:dyDescent="0.2">
      <c r="A20" t="s">
        <v>942</v>
      </c>
      <c r="B20" s="138" t="str">
        <f>COVER!T19</f>
        <v>Marion</v>
      </c>
    </row>
    <row r="21" spans="1:2" x14ac:dyDescent="0.2">
      <c r="A21" t="s">
        <v>500</v>
      </c>
      <c r="B21" s="138" t="str">
        <f>COVER!X19</f>
        <v>IL</v>
      </c>
    </row>
    <row r="22" spans="1:2" x14ac:dyDescent="0.2">
      <c r="A22" t="s">
        <v>943</v>
      </c>
      <c r="B22" s="138">
        <f>COVER!Z19</f>
        <v>62959</v>
      </c>
    </row>
    <row r="23" spans="1:2" x14ac:dyDescent="0.2">
      <c r="A23" t="s">
        <v>1214</v>
      </c>
      <c r="B23" s="138" t="str">
        <f>COVER!T21</f>
        <v>618-993-2647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Yes</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1984232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-9842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162378</v>
      </c>
      <c r="C91" s="2" t="s">
        <v>594</v>
      </c>
      <c r="D91" s="2" t="str">
        <f t="shared" si="0"/>
        <v>Error?</v>
      </c>
    </row>
    <row r="92" spans="1:4" x14ac:dyDescent="0.2">
      <c r="A92" s="5">
        <v>31</v>
      </c>
      <c r="B92" s="138">
        <f>'Assets-Liab 5-6'!C39</f>
        <v>1821854</v>
      </c>
      <c r="D92" s="2" t="str">
        <f t="shared" si="0"/>
        <v>Error?</v>
      </c>
    </row>
    <row r="93" spans="1:4" x14ac:dyDescent="0.2">
      <c r="A93" s="5">
        <v>32</v>
      </c>
      <c r="B93" s="138">
        <f>'Assets-Liab 5-6'!C41</f>
        <v>1984232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3192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3192</v>
      </c>
      <c r="D123" s="2" t="str">
        <f t="shared" si="0"/>
        <v>Error?</v>
      </c>
    </row>
    <row r="124" spans="1:4" x14ac:dyDescent="0.2">
      <c r="A124" s="5">
        <v>63</v>
      </c>
      <c r="B124" s="138">
        <f>'Assets-Liab 5-6'!D41</f>
        <v>3192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250327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503500</v>
      </c>
      <c r="C169" s="2" t="s">
        <v>594</v>
      </c>
      <c r="D169" s="2" t="str">
        <f t="shared" si="1"/>
        <v>Error?</v>
      </c>
    </row>
    <row r="170" spans="1:4" x14ac:dyDescent="0.2">
      <c r="A170" s="5">
        <v>109</v>
      </c>
      <c r="B170" s="138">
        <f>'Assets-Liab 5-6'!F39</f>
        <v>-253173</v>
      </c>
      <c r="D170" s="2" t="str">
        <f t="shared" si="1"/>
        <v>Error?</v>
      </c>
    </row>
    <row r="171" spans="1:4" x14ac:dyDescent="0.2">
      <c r="A171" s="5">
        <v>110</v>
      </c>
      <c r="B171" s="138">
        <f>'Assets-Liab 5-6'!F41</f>
        <v>250327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50000</v>
      </c>
      <c r="D273" s="2" t="str">
        <f t="shared" si="3"/>
        <v>Error?</v>
      </c>
    </row>
    <row r="274" spans="1:4" x14ac:dyDescent="0.2">
      <c r="A274" s="5">
        <v>213</v>
      </c>
      <c r="B274" s="138">
        <f>'Assets-Liab 5-6'!M17</f>
        <v>1049869</v>
      </c>
      <c r="D274" s="2" t="str">
        <f t="shared" si="3"/>
        <v>Error?</v>
      </c>
    </row>
    <row r="275" spans="1:4" x14ac:dyDescent="0.2">
      <c r="A275" s="5">
        <v>214</v>
      </c>
      <c r="B275" s="138">
        <f>'Assets-Liab 5-6'!M18</f>
        <v>94594</v>
      </c>
      <c r="D275" s="2" t="str">
        <f t="shared" si="3"/>
        <v>Error?</v>
      </c>
    </row>
    <row r="276" spans="1:4" x14ac:dyDescent="0.2">
      <c r="A276" s="5">
        <v>215</v>
      </c>
      <c r="B276" s="138">
        <f>'Assets-Liab 5-6'!M19</f>
        <v>97905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1292368</v>
      </c>
      <c r="C279" s="2" t="s">
        <v>594</v>
      </c>
      <c r="D279" s="2" t="str">
        <f t="shared" si="3"/>
        <v>Error?</v>
      </c>
    </row>
    <row r="280" spans="1:4" x14ac:dyDescent="0.2">
      <c r="A280" s="5">
        <v>219</v>
      </c>
      <c r="B280" s="138">
        <f>'Assets-Liab 5-6'!M40</f>
        <v>1292368</v>
      </c>
      <c r="D280" s="2" t="str">
        <f t="shared" si="3"/>
        <v>Error?</v>
      </c>
    </row>
    <row r="281" spans="1:4" x14ac:dyDescent="0.2">
      <c r="A281" s="5">
        <v>220</v>
      </c>
      <c r="B281" s="138">
        <f>'Assets-Liab 5-6'!M41</f>
        <v>1292368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8995832</v>
      </c>
      <c r="C720" s="2" t="s">
        <v>594</v>
      </c>
      <c r="D720" s="2" t="str">
        <f t="shared" si="10"/>
        <v>Error?</v>
      </c>
    </row>
    <row r="721" spans="1:4" x14ac:dyDescent="0.2">
      <c r="A721" s="5">
        <v>660</v>
      </c>
      <c r="B721" s="138">
        <f>'Expenditures 15-22'!C36</f>
        <v>330706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393492</v>
      </c>
      <c r="D723" s="2" t="str">
        <f t="shared" si="10"/>
        <v>Error?</v>
      </c>
    </row>
    <row r="724" spans="1:4" x14ac:dyDescent="0.2">
      <c r="A724" s="5">
        <v>663</v>
      </c>
      <c r="B724" s="138">
        <f>'Expenditures 15-22'!C39</f>
        <v>344487</v>
      </c>
      <c r="D724" s="2" t="str">
        <f t="shared" si="10"/>
        <v>Error?</v>
      </c>
    </row>
    <row r="725" spans="1:4" x14ac:dyDescent="0.2">
      <c r="A725" s="5">
        <v>664</v>
      </c>
      <c r="B725" s="138">
        <f>'Expenditures 15-22'!C40</f>
        <v>822327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1891012</v>
      </c>
      <c r="C727" s="2" t="s">
        <v>594</v>
      </c>
      <c r="D727" s="2" t="str">
        <f t="shared" si="10"/>
        <v>Error?</v>
      </c>
    </row>
    <row r="728" spans="1:4" x14ac:dyDescent="0.2">
      <c r="A728" s="5">
        <v>667</v>
      </c>
      <c r="B728" s="138">
        <f>'Expenditures 15-22'!C44</f>
        <v>443788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443788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326683</v>
      </c>
      <c r="D733" s="2" t="str">
        <f t="shared" si="10"/>
        <v>Error?</v>
      </c>
    </row>
    <row r="734" spans="1:4" x14ac:dyDescent="0.2">
      <c r="A734" s="5">
        <v>673</v>
      </c>
      <c r="B734" s="138">
        <f>'Expenditures 15-22'!C53</f>
        <v>326683</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48279</v>
      </c>
      <c r="D736" s="2" t="str">
        <f t="shared" si="10"/>
        <v>Error?</v>
      </c>
    </row>
    <row r="737" spans="1:4" x14ac:dyDescent="0.2">
      <c r="A737" s="5">
        <v>676</v>
      </c>
      <c r="B737" s="138">
        <f>'Expenditures 15-22'!C57</f>
        <v>48279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70297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2009</v>
      </c>
      <c r="D743" s="2" t="str">
        <f t="shared" si="10"/>
        <v>Error?</v>
      </c>
    </row>
    <row r="744" spans="1:4" x14ac:dyDescent="0.2">
      <c r="A744" s="10">
        <v>683</v>
      </c>
      <c r="D744" s="2" t="str">
        <f t="shared" si="10"/>
        <v>OK</v>
      </c>
    </row>
    <row r="745" spans="1:4" x14ac:dyDescent="0.2">
      <c r="A745" s="5">
        <v>684</v>
      </c>
      <c r="B745" s="138">
        <f>'Expenditures 15-22'!C65</f>
        <v>72306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2782068</v>
      </c>
      <c r="C755" s="2" t="s">
        <v>594</v>
      </c>
      <c r="D755" s="2" t="str">
        <f t="shared" si="10"/>
        <v>Error?</v>
      </c>
    </row>
    <row r="756" spans="1:4" x14ac:dyDescent="0.2">
      <c r="A756" s="5">
        <v>695</v>
      </c>
      <c r="B756" s="138">
        <f>'Expenditures 15-22'!C75</f>
        <v>99383</v>
      </c>
      <c r="D756" s="2" t="str">
        <f t="shared" si="10"/>
        <v>Error?</v>
      </c>
    </row>
    <row r="757" spans="1:4" x14ac:dyDescent="0.2">
      <c r="A757" s="5">
        <v>696</v>
      </c>
      <c r="B757" s="138">
        <f>'Expenditures 15-22'!C114</f>
        <v>11877283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3195387</v>
      </c>
      <c r="C778" s="2" t="s">
        <v>594</v>
      </c>
      <c r="D778" s="2" t="str">
        <f t="shared" si="11"/>
        <v>Error?</v>
      </c>
    </row>
    <row r="779" spans="1:4" x14ac:dyDescent="0.2">
      <c r="A779" s="5">
        <v>718</v>
      </c>
      <c r="B779" s="138">
        <f>'Expenditures 15-22'!D36</f>
        <v>130060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186312</v>
      </c>
      <c r="D781" s="2" t="str">
        <f t="shared" si="11"/>
        <v>Error?</v>
      </c>
    </row>
    <row r="782" spans="1:4" x14ac:dyDescent="0.2">
      <c r="A782" s="5">
        <v>721</v>
      </c>
      <c r="B782" s="138">
        <f>'Expenditures 15-22'!D39</f>
        <v>137015</v>
      </c>
      <c r="D782" s="2" t="str">
        <f t="shared" si="11"/>
        <v>Error?</v>
      </c>
    </row>
    <row r="783" spans="1:4" x14ac:dyDescent="0.2">
      <c r="A783" s="5">
        <v>722</v>
      </c>
      <c r="B783" s="138">
        <f>'Expenditures 15-22'!D40</f>
        <v>216804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670191</v>
      </c>
      <c r="C785" s="2" t="s">
        <v>594</v>
      </c>
      <c r="D785" s="2" t="str">
        <f t="shared" si="11"/>
        <v>Error?</v>
      </c>
    </row>
    <row r="786" spans="1:4" x14ac:dyDescent="0.2">
      <c r="A786" s="5">
        <v>725</v>
      </c>
      <c r="B786" s="138">
        <f>'Expenditures 15-22'!D44</f>
        <v>109096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109096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184743</v>
      </c>
      <c r="D791" s="2" t="str">
        <f t="shared" si="11"/>
        <v>Error?</v>
      </c>
    </row>
    <row r="792" spans="1:4" x14ac:dyDescent="0.2">
      <c r="A792" s="5">
        <v>731</v>
      </c>
      <c r="B792" s="138">
        <f>'Expenditures 15-22'!D53</f>
        <v>184743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19603</v>
      </c>
      <c r="D794" s="2" t="str">
        <f t="shared" si="11"/>
        <v>Error?</v>
      </c>
    </row>
    <row r="795" spans="1:4" x14ac:dyDescent="0.2">
      <c r="A795" s="5">
        <v>734</v>
      </c>
      <c r="B795" s="138">
        <f>'Expenditures 15-22'!D57</f>
        <v>19603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32651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154</v>
      </c>
      <c r="D801" s="2" t="str">
        <f t="shared" si="11"/>
        <v>Error?</v>
      </c>
    </row>
    <row r="802" spans="1:4" x14ac:dyDescent="0.2">
      <c r="A802" s="10">
        <v>741</v>
      </c>
      <c r="D802" s="2" t="str">
        <f t="shared" si="11"/>
        <v>OK</v>
      </c>
    </row>
    <row r="803" spans="1:4" x14ac:dyDescent="0.2">
      <c r="A803" s="5">
        <v>742</v>
      </c>
      <c r="B803" s="138">
        <f>'Expenditures 15-22'!D65</f>
        <v>32805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1016438</v>
      </c>
      <c r="C813" s="2" t="s">
        <v>594</v>
      </c>
      <c r="D813" s="2" t="str">
        <f t="shared" si="11"/>
        <v>Error?</v>
      </c>
    </row>
    <row r="814" spans="1:4" x14ac:dyDescent="0.2">
      <c r="A814" s="5">
        <v>753</v>
      </c>
      <c r="B814" s="138">
        <f>'Expenditures 15-22'!D75</f>
        <v>28469</v>
      </c>
      <c r="D814" s="2" t="str">
        <f t="shared" si="11"/>
        <v>Error?</v>
      </c>
    </row>
    <row r="815" spans="1:4" x14ac:dyDescent="0.2">
      <c r="A815" s="5">
        <v>754</v>
      </c>
      <c r="B815" s="138">
        <f>'Expenditures 15-22'!D114</f>
        <v>4240294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81689</v>
      </c>
      <c r="C836" s="2" t="s">
        <v>594</v>
      </c>
      <c r="D836" s="2" t="str">
        <f t="shared" si="12"/>
        <v>Error?</v>
      </c>
    </row>
    <row r="837" spans="1:4" x14ac:dyDescent="0.2">
      <c r="A837" s="5">
        <v>776</v>
      </c>
      <c r="B837" s="138">
        <f>'Expenditures 15-22'!E36</f>
        <v>3899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18130</v>
      </c>
      <c r="D839" s="2" t="str">
        <f t="shared" si="12"/>
        <v>Error?</v>
      </c>
    </row>
    <row r="840" spans="1:4" x14ac:dyDescent="0.2">
      <c r="A840" s="5">
        <v>779</v>
      </c>
      <c r="B840" s="138">
        <f>'Expenditures 15-22'!E39</f>
        <v>3919</v>
      </c>
      <c r="D840" s="2" t="str">
        <f t="shared" si="12"/>
        <v>Error?</v>
      </c>
    </row>
    <row r="841" spans="1:4" x14ac:dyDescent="0.2">
      <c r="A841" s="5">
        <v>780</v>
      </c>
      <c r="B841" s="138">
        <f>'Expenditures 15-22'!E40</f>
        <v>12599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38547</v>
      </c>
      <c r="C843" s="2" t="s">
        <v>594</v>
      </c>
      <c r="D843" s="2" t="str">
        <f t="shared" si="12"/>
        <v>Error?</v>
      </c>
    </row>
    <row r="844" spans="1:4" x14ac:dyDescent="0.2">
      <c r="A844" s="5">
        <v>783</v>
      </c>
      <c r="B844" s="138">
        <f>'Expenditures 15-22'!E44</f>
        <v>47819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47819</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92986</v>
      </c>
      <c r="D849" s="2" t="str">
        <f t="shared" si="12"/>
        <v>Error?</v>
      </c>
    </row>
    <row r="850" spans="1:4" x14ac:dyDescent="0.2">
      <c r="A850" s="5">
        <v>789</v>
      </c>
      <c r="B850" s="138">
        <f>'Expenditures 15-22'!E53</f>
        <v>303688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866</v>
      </c>
      <c r="D852" s="2" t="str">
        <f t="shared" si="12"/>
        <v>Error?</v>
      </c>
    </row>
    <row r="853" spans="1:4" x14ac:dyDescent="0.2">
      <c r="A853" s="5">
        <v>792</v>
      </c>
      <c r="B853" s="138">
        <f>'Expenditures 15-22'!E57</f>
        <v>866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149</v>
      </c>
      <c r="D855" s="2" t="str">
        <f t="shared" si="12"/>
        <v>Error?</v>
      </c>
    </row>
    <row r="856" spans="1:4" x14ac:dyDescent="0.2">
      <c r="A856" s="5">
        <v>795</v>
      </c>
      <c r="B856" s="138">
        <f>'Expenditures 15-22'!E61</f>
        <v>48371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1636</v>
      </c>
      <c r="D859" s="2" t="str">
        <f t="shared" si="12"/>
        <v>Error?</v>
      </c>
    </row>
    <row r="860" spans="1:4" x14ac:dyDescent="0.2">
      <c r="A860" s="10">
        <v>799</v>
      </c>
      <c r="D860" s="2" t="str">
        <f t="shared" si="12"/>
        <v>OK</v>
      </c>
    </row>
    <row r="861" spans="1:4" x14ac:dyDescent="0.2">
      <c r="A861" s="5">
        <v>800</v>
      </c>
      <c r="B861" s="138">
        <f>'Expenditures 15-22'!E65</f>
        <v>50156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6137</v>
      </c>
      <c r="D867" s="2" t="str">
        <f t="shared" si="12"/>
        <v>Error?</v>
      </c>
    </row>
    <row r="868" spans="1:4" x14ac:dyDescent="0.2">
      <c r="A868" s="10">
        <v>807</v>
      </c>
      <c r="D868" s="2" t="str">
        <f t="shared" si="12"/>
        <v>OK</v>
      </c>
    </row>
    <row r="869" spans="1:4" x14ac:dyDescent="0.2">
      <c r="A869" s="5">
        <v>808</v>
      </c>
      <c r="B869" s="138">
        <f>'Expenditures 15-22'!E72</f>
        <v>6137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447213</v>
      </c>
      <c r="C871" s="2" t="s">
        <v>594</v>
      </c>
      <c r="D871" s="2" t="str">
        <f t="shared" si="12"/>
        <v>Error?</v>
      </c>
    </row>
    <row r="872" spans="1:4" x14ac:dyDescent="0.2">
      <c r="A872" s="5">
        <v>811</v>
      </c>
      <c r="B872" s="138">
        <f>'Expenditures 15-22'!E75</f>
        <v>2531</v>
      </c>
      <c r="D872" s="2" t="str">
        <f t="shared" si="12"/>
        <v>Error?</v>
      </c>
    </row>
    <row r="873" spans="1:4" x14ac:dyDescent="0.2">
      <c r="A873" s="5">
        <v>812</v>
      </c>
      <c r="B873" s="138">
        <f>'Expenditures 15-22'!E114</f>
        <v>531433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420</v>
      </c>
      <c r="D893" s="2" t="str">
        <f t="shared" si="12"/>
        <v>Error?</v>
      </c>
    </row>
    <row r="894" spans="1:4" x14ac:dyDescent="0.2">
      <c r="A894" s="5">
        <v>833</v>
      </c>
      <c r="B894" s="138">
        <f>'Expenditures 15-22'!F33</f>
        <v>65762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3929</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3929</v>
      </c>
      <c r="C901" s="2" t="s">
        <v>594</v>
      </c>
      <c r="D901" s="2" t="str">
        <f t="shared" si="13"/>
        <v>Error?</v>
      </c>
    </row>
    <row r="902" spans="1:4" x14ac:dyDescent="0.2">
      <c r="A902" s="5">
        <v>841</v>
      </c>
      <c r="B902" s="138">
        <f>'Expenditures 15-22'!F44</f>
        <v>31816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31816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26412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26412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62157</v>
      </c>
      <c r="C929" s="2" t="s">
        <v>594</v>
      </c>
      <c r="D929" s="2" t="str">
        <f t="shared" si="13"/>
        <v>Error?</v>
      </c>
    </row>
    <row r="930" spans="1:4" x14ac:dyDescent="0.2">
      <c r="A930" s="5">
        <v>869</v>
      </c>
      <c r="B930" s="138">
        <f>'Expenditures 15-22'!F75</f>
        <v>4814</v>
      </c>
      <c r="D930" s="2" t="str">
        <f t="shared" si="13"/>
        <v>Error?</v>
      </c>
    </row>
    <row r="931" spans="1:4" x14ac:dyDescent="0.2">
      <c r="A931" s="5">
        <v>870</v>
      </c>
      <c r="B931" s="138">
        <f>'Expenditures 15-22'!F114</f>
        <v>132733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2069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3973</v>
      </c>
      <c r="D957" s="2" t="str">
        <f t="shared" si="13"/>
        <v>Error?</v>
      </c>
    </row>
    <row r="958" spans="1:4" x14ac:dyDescent="0.2">
      <c r="A958" s="5">
        <v>897</v>
      </c>
      <c r="B958" s="138">
        <f>'Expenditures 15-22'!G41</f>
        <v>0</v>
      </c>
      <c r="D958" s="2" t="str">
        <f t="shared" si="13"/>
        <v>Error?</v>
      </c>
    </row>
    <row r="959" spans="1:4" x14ac:dyDescent="0.2">
      <c r="A959" s="5">
        <v>898</v>
      </c>
      <c r="B959" s="138">
        <f>'Expenditures 15-22'!G42</f>
        <v>6042</v>
      </c>
      <c r="C959" s="2" t="s">
        <v>594</v>
      </c>
      <c r="D959" s="2" t="str">
        <f t="shared" ref="D959:D1022" si="14">IF(ISBLANK(B959),"OK",IF(A959-B959=0,"OK","Error?"))</f>
        <v>Error?</v>
      </c>
    </row>
    <row r="960" spans="1:4" x14ac:dyDescent="0.2">
      <c r="A960" s="5">
        <v>899</v>
      </c>
      <c r="B960" s="138">
        <f>'Expenditures 15-22'!G44</f>
        <v>4582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4582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10624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10624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404698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2315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2315</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6897</v>
      </c>
      <c r="D1023" s="2" t="str">
        <f t="shared" ref="D1023:D1086" si="15">IF(ISBLANK(B1023),"OK",IF(A1023-B1023=0,"OK","Error?"))</f>
        <v>Error?</v>
      </c>
    </row>
    <row r="1024" spans="1:4" x14ac:dyDescent="0.2">
      <c r="A1024" s="5">
        <v>963</v>
      </c>
      <c r="B1024" s="138">
        <f>'Expenditures 15-22'!H53</f>
        <v>6897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9212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239667</v>
      </c>
      <c r="C1047" s="2" t="s">
        <v>594</v>
      </c>
      <c r="D1047" s="2" t="str">
        <f t="shared" si="15"/>
        <v>Error?</v>
      </c>
    </row>
    <row r="1048" spans="1:4" x14ac:dyDescent="0.2">
      <c r="A1048" s="5">
        <v>987</v>
      </c>
      <c r="B1048" s="138">
        <f>'Expenditures 15-22'!H105</f>
        <v>16885</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16885</v>
      </c>
      <c r="C1053" s="2" t="s">
        <v>594</v>
      </c>
      <c r="D1053" s="2" t="str">
        <f t="shared" si="15"/>
        <v>Error?</v>
      </c>
    </row>
    <row r="1054" spans="1:4" x14ac:dyDescent="0.2">
      <c r="A1054" s="5">
        <v>993</v>
      </c>
      <c r="B1054" s="138">
        <f>'Expenditures 15-22'!H114</f>
        <v>670462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420</v>
      </c>
      <c r="C1107" s="2" t="s">
        <v>594</v>
      </c>
      <c r="D1107" s="2" t="str">
        <f t="shared" si="16"/>
        <v>Error?</v>
      </c>
    </row>
    <row r="1108" spans="1:4" x14ac:dyDescent="0.2">
      <c r="A1108" s="5">
        <v>1047</v>
      </c>
      <c r="B1108" s="138">
        <f>'Expenditures 15-22'!K33</f>
        <v>12743368</v>
      </c>
      <c r="C1108" s="2" t="s">
        <v>594</v>
      </c>
      <c r="D1108" s="2" t="str">
        <f t="shared" si="16"/>
        <v>Error?</v>
      </c>
    </row>
    <row r="1109" spans="1:4" x14ac:dyDescent="0.2">
      <c r="A1109" s="5">
        <v>1048</v>
      </c>
      <c r="B1109" s="138">
        <f>'Expenditures 15-22'!K36</f>
        <v>464665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600003</v>
      </c>
      <c r="C1111" s="2" t="s">
        <v>594</v>
      </c>
      <c r="D1111" s="2" t="str">
        <f t="shared" si="16"/>
        <v>Error?</v>
      </c>
    </row>
    <row r="1112" spans="1:4" x14ac:dyDescent="0.2">
      <c r="A1112" s="5">
        <v>1051</v>
      </c>
      <c r="B1112" s="138">
        <f>'Expenditures 15-22'!K39</f>
        <v>489350</v>
      </c>
      <c r="C1112" s="2" t="s">
        <v>594</v>
      </c>
      <c r="D1112" s="2" t="str">
        <f t="shared" si="16"/>
        <v>Error?</v>
      </c>
    </row>
    <row r="1113" spans="1:4" x14ac:dyDescent="0.2">
      <c r="A1113" s="5">
        <v>1052</v>
      </c>
      <c r="B1113" s="138">
        <f>'Expenditures 15-22'!K40</f>
        <v>1055703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2609721</v>
      </c>
      <c r="C1115" s="2" t="s">
        <v>594</v>
      </c>
      <c r="D1115" s="2" t="str">
        <f t="shared" si="16"/>
        <v>Error?</v>
      </c>
    </row>
    <row r="1116" spans="1:4" x14ac:dyDescent="0.2">
      <c r="A1116" s="5">
        <v>1055</v>
      </c>
      <c r="B1116" s="138">
        <f>'Expenditures 15-22'!K44</f>
        <v>639416</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639416</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611309</v>
      </c>
      <c r="C1121" s="2" t="s">
        <v>594</v>
      </c>
      <c r="D1121" s="2" t="str">
        <f t="shared" si="16"/>
        <v>Error?</v>
      </c>
    </row>
    <row r="1122" spans="1:4" x14ac:dyDescent="0.2">
      <c r="A1122" s="5">
        <v>1061</v>
      </c>
      <c r="B1122" s="138">
        <f>'Expenditures 15-22'!K53</f>
        <v>822011</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68748</v>
      </c>
      <c r="C1124" s="2" t="s">
        <v>594</v>
      </c>
      <c r="D1124" s="2" t="str">
        <f t="shared" si="16"/>
        <v>Error?</v>
      </c>
    </row>
    <row r="1125" spans="1:4" x14ac:dyDescent="0.2">
      <c r="A1125" s="5">
        <v>1064</v>
      </c>
      <c r="B1125" s="138">
        <f>'Expenditures 15-22'!K57</f>
        <v>68748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103097</v>
      </c>
      <c r="C1127" s="2" t="s">
        <v>594</v>
      </c>
      <c r="D1127" s="2" t="str">
        <f t="shared" si="16"/>
        <v>Error?</v>
      </c>
    </row>
    <row r="1128" spans="1:4" x14ac:dyDescent="0.2">
      <c r="A1128" s="5">
        <v>1067</v>
      </c>
      <c r="B1128" s="138">
        <f>'Expenditures 15-22'!K61</f>
        <v>74783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3799</v>
      </c>
      <c r="C1131" s="2" t="s">
        <v>594</v>
      </c>
      <c r="D1131" s="2" t="str">
        <f t="shared" si="16"/>
        <v>Error?</v>
      </c>
    </row>
    <row r="1132" spans="1:4" x14ac:dyDescent="0.2">
      <c r="A1132" s="10">
        <v>1071</v>
      </c>
      <c r="D1132" s="2" t="str">
        <f t="shared" si="16"/>
        <v>OK</v>
      </c>
    </row>
    <row r="1133" spans="1:4" x14ac:dyDescent="0.2">
      <c r="A1133" s="5">
        <v>1072</v>
      </c>
      <c r="B1133" s="138">
        <f>'Expenditures 15-22'!K65</f>
        <v>181679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6137</v>
      </c>
      <c r="C1139" s="2" t="s">
        <v>594</v>
      </c>
      <c r="D1139" s="2" t="str">
        <f t="shared" si="16"/>
        <v>Error?</v>
      </c>
    </row>
    <row r="1140" spans="1:4" x14ac:dyDescent="0.2">
      <c r="A1140" s="10">
        <v>1079</v>
      </c>
      <c r="D1140" s="2" t="str">
        <f t="shared" si="16"/>
        <v>OK</v>
      </c>
    </row>
    <row r="1141" spans="1:4" x14ac:dyDescent="0.2">
      <c r="A1141" s="5">
        <v>1080</v>
      </c>
      <c r="B1141" s="138">
        <f>'Expenditures 15-22'!K72</f>
        <v>6137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4327712</v>
      </c>
      <c r="C1143" s="2" t="s">
        <v>594</v>
      </c>
      <c r="D1143" s="2" t="str">
        <f t="shared" si="16"/>
        <v>Error?</v>
      </c>
    </row>
    <row r="1144" spans="1:4" x14ac:dyDescent="0.2">
      <c r="A1144" s="5">
        <v>1083</v>
      </c>
      <c r="B1144" s="138">
        <f>'Expenditures 15-22'!K75</f>
        <v>135197</v>
      </c>
      <c r="C1144" s="2" t="s">
        <v>594</v>
      </c>
      <c r="D1144" s="2" t="str">
        <f t="shared" si="16"/>
        <v>Error?</v>
      </c>
    </row>
    <row r="1145" spans="1:4" x14ac:dyDescent="0.2">
      <c r="A1145" s="5">
        <v>1084</v>
      </c>
      <c r="B1145" s="138">
        <f>'Expenditures 15-22'!K102</f>
        <v>239667</v>
      </c>
      <c r="C1145" s="2" t="s">
        <v>594</v>
      </c>
      <c r="D1145" s="2" t="str">
        <f t="shared" si="16"/>
        <v>Error?</v>
      </c>
    </row>
    <row r="1146" spans="1:4" x14ac:dyDescent="0.2">
      <c r="A1146" s="5">
        <v>1085</v>
      </c>
      <c r="B1146" s="138">
        <f>'Expenditures 15-22'!K105</f>
        <v>16885</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16885</v>
      </c>
      <c r="C1151" s="2" t="s">
        <v>594</v>
      </c>
      <c r="D1151" s="2" t="str">
        <f t="shared" ref="D1151:D1214" si="17">IF(ISBLANK(B1151),"OK",IF(A1151-B1151=0,"OK","Error?"))</f>
        <v>Error?</v>
      </c>
    </row>
    <row r="1152" spans="1:4" x14ac:dyDescent="0.2">
      <c r="A1152" s="5">
        <v>1091</v>
      </c>
      <c r="B1152" s="138">
        <f>'Expenditures 15-22'!K114</f>
        <v>17462829</v>
      </c>
      <c r="C1152" s="2" t="s">
        <v>594</v>
      </c>
      <c r="D1152" s="2" t="str">
        <f t="shared" si="17"/>
        <v>Error?</v>
      </c>
    </row>
    <row r="1153" spans="1:4" x14ac:dyDescent="0.2">
      <c r="A1153" s="5">
        <v>1092</v>
      </c>
      <c r="B1153" s="138">
        <f>'Expenditures 15-22'!K115</f>
        <v>172960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2788</v>
      </c>
      <c r="D1237" s="2" t="str">
        <f t="shared" si="18"/>
        <v>Error?</v>
      </c>
    </row>
    <row r="1238" spans="1:4" x14ac:dyDescent="0.2">
      <c r="A1238" s="10">
        <v>1177</v>
      </c>
      <c r="D1238" s="2" t="str">
        <f t="shared" si="18"/>
        <v>OK</v>
      </c>
    </row>
    <row r="1239" spans="1:4" x14ac:dyDescent="0.2">
      <c r="A1239" s="5">
        <v>1178</v>
      </c>
      <c r="B1239" s="138">
        <f>'Expenditures 15-22'!E127</f>
        <v>2788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2788</v>
      </c>
      <c r="C1241" s="2" t="s">
        <v>594</v>
      </c>
      <c r="D1241" s="2" t="str">
        <f t="shared" si="18"/>
        <v>Error?</v>
      </c>
    </row>
    <row r="1242" spans="1:4" x14ac:dyDescent="0.2">
      <c r="A1242" s="5">
        <v>1181</v>
      </c>
      <c r="B1242" s="138">
        <f>'Expenditures 15-22'!E151</f>
        <v>2788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2788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2788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2788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2788</v>
      </c>
      <c r="C1288" s="2" t="s">
        <v>594</v>
      </c>
      <c r="D1288" s="2" t="str">
        <f t="shared" si="19"/>
        <v>Error?</v>
      </c>
    </row>
    <row r="1289" spans="1:4" x14ac:dyDescent="0.2">
      <c r="A1289" s="5">
        <v>1228</v>
      </c>
      <c r="B1289" s="138">
        <f>'Expenditures 15-22'!K152</f>
        <v>2212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1600816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1600816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1600816</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1600816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1600816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1600816</v>
      </c>
      <c r="C1388" s="2" t="s">
        <v>594</v>
      </c>
      <c r="D1388" s="2" t="str">
        <f t="shared" si="20"/>
        <v>Error?</v>
      </c>
    </row>
    <row r="1389" spans="1:4" x14ac:dyDescent="0.2">
      <c r="A1389" s="5">
        <v>1328</v>
      </c>
      <c r="B1389" s="138">
        <f>'Expenditures 15-22'!K211</f>
        <v>-125523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1648894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1821854</v>
      </c>
      <c r="C1630" s="2" t="s">
        <v>594</v>
      </c>
      <c r="D1630" s="2" t="str">
        <f t="shared" si="24"/>
        <v>Error?</v>
      </c>
    </row>
    <row r="1631" spans="1:4" x14ac:dyDescent="0.2">
      <c r="A1631" s="5">
        <v>1570</v>
      </c>
      <c r="B1631" s="138">
        <f>'Acct Summary 7-8'!D79</f>
        <v>980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3192</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-127650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-253173</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50000</v>
      </c>
      <c r="D2008" s="2" t="str">
        <f t="shared" si="30"/>
        <v>Error?</v>
      </c>
    </row>
    <row r="2009" spans="1:4" x14ac:dyDescent="0.2">
      <c r="A2009" s="5">
        <v>1948</v>
      </c>
      <c r="B2009" s="138">
        <f>'Cap Outlay Deprec 26'!C8</f>
        <v>1689016</v>
      </c>
      <c r="D2009" s="2" t="str">
        <f t="shared" si="30"/>
        <v>Error?</v>
      </c>
    </row>
    <row r="2010" spans="1:4" x14ac:dyDescent="0.2">
      <c r="A2010" s="5">
        <v>1949</v>
      </c>
      <c r="B2010" s="138">
        <f>'Cap Outlay Deprec 26'!C10</f>
        <v>129994</v>
      </c>
      <c r="D2010" s="2" t="str">
        <f t="shared" si="30"/>
        <v>Error?</v>
      </c>
    </row>
    <row r="2011" spans="1:4" x14ac:dyDescent="0.2">
      <c r="A2011" s="5">
        <v>1950</v>
      </c>
      <c r="B2011" s="138">
        <f>'Cap Outlay Deprec 26'!C12</f>
        <v>377772</v>
      </c>
      <c r="D2011" s="2" t="str">
        <f t="shared" si="30"/>
        <v>Error?</v>
      </c>
    </row>
    <row r="2012" spans="1:4" x14ac:dyDescent="0.2">
      <c r="A2012" s="5">
        <v>1951</v>
      </c>
      <c r="B2012" s="138">
        <f>'Cap Outlay Deprec 26'!C13</f>
        <v>243679</v>
      </c>
      <c r="D2012" s="2" t="str">
        <f t="shared" si="30"/>
        <v>Error?</v>
      </c>
    </row>
    <row r="2013" spans="1:4" x14ac:dyDescent="0.2">
      <c r="A2013" s="5">
        <v>1952</v>
      </c>
      <c r="B2013" s="138">
        <f>'Cap Outlay Deprec 26'!C16</f>
        <v>2490461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10624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10624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12295</v>
      </c>
      <c r="D2023" s="2" t="str">
        <f t="shared" si="30"/>
        <v>Error?</v>
      </c>
    </row>
    <row r="2024" spans="1:4" x14ac:dyDescent="0.2">
      <c r="A2024" s="5">
        <v>1963</v>
      </c>
      <c r="B2024" s="138">
        <f>'Cap Outlay Deprec 26'!E13</f>
        <v>94475</v>
      </c>
      <c r="D2024" s="2" t="str">
        <f t="shared" si="30"/>
        <v>Error?</v>
      </c>
    </row>
    <row r="2025" spans="1:4" x14ac:dyDescent="0.2">
      <c r="A2025" s="5">
        <v>1964</v>
      </c>
      <c r="B2025" s="138">
        <f>'Cap Outlay Deprec 26'!E16</f>
        <v>106770</v>
      </c>
      <c r="C2025" s="2" t="s">
        <v>594</v>
      </c>
      <c r="D2025" s="2" t="str">
        <f t="shared" si="30"/>
        <v>Error?</v>
      </c>
    </row>
    <row r="2026" spans="1:4" x14ac:dyDescent="0.2">
      <c r="A2026" s="5">
        <v>1965</v>
      </c>
      <c r="B2026" s="138">
        <f>'Cap Outlay Deprec 26'!F5</f>
        <v>50000</v>
      </c>
      <c r="C2026" s="2" t="s">
        <v>594</v>
      </c>
      <c r="D2026" s="2" t="str">
        <f t="shared" si="30"/>
        <v>Error?</v>
      </c>
    </row>
    <row r="2027" spans="1:4" x14ac:dyDescent="0.2">
      <c r="A2027" s="5">
        <v>1966</v>
      </c>
      <c r="B2027" s="138">
        <f>'Cap Outlay Deprec 26'!F8</f>
        <v>1689016</v>
      </c>
      <c r="C2027" s="2" t="s">
        <v>594</v>
      </c>
      <c r="D2027" s="2" t="str">
        <f t="shared" si="30"/>
        <v>Error?</v>
      </c>
    </row>
    <row r="2028" spans="1:4" x14ac:dyDescent="0.2">
      <c r="A2028" s="5">
        <v>1967</v>
      </c>
      <c r="B2028" s="138">
        <f>'Cap Outlay Deprec 26'!F10</f>
        <v>129994</v>
      </c>
      <c r="C2028" s="2" t="s">
        <v>594</v>
      </c>
      <c r="D2028" s="2" t="str">
        <f t="shared" si="30"/>
        <v>Error?</v>
      </c>
    </row>
    <row r="2029" spans="1:4" x14ac:dyDescent="0.2">
      <c r="A2029" s="5">
        <v>1968</v>
      </c>
      <c r="B2029" s="138">
        <f>'Cap Outlay Deprec 26'!F12</f>
        <v>376101</v>
      </c>
      <c r="C2029" s="2" t="s">
        <v>594</v>
      </c>
      <c r="D2029" s="2" t="str">
        <f t="shared" si="30"/>
        <v>Error?</v>
      </c>
    </row>
    <row r="2030" spans="1:4" x14ac:dyDescent="0.2">
      <c r="A2030" s="5">
        <v>1969</v>
      </c>
      <c r="B2030" s="138">
        <f>'Cap Outlay Deprec 26'!F13</f>
        <v>149204</v>
      </c>
      <c r="C2030" s="2" t="s">
        <v>594</v>
      </c>
      <c r="D2030" s="2" t="str">
        <f t="shared" si="30"/>
        <v>Error?</v>
      </c>
    </row>
    <row r="2031" spans="1:4" x14ac:dyDescent="0.2">
      <c r="A2031" s="5">
        <v>1970</v>
      </c>
      <c r="B2031" s="138">
        <f>'Cap Outlay Deprec 26'!F16</f>
        <v>2394315</v>
      </c>
      <c r="C2031" s="2" t="s">
        <v>594</v>
      </c>
      <c r="D2031" s="2" t="str">
        <f t="shared" si="30"/>
        <v>Error?</v>
      </c>
    </row>
    <row r="2032" spans="1:4" x14ac:dyDescent="0.2">
      <c r="A2032" s="10">
        <v>1971</v>
      </c>
      <c r="D2032" s="2" t="str">
        <f t="shared" si="30"/>
        <v>OK</v>
      </c>
    </row>
    <row r="2033" spans="1:4" x14ac:dyDescent="0.2">
      <c r="A2033" s="5">
        <v>1972</v>
      </c>
      <c r="B2033" s="138">
        <f>'Cap Outlay Deprec 26'!H8</f>
        <v>598430</v>
      </c>
      <c r="D2033" s="2" t="str">
        <f t="shared" si="30"/>
        <v>Error?</v>
      </c>
    </row>
    <row r="2034" spans="1:4" x14ac:dyDescent="0.2">
      <c r="A2034" s="5">
        <v>1973</v>
      </c>
      <c r="B2034" s="138">
        <f>'Cap Outlay Deprec 26'!H10</f>
        <v>28122</v>
      </c>
      <c r="D2034" s="2" t="str">
        <f t="shared" si="30"/>
        <v>Error?</v>
      </c>
    </row>
    <row r="2035" spans="1:4" x14ac:dyDescent="0.2">
      <c r="A2035" s="5">
        <v>1974</v>
      </c>
      <c r="B2035" s="138">
        <f>'Cap Outlay Deprec 26'!H12</f>
        <v>310478</v>
      </c>
      <c r="D2035" s="2" t="str">
        <f t="shared" si="30"/>
        <v>Error?</v>
      </c>
    </row>
    <row r="2036" spans="1:4" x14ac:dyDescent="0.2">
      <c r="A2036" s="5">
        <v>1975</v>
      </c>
      <c r="B2036" s="138">
        <f>'Cap Outlay Deprec 26'!H13</f>
        <v>200305</v>
      </c>
      <c r="D2036" s="2" t="str">
        <f t="shared" si="30"/>
        <v>Error?</v>
      </c>
    </row>
    <row r="2037" spans="1:4" x14ac:dyDescent="0.2">
      <c r="A2037" s="5">
        <v>1976</v>
      </c>
      <c r="B2037" s="138">
        <f>'Cap Outlay Deprec 26'!H16</f>
        <v>1137335</v>
      </c>
      <c r="C2037" s="2" t="s">
        <v>594</v>
      </c>
      <c r="D2037" s="2" t="str">
        <f t="shared" si="30"/>
        <v>Error?</v>
      </c>
    </row>
    <row r="2038" spans="1:4" x14ac:dyDescent="0.2">
      <c r="A2038" s="10">
        <v>1977</v>
      </c>
      <c r="D2038" s="2" t="str">
        <f t="shared" si="30"/>
        <v>OK</v>
      </c>
    </row>
    <row r="2039" spans="1:4" x14ac:dyDescent="0.2">
      <c r="A2039" s="5">
        <v>1978</v>
      </c>
      <c r="B2039" s="138">
        <f>'Cap Outlay Deprec 26'!I8</f>
        <v>40717</v>
      </c>
      <c r="D2039" s="2" t="str">
        <f t="shared" si="30"/>
        <v>Error?</v>
      </c>
    </row>
    <row r="2040" spans="1:4" x14ac:dyDescent="0.2">
      <c r="A2040" s="5">
        <v>1979</v>
      </c>
      <c r="B2040" s="138">
        <f>'Cap Outlay Deprec 26'!I10</f>
        <v>7278</v>
      </c>
      <c r="D2040" s="2" t="str">
        <f t="shared" si="30"/>
        <v>Error?</v>
      </c>
    </row>
    <row r="2041" spans="1:4" x14ac:dyDescent="0.2">
      <c r="A2041" s="5">
        <v>1980</v>
      </c>
      <c r="B2041" s="138">
        <f>'Cap Outlay Deprec 26'!I12</f>
        <v>15027</v>
      </c>
      <c r="D2041" s="2" t="str">
        <f t="shared" si="30"/>
        <v>Error?</v>
      </c>
    </row>
    <row r="2042" spans="1:4" x14ac:dyDescent="0.2">
      <c r="A2042" s="5">
        <v>1981</v>
      </c>
      <c r="B2042" s="138">
        <f>'Cap Outlay Deprec 26'!I13</f>
        <v>7220</v>
      </c>
      <c r="D2042" s="2" t="str">
        <f t="shared" si="30"/>
        <v>Error?</v>
      </c>
    </row>
    <row r="2043" spans="1:4" x14ac:dyDescent="0.2">
      <c r="A2043" s="5">
        <v>1982</v>
      </c>
      <c r="B2043" s="138">
        <f>'Cap Outlay Deprec 26'!I16</f>
        <v>70242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11155</v>
      </c>
      <c r="D2047" s="2" t="str">
        <f t="shared" ref="D2047:D2110" si="31">IF(ISBLANK(B2047),"OK",IF(A2047-B2047=0,"OK","Error?"))</f>
        <v>Error?</v>
      </c>
    </row>
    <row r="2048" spans="1:4" x14ac:dyDescent="0.2">
      <c r="A2048" s="5">
        <v>1987</v>
      </c>
      <c r="B2048" s="138">
        <f>'Cap Outlay Deprec 26'!J13</f>
        <v>94475</v>
      </c>
      <c r="D2048" s="2" t="str">
        <f t="shared" si="31"/>
        <v>Error?</v>
      </c>
    </row>
    <row r="2049" spans="1:4" x14ac:dyDescent="0.2">
      <c r="A2049" s="5">
        <v>1988</v>
      </c>
      <c r="B2049" s="138">
        <f>'Cap Outlay Deprec 26'!J16</f>
        <v>105630</v>
      </c>
      <c r="C2049" s="2" t="s">
        <v>594</v>
      </c>
      <c r="D2049" s="2" t="str">
        <f t="shared" si="31"/>
        <v>Error?</v>
      </c>
    </row>
    <row r="2050" spans="1:4" x14ac:dyDescent="0.2">
      <c r="A2050" s="10">
        <v>1989</v>
      </c>
      <c r="D2050" s="2" t="str">
        <f t="shared" si="31"/>
        <v>OK</v>
      </c>
    </row>
    <row r="2051" spans="1:4" x14ac:dyDescent="0.2">
      <c r="A2051" s="5">
        <v>1990</v>
      </c>
      <c r="B2051" s="138">
        <f>'Cap Outlay Deprec 26'!K8</f>
        <v>639147</v>
      </c>
      <c r="C2051" s="2" t="s">
        <v>594</v>
      </c>
      <c r="D2051" s="2" t="str">
        <f t="shared" si="31"/>
        <v>Error?</v>
      </c>
    </row>
    <row r="2052" spans="1:4" x14ac:dyDescent="0.2">
      <c r="A2052" s="5">
        <v>1991</v>
      </c>
      <c r="B2052" s="138">
        <f>'Cap Outlay Deprec 26'!K10</f>
        <v>35400</v>
      </c>
      <c r="C2052" s="2" t="s">
        <v>594</v>
      </c>
      <c r="D2052" s="2" t="str">
        <f t="shared" si="31"/>
        <v>Error?</v>
      </c>
    </row>
    <row r="2053" spans="1:4" x14ac:dyDescent="0.2">
      <c r="A2053" s="5">
        <v>1992</v>
      </c>
      <c r="B2053" s="138">
        <f>'Cap Outlay Deprec 26'!K12</f>
        <v>314350</v>
      </c>
      <c r="C2053" s="2" t="s">
        <v>594</v>
      </c>
      <c r="D2053" s="2" t="str">
        <f t="shared" si="31"/>
        <v>Error?</v>
      </c>
    </row>
    <row r="2054" spans="1:4" x14ac:dyDescent="0.2">
      <c r="A2054" s="5">
        <v>1993</v>
      </c>
      <c r="B2054" s="138">
        <f>'Cap Outlay Deprec 26'!K13</f>
        <v>113050</v>
      </c>
      <c r="C2054" s="2" t="s">
        <v>594</v>
      </c>
      <c r="D2054" s="2" t="str">
        <f t="shared" si="31"/>
        <v>Error?</v>
      </c>
    </row>
    <row r="2055" spans="1:4" x14ac:dyDescent="0.2">
      <c r="A2055" s="5">
        <v>1994</v>
      </c>
      <c r="B2055" s="138">
        <f>'Cap Outlay Deprec 26'!K16</f>
        <v>1101947</v>
      </c>
      <c r="C2055" s="2" t="s">
        <v>594</v>
      </c>
      <c r="D2055" s="2" t="str">
        <f t="shared" si="31"/>
        <v>Error?</v>
      </c>
    </row>
    <row r="2056" spans="1:4" x14ac:dyDescent="0.2">
      <c r="A2056" s="5">
        <v>1995</v>
      </c>
      <c r="B2056" s="138">
        <f>'Cap Outlay Deprec 26'!L5</f>
        <v>50000</v>
      </c>
      <c r="C2056" s="2" t="s">
        <v>594</v>
      </c>
      <c r="D2056" s="2" t="str">
        <f t="shared" si="31"/>
        <v>Error?</v>
      </c>
    </row>
    <row r="2057" spans="1:4" x14ac:dyDescent="0.2">
      <c r="A2057" s="5">
        <v>1996</v>
      </c>
      <c r="B2057" s="138">
        <f>'Cap Outlay Deprec 26'!L8</f>
        <v>1049869</v>
      </c>
      <c r="C2057" s="2" t="s">
        <v>594</v>
      </c>
      <c r="D2057" s="2" t="str">
        <f t="shared" si="31"/>
        <v>Error?</v>
      </c>
    </row>
    <row r="2058" spans="1:4" x14ac:dyDescent="0.2">
      <c r="A2058" s="5">
        <v>1997</v>
      </c>
      <c r="B2058" s="138">
        <f>'Cap Outlay Deprec 26'!L10</f>
        <v>94594</v>
      </c>
      <c r="C2058" s="2" t="s">
        <v>594</v>
      </c>
      <c r="D2058" s="2" t="str">
        <f t="shared" si="31"/>
        <v>Error?</v>
      </c>
    </row>
    <row r="2059" spans="1:4" x14ac:dyDescent="0.2">
      <c r="A2059" s="5">
        <v>1998</v>
      </c>
      <c r="B2059" s="138">
        <f>'Cap Outlay Deprec 26'!L12</f>
        <v>61751</v>
      </c>
      <c r="C2059" s="2" t="s">
        <v>594</v>
      </c>
      <c r="D2059" s="2" t="str">
        <f t="shared" si="31"/>
        <v>Error?</v>
      </c>
    </row>
    <row r="2060" spans="1:4" x14ac:dyDescent="0.2">
      <c r="A2060" s="5">
        <v>1999</v>
      </c>
      <c r="B2060" s="138">
        <f>'Cap Outlay Deprec 26'!L13</f>
        <v>36154</v>
      </c>
      <c r="C2060" s="2" t="s">
        <v>594</v>
      </c>
      <c r="D2060" s="2" t="str">
        <f t="shared" si="31"/>
        <v>Error?</v>
      </c>
    </row>
    <row r="2061" spans="1:4" x14ac:dyDescent="0.2">
      <c r="A2061" s="5">
        <v>2000</v>
      </c>
      <c r="B2061" s="138">
        <f>'Cap Outlay Deprec 26'!L16</f>
        <v>1292368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239667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239667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8549437</v>
      </c>
      <c r="C2551" s="2" t="s">
        <v>594</v>
      </c>
      <c r="D2551" s="2" t="str">
        <f t="shared" si="38"/>
        <v>Error?</v>
      </c>
    </row>
    <row r="2552" spans="1:4" x14ac:dyDescent="0.2">
      <c r="A2552" s="10">
        <v>2491</v>
      </c>
      <c r="D2552" s="2" t="str">
        <f t="shared" si="38"/>
        <v>OK</v>
      </c>
    </row>
    <row r="2553" spans="1:4" x14ac:dyDescent="0.2">
      <c r="A2553" s="5">
        <v>2492</v>
      </c>
      <c r="B2553" s="138">
        <f>'Acct Summary 7-8'!C6</f>
        <v>5342580</v>
      </c>
      <c r="C2553" s="2" t="s">
        <v>594</v>
      </c>
      <c r="D2553" s="2" t="str">
        <f t="shared" si="38"/>
        <v>Error?</v>
      </c>
    </row>
    <row r="2554" spans="1:4" x14ac:dyDescent="0.2">
      <c r="A2554" s="5">
        <v>2493</v>
      </c>
      <c r="B2554" s="138">
        <f>'Acct Summary 7-8'!C7</f>
        <v>3743772</v>
      </c>
      <c r="C2554" s="2" t="s">
        <v>594</v>
      </c>
      <c r="D2554" s="2" t="str">
        <f t="shared" si="38"/>
        <v>Error?</v>
      </c>
    </row>
    <row r="2555" spans="1:4" x14ac:dyDescent="0.2">
      <c r="A2555" s="5">
        <v>2494</v>
      </c>
      <c r="B2555" s="138">
        <f>'Acct Summary 7-8'!C8</f>
        <v>17635789</v>
      </c>
      <c r="C2555" s="2" t="s">
        <v>594</v>
      </c>
      <c r="D2555" s="2" t="str">
        <f t="shared" si="38"/>
        <v>Error?</v>
      </c>
    </row>
    <row r="2556" spans="1:4" x14ac:dyDescent="0.2">
      <c r="A2556" s="5">
        <v>2495</v>
      </c>
      <c r="B2556" s="138">
        <f>'Acct Summary 7-8'!C12</f>
        <v>12743368</v>
      </c>
      <c r="C2556" s="2" t="s">
        <v>594</v>
      </c>
      <c r="D2556" s="2" t="str">
        <f t="shared" si="38"/>
        <v>Error?</v>
      </c>
    </row>
    <row r="2557" spans="1:4" x14ac:dyDescent="0.2">
      <c r="A2557" s="5">
        <v>2496</v>
      </c>
      <c r="B2557" s="138">
        <f>'Acct Summary 7-8'!C13</f>
        <v>4327712</v>
      </c>
      <c r="C2557" s="2" t="s">
        <v>594</v>
      </c>
      <c r="D2557" s="2" t="str">
        <f t="shared" si="38"/>
        <v>Error?</v>
      </c>
    </row>
    <row r="2558" spans="1:4" x14ac:dyDescent="0.2">
      <c r="A2558" s="5">
        <v>2497</v>
      </c>
      <c r="B2558" s="138">
        <f>'Acct Summary 7-8'!C14</f>
        <v>135197</v>
      </c>
      <c r="C2558" s="2" t="s">
        <v>594</v>
      </c>
      <c r="D2558" s="2" t="str">
        <f t="shared" si="38"/>
        <v>Error?</v>
      </c>
    </row>
    <row r="2559" spans="1:4" x14ac:dyDescent="0.2">
      <c r="A2559" s="5">
        <v>2498</v>
      </c>
      <c r="B2559" s="138">
        <f>'Acct Summary 7-8'!C15</f>
        <v>239667</v>
      </c>
      <c r="C2559" s="2" t="s">
        <v>594</v>
      </c>
      <c r="D2559" s="2" t="str">
        <f t="shared" ref="D2559:D2622" si="39">IF(ISBLANK(B2559),"OK",IF(A2559-B2559=0,"OK","Error?"))</f>
        <v>Error?</v>
      </c>
    </row>
    <row r="2560" spans="1:4" x14ac:dyDescent="0.2">
      <c r="A2560" s="5">
        <v>2499</v>
      </c>
      <c r="B2560" s="138">
        <f>'Acct Summary 7-8'!C16</f>
        <v>16885</v>
      </c>
      <c r="C2560" s="2" t="s">
        <v>594</v>
      </c>
      <c r="D2560" s="2" t="str">
        <f t="shared" si="39"/>
        <v>Error?</v>
      </c>
    </row>
    <row r="2561" spans="1:4" x14ac:dyDescent="0.2">
      <c r="A2561" s="5">
        <v>2500</v>
      </c>
      <c r="B2561" s="138">
        <f>'Acct Summary 7-8'!C17</f>
        <v>17462829</v>
      </c>
      <c r="C2561" s="2" t="s">
        <v>594</v>
      </c>
      <c r="D2561" s="2" t="str">
        <f t="shared" si="39"/>
        <v>Error?</v>
      </c>
    </row>
    <row r="2562" spans="1:4" x14ac:dyDescent="0.2">
      <c r="A2562" s="5">
        <v>2501</v>
      </c>
      <c r="B2562" s="138">
        <f>'Acct Summary 7-8'!C20</f>
        <v>172960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5000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5000</v>
      </c>
      <c r="C2568" s="2" t="s">
        <v>594</v>
      </c>
      <c r="D2568" s="2" t="str">
        <f t="shared" si="39"/>
        <v>Error?</v>
      </c>
    </row>
    <row r="2569" spans="1:4" x14ac:dyDescent="0.2">
      <c r="A2569" s="5">
        <v>2508</v>
      </c>
      <c r="B2569" s="138">
        <f>'Acct Summary 7-8'!D13</f>
        <v>2788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2788</v>
      </c>
      <c r="C2573" s="2" t="s">
        <v>594</v>
      </c>
      <c r="D2573" s="2" t="str">
        <f t="shared" si="39"/>
        <v>Error?</v>
      </c>
    </row>
    <row r="2574" spans="1:4" x14ac:dyDescent="0.2">
      <c r="A2574" s="5">
        <v>2513</v>
      </c>
      <c r="B2574" s="138">
        <f>'Acct Summary 7-8'!D20</f>
        <v>2212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461878</v>
      </c>
      <c r="C2591" s="2" t="s">
        <v>594</v>
      </c>
      <c r="D2591" s="2" t="str">
        <f t="shared" si="39"/>
        <v>Error?</v>
      </c>
    </row>
    <row r="2592" spans="1:4" x14ac:dyDescent="0.2">
      <c r="A2592" s="10">
        <v>2531</v>
      </c>
      <c r="D2592" s="2" t="str">
        <f t="shared" si="39"/>
        <v>OK</v>
      </c>
    </row>
    <row r="2593" spans="1:4" x14ac:dyDescent="0.2">
      <c r="A2593" s="5">
        <v>2532</v>
      </c>
      <c r="B2593" s="138">
        <f>'Acct Summary 7-8'!F6</f>
        <v>995106</v>
      </c>
      <c r="C2593" s="2" t="s">
        <v>594</v>
      </c>
      <c r="D2593" s="2" t="str">
        <f t="shared" si="39"/>
        <v>Error?</v>
      </c>
    </row>
    <row r="2594" spans="1:4" x14ac:dyDescent="0.2">
      <c r="A2594" s="5">
        <v>2533</v>
      </c>
      <c r="B2594" s="138">
        <f>'Acct Summary 7-8'!F7</f>
        <v>18309</v>
      </c>
      <c r="C2594" s="2" t="s">
        <v>594</v>
      </c>
      <c r="D2594" s="2" t="str">
        <f t="shared" si="39"/>
        <v>Error?</v>
      </c>
    </row>
    <row r="2595" spans="1:4" x14ac:dyDescent="0.2">
      <c r="A2595" s="5">
        <v>2534</v>
      </c>
      <c r="B2595" s="138">
        <f>'Acct Summary 7-8'!F8</f>
        <v>1475293</v>
      </c>
      <c r="C2595" s="2" t="s">
        <v>594</v>
      </c>
      <c r="D2595" s="2" t="str">
        <f t="shared" si="39"/>
        <v>Error?</v>
      </c>
    </row>
    <row r="2596" spans="1:4" x14ac:dyDescent="0.2">
      <c r="A2596" s="5">
        <v>2535</v>
      </c>
      <c r="B2596" s="138">
        <f>'Acct Summary 7-8'!F13</f>
        <v>1600816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1600816</v>
      </c>
      <c r="C2600" s="2" t="s">
        <v>594</v>
      </c>
      <c r="D2600" s="2" t="str">
        <f t="shared" si="39"/>
        <v>Error?</v>
      </c>
    </row>
    <row r="2601" spans="1:4" x14ac:dyDescent="0.2">
      <c r="A2601" s="5">
        <v>2540</v>
      </c>
      <c r="B2601" s="138">
        <f>'Acct Summary 7-8'!F20</f>
        <v>-125523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15148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15148</v>
      </c>
      <c r="D2914" s="2" t="str">
        <f t="shared" si="44"/>
        <v>Error?</v>
      </c>
    </row>
    <row r="2915" spans="1:4" x14ac:dyDescent="0.2">
      <c r="A2915" s="10">
        <v>2854</v>
      </c>
      <c r="D2915" s="2" t="str">
        <f t="shared" si="44"/>
        <v>OK</v>
      </c>
    </row>
    <row r="2916" spans="1:4" x14ac:dyDescent="0.2">
      <c r="A2916" s="5">
        <v>2855</v>
      </c>
      <c r="B2916" s="138">
        <f>'Assets-Liab 5-6'!L34</f>
        <v>15148</v>
      </c>
      <c r="C2916" s="2" t="s">
        <v>594</v>
      </c>
      <c r="D2916" s="2" t="str">
        <f t="shared" si="44"/>
        <v>Error?</v>
      </c>
    </row>
    <row r="2917" spans="1:4" x14ac:dyDescent="0.2">
      <c r="A2917" s="5">
        <v>2856</v>
      </c>
      <c r="B2917" s="138">
        <f>'Assets-Liab 5-6'!L41</f>
        <v>15148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159509</v>
      </c>
      <c r="D2955" s="2" t="str">
        <f t="shared" si="45"/>
        <v>Error?</v>
      </c>
    </row>
    <row r="2956" spans="1:4" x14ac:dyDescent="0.2">
      <c r="A2956" s="5">
        <v>2895</v>
      </c>
      <c r="B2956" s="138">
        <f>'Expenditures 15-22'!H79</f>
        <v>80158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159509</v>
      </c>
      <c r="C2973" s="2" t="s">
        <v>594</v>
      </c>
      <c r="D2973" s="2" t="str">
        <f t="shared" si="45"/>
        <v>Error?</v>
      </c>
    </row>
    <row r="2974" spans="1:4" x14ac:dyDescent="0.2">
      <c r="A2974" s="5">
        <v>2913</v>
      </c>
      <c r="B2974" s="138">
        <f>'Expenditures 15-22'!K79</f>
        <v>80158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172960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2212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-125523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8090581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2820364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14234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54380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66806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11046365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1462134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1297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7456255.71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25092044.710000001</v>
      </c>
      <c r="C4122" s="2" t="s">
        <v>594</v>
      </c>
      <c r="D4122" s="2" t="str">
        <f t="shared" si="63"/>
        <v>Error?</v>
      </c>
    </row>
    <row r="4123" spans="1:4" x14ac:dyDescent="0.2">
      <c r="A4123" s="5">
        <v>4062</v>
      </c>
      <c r="B4123" s="138">
        <f>'Acct Summary 7-8'!D10</f>
        <v>5000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1475293</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7456255.71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24919084.710000001</v>
      </c>
      <c r="C4136" s="2" t="s">
        <v>594</v>
      </c>
      <c r="D4136" s="2" t="str">
        <f t="shared" si="63"/>
        <v>Error?</v>
      </c>
    </row>
    <row r="4137" spans="1:4" x14ac:dyDescent="0.2">
      <c r="A4137" s="5">
        <v>4076</v>
      </c>
      <c r="B4137" s="138">
        <f>'Acct Summary 7-8'!D19</f>
        <v>2788</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1600816</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1571873</v>
      </c>
      <c r="C4269" s="2" t="s">
        <v>594</v>
      </c>
      <c r="D4269" s="2" t="str">
        <f t="shared" si="65"/>
        <v>Error?</v>
      </c>
    </row>
    <row r="4270" spans="1:5" x14ac:dyDescent="0.2">
      <c r="A4270" s="12">
        <v>4209</v>
      </c>
      <c r="B4270" s="138">
        <f>'FP Info 3'!D24</f>
        <v>503500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208699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843127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18309</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8168020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60858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461878</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167557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167557</v>
      </c>
      <c r="C5087" s="2" t="s">
        <v>594</v>
      </c>
      <c r="D5087" s="2" t="str">
        <f t="shared" si="78"/>
        <v>Error?</v>
      </c>
    </row>
    <row r="5088" spans="1:4" x14ac:dyDescent="0.2">
      <c r="A5088" s="5">
        <v>5027</v>
      </c>
      <c r="B5088" s="138">
        <f>'Revenues 9-14'!C65</f>
        <v>2049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2049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13137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14616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184058</v>
      </c>
      <c r="D5119" s="2" t="str">
        <f t="shared" ref="D5119:D5182" si="79">IF(ISBLANK(B5119),"OK",IF(A5119-B5119=0,"OK","Error?"))</f>
        <v>Error?</v>
      </c>
    </row>
    <row r="5120" spans="1:4" x14ac:dyDescent="0.2">
      <c r="A5120" s="5">
        <v>5059</v>
      </c>
      <c r="B5120" s="138">
        <f>'Revenues 9-14'!C108</f>
        <v>8379831</v>
      </c>
      <c r="C5120" s="2" t="s">
        <v>594</v>
      </c>
      <c r="D5120" s="2" t="str">
        <f t="shared" si="79"/>
        <v>Error?</v>
      </c>
    </row>
    <row r="5121" spans="1:4" x14ac:dyDescent="0.2">
      <c r="A5121" s="5">
        <v>5060</v>
      </c>
      <c r="B5121" s="138">
        <f>'Revenues 9-14'!C109</f>
        <v>8549437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1688926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1688926</v>
      </c>
      <c r="C5132" s="2" t="s">
        <v>594</v>
      </c>
      <c r="D5132" s="2" t="str">
        <f t="shared" si="79"/>
        <v>Error?</v>
      </c>
    </row>
    <row r="5133" spans="1:4" x14ac:dyDescent="0.2">
      <c r="A5133" s="5">
        <v>5072</v>
      </c>
      <c r="B5133" s="138">
        <f>'Revenues 9-14'!C124</f>
        <v>19378</v>
      </c>
      <c r="D5133" s="2" t="str">
        <f t="shared" si="79"/>
        <v>Error?</v>
      </c>
    </row>
    <row r="5134" spans="1:4" x14ac:dyDescent="0.2">
      <c r="A5134" s="5">
        <v>5073</v>
      </c>
      <c r="B5134" s="138">
        <f>'Revenues 9-14'!C125</f>
        <v>1407304</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215613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1642295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2011359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3653654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5342580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90826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2540262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2631088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3743772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3743772</v>
      </c>
      <c r="C5326" s="2" t="s">
        <v>594</v>
      </c>
      <c r="D5326" s="2" t="str">
        <f t="shared" si="82"/>
        <v>Error?</v>
      </c>
    </row>
    <row r="5327" spans="1:4" x14ac:dyDescent="0.2">
      <c r="A5327" s="5">
        <v>5266</v>
      </c>
      <c r="B5327" s="138">
        <f>'Revenues 9-14'!C275</f>
        <v>17635789</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5000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5000</v>
      </c>
      <c r="C5355" s="2" t="s">
        <v>594</v>
      </c>
      <c r="D5355" s="2" t="str">
        <f t="shared" si="82"/>
        <v>Error?</v>
      </c>
    </row>
    <row r="5356" spans="1:4" x14ac:dyDescent="0.2">
      <c r="A5356" s="5">
        <v>5295</v>
      </c>
      <c r="B5356" s="138">
        <f>'Revenues 9-14'!D109</f>
        <v>5000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5000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461878</v>
      </c>
      <c r="C5587" s="2" t="s">
        <v>594</v>
      </c>
      <c r="D5587" s="2" t="str">
        <f t="shared" si="86"/>
        <v>Error?</v>
      </c>
    </row>
    <row r="5588" spans="1:4" x14ac:dyDescent="0.2">
      <c r="A5588" s="5">
        <v>5527</v>
      </c>
      <c r="B5588" s="138">
        <f>'Revenues 9-14'!F109</f>
        <v>461878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995106</v>
      </c>
      <c r="D5617" s="2" t="str">
        <f t="shared" si="86"/>
        <v>Error?</v>
      </c>
    </row>
    <row r="5618" spans="1:4" x14ac:dyDescent="0.2">
      <c r="A5618" s="5">
        <v>5557</v>
      </c>
      <c r="B5618" s="138">
        <f>'Revenues 9-14'!F154</f>
        <v>995106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995106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995106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18309</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18309</v>
      </c>
      <c r="C5719" s="2" t="s">
        <v>594</v>
      </c>
      <c r="D5719" s="2" t="str">
        <f t="shared" si="88"/>
        <v>Error?</v>
      </c>
    </row>
    <row r="5720" spans="1:4" x14ac:dyDescent="0.2">
      <c r="A5720" s="5">
        <v>5659</v>
      </c>
      <c r="B5720" s="138">
        <f>'Revenues 9-14'!F275</f>
        <v>1475293</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2926100</v>
      </c>
      <c r="D6076" s="2" t="str">
        <f t="shared" si="93"/>
        <v>Error?</v>
      </c>
      <c r="E6076" s="2" t="s">
        <v>987</v>
      </c>
    </row>
    <row r="6077" spans="1:5" x14ac:dyDescent="0.2">
      <c r="A6077">
        <v>6016</v>
      </c>
      <c r="B6077" s="138">
        <f>'Short-Term Long-Term Debt 24'!D27</f>
        <v>938500</v>
      </c>
      <c r="D6077" s="2" t="str">
        <f t="shared" si="93"/>
        <v>Error?</v>
      </c>
      <c r="E6077" s="2" t="s">
        <v>987</v>
      </c>
    </row>
    <row r="6078" spans="1:5" x14ac:dyDescent="0.2">
      <c r="A6078">
        <v>6017</v>
      </c>
      <c r="B6078" s="138">
        <f>'Short-Term Long-Term Debt 24'!E27</f>
        <v>3361100</v>
      </c>
      <c r="D6078" s="2" t="str">
        <f t="shared" si="93"/>
        <v>Error?</v>
      </c>
      <c r="E6078" s="2" t="s">
        <v>987</v>
      </c>
    </row>
    <row r="6079" spans="1:5" x14ac:dyDescent="0.2">
      <c r="A6079">
        <v>6018</v>
      </c>
      <c r="B6079" s="138">
        <f>'Short-Term Long-Term Debt 24'!F27</f>
        <v>503500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470578</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249030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51520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35336</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503500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136884</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172960</v>
      </c>
      <c r="D6267" s="2" t="str">
        <f t="shared" si="96"/>
        <v>Error?</v>
      </c>
      <c r="E6267" s="2" t="s">
        <v>199</v>
      </c>
    </row>
    <row r="6268" spans="1:5" x14ac:dyDescent="0.2">
      <c r="A6268">
        <v>6207</v>
      </c>
      <c r="B6268" s="138">
        <f>'Acct Summary 7-8'!D82</f>
        <v>2212</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-125523</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9.493625724124985E-2</v>
      </c>
      <c r="D6276" s="2" t="str">
        <f t="shared" si="97"/>
        <v>Error?</v>
      </c>
      <c r="E6276" s="2" t="s">
        <v>199</v>
      </c>
    </row>
    <row r="6277" spans="1:5" x14ac:dyDescent="0.2">
      <c r="A6277">
        <v>6216</v>
      </c>
      <c r="B6277" s="138">
        <f>'Acct Summary 7-8'!D83</f>
        <v>0.69298245614035092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0.49579931509284164</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905251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1696583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210702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210702</v>
      </c>
      <c r="D6940" s="2" t="str">
        <f t="shared" si="107"/>
        <v>Error?</v>
      </c>
    </row>
    <row r="6941" spans="1:4" x14ac:dyDescent="0.2">
      <c r="A6941">
        <v>6880</v>
      </c>
      <c r="B6941" s="138">
        <f>'Expenditures 15-22'!L52</f>
        <v>242926</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16885</v>
      </c>
      <c r="D7018" s="2" t="str">
        <f t="shared" si="108"/>
        <v>Error?</v>
      </c>
    </row>
    <row r="7019" spans="1:4" x14ac:dyDescent="0.2">
      <c r="A7019">
        <v>6958</v>
      </c>
      <c r="B7019" s="138">
        <f>'Expenditures 15-22'!K112</f>
        <v>16885</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375023</v>
      </c>
      <c r="D7246" s="2" t="str">
        <f t="shared" si="112"/>
        <v>Error?</v>
      </c>
    </row>
    <row r="7247" spans="1:4" x14ac:dyDescent="0.2">
      <c r="A7247">
        <f t="shared" si="113"/>
        <v>7186</v>
      </c>
      <c r="B7247" s="138">
        <f>'Expenditures 15-22'!E7</f>
        <v>67455</v>
      </c>
      <c r="D7247" s="2" t="str">
        <f t="shared" si="112"/>
        <v>Error?</v>
      </c>
    </row>
    <row r="7248" spans="1:4" x14ac:dyDescent="0.2">
      <c r="A7248">
        <f t="shared" si="113"/>
        <v>7187</v>
      </c>
      <c r="B7248" s="138">
        <f>'Expenditures 15-22'!F7</f>
        <v>10962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337892</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70242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1519</v>
      </c>
    </row>
    <row r="7757" spans="1:6" x14ac:dyDescent="0.2">
      <c r="A7757">
        <v>7696</v>
      </c>
      <c r="B7757" s="138">
        <f>'Aud Quest 2'!E87</f>
        <v>0</v>
      </c>
      <c r="D7757" s="2" t="str">
        <f t="shared" si="127"/>
        <v>Error?</v>
      </c>
      <c r="E7757" s="4" t="s">
        <v>1400</v>
      </c>
      <c r="F7757" t="s">
        <v>1519</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1603558</v>
      </c>
      <c r="D7797" s="2" t="str">
        <f t="shared" si="127"/>
        <v>Error?</v>
      </c>
      <c r="E7797" s="4" t="s">
        <v>2015</v>
      </c>
    </row>
    <row r="7798" spans="1:5" x14ac:dyDescent="0.2">
      <c r="A7798">
        <v>7737</v>
      </c>
      <c r="B7798" s="138">
        <f>'Contracts Paid in CY 29'!F141</f>
        <v>38848</v>
      </c>
      <c r="D7798" s="2" t="str">
        <f t="shared" si="127"/>
        <v>Error?</v>
      </c>
      <c r="E7798" s="4" t="s">
        <v>2015</v>
      </c>
    </row>
    <row r="7799" spans="1:5" x14ac:dyDescent="0.2">
      <c r="A7799">
        <v>7738</v>
      </c>
      <c r="B7799" s="138">
        <f>'Contracts Paid in CY 29'!G141</f>
        <v>1564710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7" zoomScale="110" zoomScaleNormal="110" workbookViewId="0">
      <selection activeCell="S45" sqref="S4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6" t="s">
        <v>1253</v>
      </c>
      <c r="B2" s="2446"/>
      <c r="C2" s="2446"/>
      <c r="D2" s="2446"/>
      <c r="E2" s="2446"/>
      <c r="F2" s="2446"/>
      <c r="G2" s="2446"/>
      <c r="H2" s="2446"/>
      <c r="I2" s="2446"/>
      <c r="J2" s="2446"/>
      <c r="K2" s="2446"/>
      <c r="L2" s="2446"/>
    </row>
    <row r="3" spans="1:29" ht="13.5" customHeight="1" x14ac:dyDescent="0.2">
      <c r="A3" s="2474" t="s">
        <v>1252</v>
      </c>
      <c r="B3" s="2474"/>
      <c r="C3" s="2474"/>
      <c r="D3" s="2474"/>
      <c r="E3" s="2474"/>
      <c r="F3" s="2474"/>
      <c r="G3" s="2474"/>
      <c r="H3" s="2474"/>
      <c r="I3" s="2474"/>
      <c r="J3" s="2474"/>
      <c r="K3" s="2474"/>
      <c r="L3" s="2474"/>
    </row>
    <row r="4" spans="1:29" ht="13.5" customHeight="1" x14ac:dyDescent="0.2">
      <c r="A4" s="2446" t="s">
        <v>1798</v>
      </c>
      <c r="B4" s="2467"/>
      <c r="C4" s="2467"/>
      <c r="D4" s="2467"/>
      <c r="E4" s="2467"/>
      <c r="F4" s="2467"/>
      <c r="G4" s="2467"/>
      <c r="H4" s="2467"/>
      <c r="I4" s="2467"/>
      <c r="J4" s="2467"/>
      <c r="K4" s="2467"/>
      <c r="L4" s="246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68" t="str">
        <f>COVER!A17</f>
        <v>Williamson Co SpEd District</v>
      </c>
      <c r="B7" s="2469"/>
      <c r="C7" s="2469"/>
      <c r="D7" s="2470"/>
      <c r="E7" s="2471">
        <f>COVER!A13</f>
        <v>21100801060</v>
      </c>
      <c r="F7" s="2472"/>
      <c r="G7" s="2475" t="str">
        <f>COVER!T23</f>
        <v>066-003689</v>
      </c>
      <c r="H7" s="2476"/>
      <c r="I7" s="2476"/>
      <c r="J7" s="2476"/>
      <c r="K7" s="2476"/>
      <c r="L7" s="2477"/>
    </row>
    <row r="8" spans="1:29" ht="13.5" customHeight="1" x14ac:dyDescent="0.2">
      <c r="A8" s="1185" t="s">
        <v>1596</v>
      </c>
      <c r="B8" s="1186"/>
      <c r="C8" s="1187"/>
      <c r="D8" s="1187"/>
      <c r="E8" s="1192"/>
      <c r="F8" s="1191"/>
      <c r="G8" s="1193" t="s">
        <v>1248</v>
      </c>
      <c r="H8" s="1194"/>
      <c r="I8" s="1194"/>
      <c r="J8" s="1194"/>
      <c r="K8" s="1194"/>
      <c r="L8" s="1195"/>
    </row>
    <row r="9" spans="1:29" ht="13.5" customHeight="1" x14ac:dyDescent="0.2">
      <c r="A9" s="2478"/>
      <c r="B9" s="2479"/>
      <c r="C9" s="2479"/>
      <c r="D9" s="2479"/>
      <c r="E9" s="2479"/>
      <c r="F9" s="2480"/>
      <c r="G9" s="2452" t="str">
        <f>COVER!T13</f>
        <v>ATLAS CPAs &amp; Advisors LLC</v>
      </c>
      <c r="H9" s="2481"/>
      <c r="I9" s="2481"/>
      <c r="J9" s="2481"/>
      <c r="K9" s="2481"/>
      <c r="L9" s="2482"/>
    </row>
    <row r="10" spans="1:29" ht="13.5" customHeight="1" x14ac:dyDescent="0.2">
      <c r="A10" s="2458" t="str">
        <f>COVER!A38</f>
        <v>Jami Hodge</v>
      </c>
      <c r="B10" s="2459"/>
      <c r="C10" s="2459"/>
      <c r="D10" s="2459"/>
      <c r="E10" s="2459"/>
      <c r="F10" s="2460"/>
      <c r="G10" s="2452" t="str">
        <f>COVER!T17</f>
        <v>P.O. Box 1728</v>
      </c>
      <c r="H10" s="2453"/>
      <c r="I10" s="2453"/>
      <c r="J10" s="2453"/>
      <c r="K10" s="2453"/>
      <c r="L10" s="2454"/>
    </row>
    <row r="11" spans="1:29" ht="13.5" customHeight="1" x14ac:dyDescent="0.2">
      <c r="A11" s="1185" t="s">
        <v>1598</v>
      </c>
      <c r="B11" s="1186"/>
      <c r="C11" s="1187"/>
      <c r="D11" s="1192"/>
      <c r="E11" s="1187"/>
      <c r="F11" s="1191"/>
      <c r="G11" s="2452" t="str">
        <f>COVER!T19</f>
        <v>Marion</v>
      </c>
      <c r="H11" s="2453"/>
      <c r="I11" s="2453"/>
      <c r="J11" s="2453"/>
      <c r="K11" s="2453"/>
      <c r="L11" s="2454"/>
    </row>
    <row r="12" spans="1:29" ht="13.5" customHeight="1" x14ac:dyDescent="0.2">
      <c r="A12" s="2461" t="s">
        <v>1597</v>
      </c>
      <c r="B12" s="2462"/>
      <c r="C12" s="2462"/>
      <c r="D12" s="2462"/>
      <c r="E12" s="2462"/>
      <c r="F12" s="2463"/>
      <c r="G12" s="2455"/>
      <c r="H12" s="2456"/>
      <c r="I12" s="2456"/>
      <c r="J12" s="2456"/>
      <c r="K12" s="2456"/>
      <c r="L12" s="2457"/>
    </row>
    <row r="13" spans="1:29" ht="13.5" customHeight="1" x14ac:dyDescent="0.2">
      <c r="A13" s="2452"/>
      <c r="B13" s="2453"/>
      <c r="C13" s="2453"/>
      <c r="D13" s="2453"/>
      <c r="E13" s="2453"/>
      <c r="F13" s="2454"/>
      <c r="G13" s="2447" t="s">
        <v>1599</v>
      </c>
      <c r="H13" s="2448"/>
      <c r="I13" s="2464" t="str">
        <f>COVER!T25</f>
        <v>jluckett@ghscpa.com</v>
      </c>
      <c r="J13" s="2465"/>
      <c r="K13" s="2465"/>
      <c r="L13" s="2466"/>
    </row>
    <row r="14" spans="1:29" ht="13.5" customHeight="1" x14ac:dyDescent="0.2">
      <c r="A14" s="2452" t="str">
        <f>COVER!A19</f>
        <v>411 South Court Street</v>
      </c>
      <c r="B14" s="2453"/>
      <c r="C14" s="2453"/>
      <c r="D14" s="2453"/>
      <c r="E14" s="2453"/>
      <c r="F14" s="2454"/>
      <c r="G14" s="1196" t="s">
        <v>1247</v>
      </c>
      <c r="H14" s="1194"/>
      <c r="I14" s="1194"/>
      <c r="J14" s="1194"/>
      <c r="K14" s="1194"/>
      <c r="L14" s="1195"/>
    </row>
    <row r="15" spans="1:29" ht="13.5" customHeight="1" x14ac:dyDescent="0.2">
      <c r="A15" s="2452" t="str">
        <f>COVER!A21</f>
        <v>Marion</v>
      </c>
      <c r="B15" s="2453"/>
      <c r="C15" s="2453"/>
      <c r="D15" s="2453"/>
      <c r="E15" s="2453"/>
      <c r="F15" s="2454"/>
      <c r="G15" s="2449" t="str">
        <f>COVER!T15</f>
        <v>Jalayne M Luckett, CPA, PC</v>
      </c>
      <c r="H15" s="2450"/>
      <c r="I15" s="2450"/>
      <c r="J15" s="2450"/>
      <c r="K15" s="2450"/>
      <c r="L15" s="2451"/>
    </row>
    <row r="16" spans="1:29" ht="12.2" customHeight="1" x14ac:dyDescent="0.2">
      <c r="A16" s="1961" t="s">
        <v>2088</v>
      </c>
      <c r="B16" s="1959"/>
      <c r="C16" s="1959">
        <f>COVER!A25</f>
        <v>62959</v>
      </c>
      <c r="D16" s="1959"/>
      <c r="E16" s="1959"/>
      <c r="F16" s="1960"/>
      <c r="G16" s="2483"/>
      <c r="H16" s="2484"/>
      <c r="I16" s="2484"/>
      <c r="J16" s="2484"/>
      <c r="K16" s="2484"/>
      <c r="L16" s="2485"/>
    </row>
    <row r="17" spans="1:13" ht="12.2" customHeight="1" x14ac:dyDescent="0.2">
      <c r="A17" s="2486"/>
      <c r="B17" s="2487"/>
      <c r="C17" s="2487"/>
      <c r="D17" s="2487"/>
      <c r="E17" s="2487"/>
      <c r="F17" s="2488"/>
      <c r="G17" s="1196" t="s">
        <v>1246</v>
      </c>
      <c r="H17" s="1194"/>
      <c r="I17" s="1194"/>
      <c r="J17" s="1194"/>
      <c r="K17" s="1198" t="s">
        <v>1245</v>
      </c>
      <c r="L17" s="1191"/>
      <c r="M17" s="1184"/>
    </row>
    <row r="18" spans="1:13" ht="12.2" customHeight="1" x14ac:dyDescent="0.2">
      <c r="A18" s="2458"/>
      <c r="B18" s="2459"/>
      <c r="C18" s="2459"/>
      <c r="D18" s="2459"/>
      <c r="E18" s="2459"/>
      <c r="F18" s="2460"/>
      <c r="G18" s="2468" t="str">
        <f>COVER!T21</f>
        <v>618-993-2647</v>
      </c>
      <c r="H18" s="2469"/>
      <c r="I18" s="2469"/>
      <c r="J18" s="2469"/>
      <c r="K18" s="2468" t="str">
        <f>COVER!X21</f>
        <v>618-993-3981</v>
      </c>
      <c r="L18" s="247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t="s">
        <v>2119</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2119</v>
      </c>
      <c r="C26" s="1203" t="s">
        <v>1800</v>
      </c>
    </row>
    <row r="27" spans="1:13" s="1199" customFormat="1" ht="9" customHeight="1" x14ac:dyDescent="0.2">
      <c r="B27" s="1204"/>
      <c r="C27" s="1203"/>
    </row>
    <row r="28" spans="1:13" s="1199" customFormat="1" ht="12.2" customHeight="1" x14ac:dyDescent="0.2">
      <c r="A28" s="1206"/>
      <c r="B28" s="1202" t="s">
        <v>2119</v>
      </c>
      <c r="C28" s="1203" t="s">
        <v>1801</v>
      </c>
    </row>
    <row r="29" spans="1:13" s="1199" customFormat="1" ht="9" customHeight="1" x14ac:dyDescent="0.2">
      <c r="A29" s="1206"/>
      <c r="B29" s="1204"/>
      <c r="C29" s="1203"/>
    </row>
    <row r="30" spans="1:13" s="1199" customFormat="1" ht="12.2" customHeight="1" x14ac:dyDescent="0.2">
      <c r="B30" s="1202" t="s">
        <v>2119</v>
      </c>
      <c r="C30" s="1203" t="s">
        <v>1642</v>
      </c>
      <c r="D30" s="1197"/>
      <c r="E30" s="1197"/>
    </row>
    <row r="31" spans="1:13" s="1199" customFormat="1" ht="9" customHeight="1" x14ac:dyDescent="0.2">
      <c r="B31" s="1204"/>
      <c r="C31" s="1203"/>
      <c r="D31" s="1197"/>
      <c r="E31" s="1197"/>
    </row>
    <row r="32" spans="1:13" s="1199" customFormat="1" ht="12.2" customHeight="1" x14ac:dyDescent="0.2">
      <c r="B32" s="1202" t="s">
        <v>2119</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2119</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2119</v>
      </c>
      <c r="C38" s="1203" t="s">
        <v>1646</v>
      </c>
    </row>
    <row r="39" spans="1:8" ht="9" customHeight="1" x14ac:dyDescent="0.2">
      <c r="B39" s="1204"/>
      <c r="C39" s="1207"/>
    </row>
    <row r="40" spans="1:8" s="1199" customFormat="1" ht="13.5" customHeight="1" x14ac:dyDescent="0.2">
      <c r="B40" s="1202" t="s">
        <v>2119</v>
      </c>
      <c r="C40" s="1203" t="s">
        <v>1647</v>
      </c>
    </row>
    <row r="41" spans="1:8" ht="9" customHeight="1" x14ac:dyDescent="0.2">
      <c r="A41" s="1208"/>
      <c r="B41" s="1204"/>
      <c r="C41" s="1207"/>
    </row>
    <row r="42" spans="1:8" s="1199" customFormat="1" ht="13.5" customHeight="1" x14ac:dyDescent="0.2">
      <c r="B42" s="1202" t="s">
        <v>2119</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4">
    <mergeCell ref="A18:F18"/>
    <mergeCell ref="G18:J18"/>
    <mergeCell ref="K18:L18"/>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3"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89" t="str">
        <f>'Single Audit Cover'!A7</f>
        <v>Williamson Co SpEd District</v>
      </c>
      <c r="B1" s="2467"/>
      <c r="C1" s="2467"/>
      <c r="D1" s="2467"/>
    </row>
    <row r="2" spans="1:11" s="1215" customFormat="1" ht="12.75" x14ac:dyDescent="0.2">
      <c r="A2" s="2490">
        <f>'Single Audit Cover'!E7</f>
        <v>21100801060</v>
      </c>
      <c r="B2" s="2491"/>
      <c r="C2" s="2491"/>
      <c r="D2" s="2491"/>
    </row>
    <row r="3" spans="1:11" s="1215" customFormat="1" ht="12.75" x14ac:dyDescent="0.2">
      <c r="A3" s="2489" t="s">
        <v>1592</v>
      </c>
      <c r="B3" s="2467"/>
      <c r="C3" s="2467"/>
      <c r="D3" s="2467"/>
    </row>
    <row r="4" spans="1:11" s="1215" customFormat="1" ht="4.5" customHeight="1" x14ac:dyDescent="0.2">
      <c r="A4" s="1216"/>
      <c r="B4" s="1217"/>
      <c r="C4" s="1217"/>
      <c r="D4" s="1217"/>
    </row>
    <row r="5" spans="1:11" x14ac:dyDescent="0.2">
      <c r="B5" s="1219" t="s">
        <v>1593</v>
      </c>
      <c r="C5" s="1220"/>
      <c r="D5" s="1221"/>
    </row>
    <row r="6" spans="1:11" x14ac:dyDescent="0.2">
      <c r="B6" s="1219" t="s">
        <v>1287</v>
      </c>
      <c r="C6" s="1220"/>
      <c r="D6" s="1221"/>
    </row>
    <row r="7" spans="1:11" x14ac:dyDescent="0.2">
      <c r="B7" s="1219" t="s">
        <v>1594</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1269</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8"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93" t="str">
        <f>'Single Audit Cover'!A7</f>
        <v>Williamson Co SpEd District</v>
      </c>
      <c r="B1" s="2493"/>
      <c r="C1" s="2493"/>
      <c r="D1" s="2493"/>
      <c r="E1" s="2493"/>
    </row>
    <row r="2" spans="1:5" x14ac:dyDescent="0.2">
      <c r="A2" s="2494">
        <f>'Single Audit Cover'!E7</f>
        <v>21100801060</v>
      </c>
      <c r="B2" s="2494"/>
      <c r="C2" s="2494"/>
      <c r="D2" s="2494"/>
      <c r="E2" s="2494"/>
    </row>
    <row r="3" spans="1:5" ht="4.5" customHeight="1" x14ac:dyDescent="0.2"/>
    <row r="4" spans="1:5" x14ac:dyDescent="0.2">
      <c r="A4" s="2493" t="s">
        <v>1307</v>
      </c>
      <c r="B4" s="2493"/>
      <c r="C4" s="2493"/>
      <c r="D4" s="2493"/>
      <c r="E4" s="2493"/>
    </row>
    <row r="5" spans="1:5" x14ac:dyDescent="0.2">
      <c r="A5" s="2496" t="str">
        <f>'Single Audit Cover'!A4</f>
        <v>Year Ending June 30, 2018</v>
      </c>
      <c r="B5" s="2496"/>
      <c r="C5" s="2496"/>
      <c r="D5" s="2496"/>
      <c r="E5" s="2496"/>
    </row>
    <row r="6" spans="1:5" x14ac:dyDescent="0.2">
      <c r="A6" s="2493" t="s">
        <v>1306</v>
      </c>
      <c r="B6" s="2493"/>
      <c r="C6" s="2493"/>
      <c r="D6" s="2493"/>
      <c r="E6" s="2493"/>
    </row>
    <row r="8" spans="1:5" x14ac:dyDescent="0.2">
      <c r="A8" s="1260" t="s">
        <v>1305</v>
      </c>
    </row>
    <row r="10" spans="1:5" x14ac:dyDescent="0.2">
      <c r="A10" s="1261" t="s">
        <v>1304</v>
      </c>
      <c r="B10" s="1262" t="s">
        <v>1303</v>
      </c>
      <c r="C10" s="1262"/>
      <c r="D10" s="1263">
        <f>SUM('Acct Summary 7-8'!C7:K7)</f>
        <v>3762081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1951</v>
      </c>
      <c r="B16" s="1262"/>
      <c r="C16" s="1262"/>
    </row>
    <row r="17" spans="1:4" x14ac:dyDescent="0.2">
      <c r="A17" s="1261" t="s">
        <v>1600</v>
      </c>
      <c r="B17" s="1262" t="s">
        <v>1298</v>
      </c>
      <c r="C17" s="1262"/>
      <c r="D17" s="1264">
        <f>-SUM('Revenues 9-14'!C271:D271,'Revenues 9-14'!F271:G271)</f>
        <v>-861436</v>
      </c>
    </row>
    <row r="19" spans="1:4" ht="13.5" thickBot="1" x14ac:dyDescent="0.25">
      <c r="A19" s="1265" t="s">
        <v>1297</v>
      </c>
      <c r="D19" s="1266">
        <f>SUM(D10:D17)</f>
        <v>2900645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95" t="s">
        <v>2093</v>
      </c>
      <c r="B24" s="2495"/>
      <c r="D24" s="1268">
        <v>-816</v>
      </c>
    </row>
    <row r="25" spans="1:4" x14ac:dyDescent="0.2">
      <c r="A25" s="2492" t="s">
        <v>2094</v>
      </c>
      <c r="B25" s="2492"/>
      <c r="D25" s="1268">
        <v>-16305</v>
      </c>
    </row>
    <row r="26" spans="1:4" x14ac:dyDescent="0.2">
      <c r="A26" s="2492" t="s">
        <v>2116</v>
      </c>
      <c r="B26" s="2492"/>
      <c r="D26" s="1268">
        <v>-187982</v>
      </c>
    </row>
    <row r="27" spans="1:4" x14ac:dyDescent="0.2">
      <c r="A27" s="2492" t="s">
        <v>2117</v>
      </c>
      <c r="B27" s="2492"/>
      <c r="D27" s="1268">
        <v>-13474</v>
      </c>
    </row>
    <row r="28" spans="1:4" x14ac:dyDescent="0.2">
      <c r="A28" s="2492" t="s">
        <v>2118</v>
      </c>
      <c r="B28" s="2492"/>
      <c r="D28" s="1268">
        <v>-16888</v>
      </c>
    </row>
    <row r="29" spans="1:4" x14ac:dyDescent="0.2">
      <c r="A29" s="2492"/>
      <c r="B29" s="2492"/>
      <c r="D29" s="1268"/>
    </row>
    <row r="30" spans="1:4" x14ac:dyDescent="0.2">
      <c r="A30" s="2492"/>
      <c r="B30" s="2492"/>
      <c r="D30" s="1268"/>
    </row>
    <row r="32" spans="1:4" x14ac:dyDescent="0.2">
      <c r="A32" s="1260" t="s">
        <v>1295</v>
      </c>
      <c r="D32" s="1263">
        <f>SUM(D19:D30)</f>
        <v>2665180</v>
      </c>
    </row>
    <row r="33" spans="1:4" x14ac:dyDescent="0.2">
      <c r="D33" s="1269"/>
    </row>
    <row r="34" spans="1:4" x14ac:dyDescent="0.2">
      <c r="A34" s="317" t="s">
        <v>1294</v>
      </c>
    </row>
    <row r="35" spans="1:4" x14ac:dyDescent="0.2">
      <c r="A35" s="317" t="s">
        <v>1293</v>
      </c>
      <c r="B35" s="1258" t="s">
        <v>1292</v>
      </c>
      <c r="D35" s="1270">
        <v>2669035</v>
      </c>
    </row>
    <row r="37" spans="1:4" x14ac:dyDescent="0.2">
      <c r="A37" s="1260" t="s">
        <v>1291</v>
      </c>
    </row>
    <row r="39" spans="1:4" ht="13.35" customHeight="1" x14ac:dyDescent="0.2">
      <c r="A39" s="1267" t="s">
        <v>1290</v>
      </c>
    </row>
    <row r="40" spans="1:4" x14ac:dyDescent="0.2">
      <c r="A40" s="2492" t="s">
        <v>2144</v>
      </c>
      <c r="B40" s="2492"/>
      <c r="D40" s="1268">
        <v>-3855</v>
      </c>
    </row>
    <row r="41" spans="1:4" x14ac:dyDescent="0.2">
      <c r="A41" s="2492"/>
      <c r="B41" s="2492"/>
      <c r="D41" s="1271"/>
    </row>
    <row r="42" spans="1:4" x14ac:dyDescent="0.2">
      <c r="A42" s="2492"/>
      <c r="B42" s="2492"/>
      <c r="D42" s="1271"/>
    </row>
    <row r="43" spans="1:4" x14ac:dyDescent="0.2">
      <c r="A43" s="2492"/>
      <c r="B43" s="2492"/>
      <c r="D43" s="1271"/>
    </row>
    <row r="44" spans="1:4" x14ac:dyDescent="0.2">
      <c r="A44" s="2492"/>
      <c r="B44" s="2492"/>
      <c r="D44" s="1271"/>
    </row>
    <row r="45" spans="1:4" x14ac:dyDescent="0.2">
      <c r="A45" s="2492"/>
      <c r="B45" s="2492"/>
      <c r="D45" s="1271"/>
    </row>
    <row r="47" spans="1:4" x14ac:dyDescent="0.2">
      <c r="B47" s="1272" t="s">
        <v>1289</v>
      </c>
      <c r="C47" s="1272"/>
      <c r="D47" s="1273">
        <f>SUM(D35:D45)</f>
        <v>2665180</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7" zoomScale="120" zoomScaleNormal="120" workbookViewId="0">
      <selection activeCell="B36" sqref="B3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506" t="str">
        <f>'Single Audit Cover'!A7</f>
        <v>Williamson Co SpEd District</v>
      </c>
      <c r="B1" s="2506"/>
      <c r="C1" s="2506"/>
      <c r="D1" s="2506"/>
      <c r="E1" s="2506"/>
      <c r="F1" s="2506"/>
    </row>
    <row r="2" spans="1:7" ht="13.5" customHeight="1" x14ac:dyDescent="0.2">
      <c r="A2" s="2507">
        <f>'Single Audit Cover'!E7</f>
        <v>21100801060</v>
      </c>
      <c r="B2" s="2507"/>
      <c r="C2" s="2507"/>
      <c r="D2" s="2507"/>
      <c r="E2" s="2507"/>
      <c r="F2" s="2507"/>
      <c r="G2" s="1275"/>
    </row>
    <row r="3" spans="1:7" ht="15.75" customHeight="1" x14ac:dyDescent="0.2">
      <c r="A3" s="2508" t="s">
        <v>1333</v>
      </c>
      <c r="B3" s="2508"/>
      <c r="C3" s="2508"/>
      <c r="D3" s="2508"/>
      <c r="E3" s="2508"/>
      <c r="F3" s="2508"/>
    </row>
    <row r="4" spans="1:7" ht="13.5" customHeight="1" x14ac:dyDescent="0.2">
      <c r="A4" s="2509" t="str">
        <f>'Single Audit Cover'!A4</f>
        <v>Year Ending June 30, 2018</v>
      </c>
      <c r="B4" s="2509"/>
      <c r="C4" s="2509"/>
      <c r="D4" s="2509"/>
      <c r="E4" s="2509"/>
      <c r="F4" s="2509"/>
    </row>
    <row r="5" spans="1:7" ht="8.25" customHeight="1" x14ac:dyDescent="0.2">
      <c r="C5" s="317"/>
      <c r="D5" s="317"/>
    </row>
    <row r="6" spans="1:7" ht="13.5" customHeight="1" x14ac:dyDescent="0.2">
      <c r="A6" s="1276" t="s">
        <v>1830</v>
      </c>
      <c r="C6" s="317"/>
      <c r="D6" s="317"/>
    </row>
    <row r="7" spans="1:7" ht="60.95" customHeight="1" x14ac:dyDescent="0.2">
      <c r="A7" s="2505" t="s">
        <v>2129</v>
      </c>
      <c r="B7" s="2505"/>
      <c r="C7" s="2505"/>
      <c r="D7" s="2505"/>
      <c r="E7" s="2505"/>
      <c r="F7" s="2505"/>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2119</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21" customHeight="1" x14ac:dyDescent="0.2">
      <c r="A13" s="2505" t="s">
        <v>2130</v>
      </c>
      <c r="B13" s="2505"/>
      <c r="C13" s="2505"/>
      <c r="D13" s="2505"/>
      <c r="E13" s="2505"/>
      <c r="F13" s="2505"/>
    </row>
    <row r="14" spans="1:7" ht="9.75" customHeight="1" x14ac:dyDescent="0.2">
      <c r="C14" s="1260"/>
      <c r="D14" s="1260"/>
    </row>
    <row r="15" spans="1:7" ht="13.5" customHeight="1" x14ac:dyDescent="0.2">
      <c r="C15" s="1871" t="s">
        <v>1332</v>
      </c>
      <c r="D15" s="2503" t="s">
        <v>1331</v>
      </c>
      <c r="E15" s="2503"/>
      <c r="F15" s="2503"/>
    </row>
    <row r="16" spans="1:7" ht="13.5" customHeight="1" x14ac:dyDescent="0.2">
      <c r="A16" s="1282"/>
      <c r="B16" s="1276" t="s">
        <v>1330</v>
      </c>
      <c r="C16" s="1871" t="s">
        <v>1329</v>
      </c>
      <c r="D16" s="2504" t="s">
        <v>1669</v>
      </c>
      <c r="E16" s="2504"/>
      <c r="F16" s="2504"/>
    </row>
    <row r="17" spans="1:6" ht="20.45" customHeight="1" x14ac:dyDescent="0.2">
      <c r="A17" s="1283"/>
      <c r="B17" s="1284" t="s">
        <v>2121</v>
      </c>
      <c r="C17" s="1285"/>
      <c r="D17" s="2498"/>
      <c r="E17" s="2498"/>
      <c r="F17" s="2498"/>
    </row>
    <row r="18" spans="1:6" ht="20.65" customHeight="1" x14ac:dyDescent="0.2">
      <c r="A18" s="1283"/>
      <c r="B18" s="1284"/>
      <c r="C18" s="1285"/>
      <c r="D18" s="2498"/>
      <c r="E18" s="2498"/>
      <c r="F18" s="2498"/>
    </row>
    <row r="19" spans="1:6" ht="20.65" customHeight="1" x14ac:dyDescent="0.2">
      <c r="A19" s="1283"/>
      <c r="B19" s="1284"/>
      <c r="C19" s="1285"/>
      <c r="D19" s="2498"/>
      <c r="E19" s="2498"/>
      <c r="F19" s="2498"/>
    </row>
    <row r="20" spans="1:6" ht="20.65" customHeight="1" x14ac:dyDescent="0.2">
      <c r="A20" s="1283"/>
      <c r="B20" s="1284"/>
      <c r="C20" s="1285"/>
      <c r="D20" s="2498"/>
      <c r="E20" s="2498"/>
      <c r="F20" s="2498"/>
    </row>
    <row r="21" spans="1:6" ht="20.65" customHeight="1" x14ac:dyDescent="0.2">
      <c r="A21" s="1283"/>
      <c r="B21" s="1284"/>
      <c r="C21" s="1285"/>
      <c r="D21" s="2498"/>
      <c r="E21" s="2498"/>
      <c r="F21" s="2498"/>
    </row>
    <row r="22" spans="1:6" ht="20.65" customHeight="1" x14ac:dyDescent="0.2">
      <c r="A22" s="1283"/>
      <c r="B22" s="1284"/>
      <c r="C22" s="1285"/>
      <c r="D22" s="2498"/>
      <c r="E22" s="2498"/>
      <c r="F22" s="2498"/>
    </row>
    <row r="23" spans="1:6" ht="20.65" customHeight="1" x14ac:dyDescent="0.2">
      <c r="A23" s="1283"/>
      <c r="B23" s="1284"/>
      <c r="C23" s="1285"/>
      <c r="D23" s="2498"/>
      <c r="E23" s="2498"/>
      <c r="F23" s="2498"/>
    </row>
    <row r="24" spans="1:6" ht="20.65" customHeight="1" x14ac:dyDescent="0.2">
      <c r="A24" s="1283"/>
      <c r="B24" s="1284"/>
      <c r="C24" s="1285"/>
      <c r="D24" s="2498"/>
      <c r="E24" s="2498"/>
      <c r="F24" s="2498"/>
    </row>
    <row r="25" spans="1:6" ht="20.65" customHeight="1" x14ac:dyDescent="0.2">
      <c r="A25" s="1283"/>
      <c r="B25" s="1284"/>
      <c r="C25" s="1285"/>
      <c r="D25" s="2498"/>
      <c r="E25" s="2498"/>
      <c r="F25" s="2498"/>
    </row>
    <row r="26" spans="1:6" ht="20.65" customHeight="1" x14ac:dyDescent="0.2">
      <c r="A26" s="1283"/>
      <c r="B26" s="1284"/>
      <c r="C26" s="1285"/>
      <c r="D26" s="2498"/>
      <c r="E26" s="2498"/>
      <c r="F26" s="2498"/>
    </row>
    <row r="27" spans="1:6" ht="20.65" customHeight="1" x14ac:dyDescent="0.2">
      <c r="A27" s="1283"/>
      <c r="B27" s="1284"/>
      <c r="C27" s="1285"/>
      <c r="D27" s="2498"/>
      <c r="E27" s="2498"/>
      <c r="F27" s="2498"/>
    </row>
    <row r="28" spans="1:6" ht="20.65" customHeight="1" x14ac:dyDescent="0.2">
      <c r="A28" s="1283"/>
      <c r="B28" s="1284"/>
      <c r="C28" s="1285"/>
      <c r="D28" s="2498"/>
      <c r="E28" s="2498"/>
      <c r="F28" s="2498"/>
    </row>
    <row r="29" spans="1:6" ht="20.65" customHeight="1" x14ac:dyDescent="0.2">
      <c r="A29" s="1283"/>
      <c r="B29" s="1284"/>
      <c r="C29" s="1285"/>
      <c r="D29" s="2498"/>
      <c r="E29" s="2498"/>
      <c r="F29" s="2498"/>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99" t="s">
        <v>2145</v>
      </c>
      <c r="B32" s="2499"/>
      <c r="C32" s="2499"/>
      <c r="D32" s="2499"/>
      <c r="E32" s="2499"/>
      <c r="F32" s="2499"/>
    </row>
    <row r="33" spans="1:6" ht="13.5" customHeight="1" x14ac:dyDescent="0.2">
      <c r="A33" s="328" t="s">
        <v>1509</v>
      </c>
      <c r="B33" s="328"/>
      <c r="C33" s="1288">
        <v>0</v>
      </c>
      <c r="D33" s="1928"/>
      <c r="E33" s="1286"/>
    </row>
    <row r="34" spans="1:6" ht="13.5" customHeight="1" x14ac:dyDescent="0.2">
      <c r="A34" s="328" t="s">
        <v>1944</v>
      </c>
      <c r="B34" s="328"/>
      <c r="C34" s="1289">
        <v>0</v>
      </c>
      <c r="D34" s="1928" t="s">
        <v>1670</v>
      </c>
      <c r="E34" s="2500">
        <f>+C33+C34</f>
        <v>0</v>
      </c>
      <c r="F34" s="2501"/>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v>48901</v>
      </c>
      <c r="D43" s="1928"/>
      <c r="E43" s="1286"/>
    </row>
    <row r="44" spans="1:6" ht="14.25" customHeight="1" x14ac:dyDescent="0.2">
      <c r="A44" s="328"/>
      <c r="B44" s="328"/>
      <c r="C44" s="1930" t="s">
        <v>593</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502" t="s">
        <v>1671</v>
      </c>
      <c r="C49" s="2502"/>
      <c r="D49" s="2502"/>
      <c r="E49" s="1399"/>
    </row>
    <row r="50" spans="1:5" s="1300" customFormat="1" ht="3.75" customHeight="1" x14ac:dyDescent="0.2">
      <c r="A50" s="1299"/>
      <c r="B50" s="1870"/>
      <c r="C50" s="1870"/>
      <c r="D50" s="1870"/>
      <c r="E50" s="1399"/>
    </row>
    <row r="51" spans="1:5" s="1300" customFormat="1" ht="20.25" customHeight="1" x14ac:dyDescent="0.2">
      <c r="A51" s="1301">
        <v>6</v>
      </c>
      <c r="B51" s="2497" t="s">
        <v>1631</v>
      </c>
      <c r="C51" s="2497"/>
      <c r="D51" s="2497"/>
    </row>
    <row r="52" spans="1:5" ht="14.25" customHeight="1" x14ac:dyDescent="0.2">
      <c r="A52" s="1301"/>
      <c r="B52" s="2497"/>
      <c r="C52" s="2497"/>
      <c r="D52" s="249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zoomScaleNormal="100" workbookViewId="0">
      <selection activeCell="I17" sqref="I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74" t="str">
        <f>'Single Audit Cover'!A7</f>
        <v>Williamson Co SpEd District</v>
      </c>
      <c r="C1" s="2510"/>
      <c r="D1" s="2510"/>
      <c r="E1" s="2510"/>
      <c r="F1" s="2510"/>
      <c r="G1" s="2510"/>
      <c r="H1" s="2510"/>
      <c r="I1" s="2510"/>
      <c r="J1" s="2510"/>
      <c r="K1" s="2510"/>
      <c r="L1" s="2510"/>
      <c r="M1" s="2510"/>
    </row>
    <row r="2" spans="2:14" ht="15" x14ac:dyDescent="0.2">
      <c r="B2" s="2507">
        <f>'Single Audit Cover'!E7</f>
        <v>21100801060</v>
      </c>
      <c r="C2" s="2507"/>
      <c r="D2" s="2507"/>
      <c r="E2" s="2507"/>
      <c r="F2" s="2507"/>
      <c r="G2" s="2507"/>
      <c r="H2" s="2507"/>
      <c r="I2" s="2507"/>
      <c r="J2" s="2507"/>
      <c r="K2" s="2507"/>
      <c r="L2" s="2507"/>
      <c r="M2" s="2507"/>
      <c r="N2" s="1302"/>
    </row>
    <row r="3" spans="2:14" ht="15" x14ac:dyDescent="0.2">
      <c r="B3" s="2511" t="s">
        <v>1281</v>
      </c>
      <c r="C3" s="2511"/>
      <c r="D3" s="2511"/>
      <c r="E3" s="2511"/>
      <c r="F3" s="2511"/>
      <c r="G3" s="2511"/>
      <c r="H3" s="2511"/>
      <c r="I3" s="2511"/>
      <c r="J3" s="2511"/>
      <c r="K3" s="2511"/>
      <c r="L3" s="2511"/>
      <c r="M3" s="2511"/>
      <c r="N3" s="1302"/>
    </row>
    <row r="4" spans="2:14" ht="15" x14ac:dyDescent="0.2">
      <c r="B4" s="2512" t="str">
        <f>'Single Audit Cover'!A4</f>
        <v>Year Ending June 30, 2018</v>
      </c>
      <c r="C4" s="2512"/>
      <c r="D4" s="2512"/>
      <c r="E4" s="2512"/>
      <c r="F4" s="2512"/>
      <c r="G4" s="2512"/>
      <c r="H4" s="2512"/>
      <c r="I4" s="2512"/>
      <c r="J4" s="2512"/>
      <c r="K4" s="2512"/>
      <c r="L4" s="2512"/>
      <c r="M4" s="2512"/>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1945</v>
      </c>
      <c r="K8" s="1319" t="s">
        <v>1323</v>
      </c>
      <c r="L8" s="1320" t="s">
        <v>1319</v>
      </c>
      <c r="M8" s="1321" t="s">
        <v>30</v>
      </c>
    </row>
    <row r="9" spans="2:14" ht="14.25" x14ac:dyDescent="0.2">
      <c r="B9" s="1325" t="s">
        <v>1321</v>
      </c>
      <c r="C9" s="1313" t="s">
        <v>1834</v>
      </c>
      <c r="D9" s="1314" t="s">
        <v>1835</v>
      </c>
      <c r="E9" s="1322" t="s">
        <v>1662</v>
      </c>
      <c r="F9" s="1323" t="s">
        <v>1945</v>
      </c>
      <c r="G9" s="1324" t="s">
        <v>1662</v>
      </c>
      <c r="H9" s="1317" t="s">
        <v>1663</v>
      </c>
      <c r="I9" s="1319" t="s">
        <v>1945</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2095</v>
      </c>
      <c r="C11" s="1338"/>
      <c r="D11" s="1339"/>
      <c r="E11" s="1340"/>
      <c r="F11" s="1340"/>
      <c r="G11" s="1340"/>
      <c r="H11" s="1340"/>
      <c r="I11" s="1340"/>
      <c r="J11" s="1340"/>
      <c r="K11" s="1340"/>
      <c r="L11" s="1340"/>
      <c r="M11" s="1340"/>
    </row>
    <row r="12" spans="2:14" ht="20.100000000000001" customHeight="1" x14ac:dyDescent="0.2">
      <c r="B12" s="1337"/>
      <c r="C12" s="1341"/>
      <c r="D12" s="1342"/>
      <c r="E12" s="1343"/>
      <c r="F12" s="1343"/>
      <c r="G12" s="1343"/>
      <c r="H12" s="1343"/>
      <c r="I12" s="1343"/>
      <c r="J12" s="1343"/>
      <c r="K12" s="1343"/>
      <c r="L12" s="1340"/>
      <c r="M12" s="1343"/>
    </row>
    <row r="13" spans="2:14" ht="20.100000000000001" customHeight="1" x14ac:dyDescent="0.2">
      <c r="B13" s="1337" t="s">
        <v>2096</v>
      </c>
      <c r="C13" s="1341" t="s">
        <v>2097</v>
      </c>
      <c r="D13" s="1342" t="s">
        <v>2098</v>
      </c>
      <c r="E13" s="1343">
        <v>42267</v>
      </c>
      <c r="F13" s="1343">
        <v>29770</v>
      </c>
      <c r="G13" s="1343">
        <v>62193</v>
      </c>
      <c r="H13" s="1343"/>
      <c r="I13" s="1343">
        <v>9844</v>
      </c>
      <c r="J13" s="1343"/>
      <c r="K13" s="1343"/>
      <c r="L13" s="1340">
        <f t="shared" ref="L13:L26" si="0">+G13+I13+K13</f>
        <v>72037</v>
      </c>
      <c r="M13" s="1343">
        <v>72037</v>
      </c>
    </row>
    <row r="14" spans="2:14" ht="20.100000000000001" customHeight="1" x14ac:dyDescent="0.2">
      <c r="B14" s="1337" t="s">
        <v>2096</v>
      </c>
      <c r="C14" s="1341" t="s">
        <v>2097</v>
      </c>
      <c r="D14" s="1342" t="s">
        <v>2099</v>
      </c>
      <c r="E14" s="1343"/>
      <c r="F14" s="1343">
        <v>46766</v>
      </c>
      <c r="G14" s="1343"/>
      <c r="H14" s="1343"/>
      <c r="I14" s="1343">
        <v>60240</v>
      </c>
      <c r="J14" s="1343"/>
      <c r="K14" s="1343">
        <v>6618</v>
      </c>
      <c r="L14" s="1340">
        <f t="shared" si="0"/>
        <v>66858</v>
      </c>
      <c r="M14" s="1343">
        <v>66858</v>
      </c>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t="s">
        <v>2100</v>
      </c>
      <c r="C16" s="1341" t="s">
        <v>2101</v>
      </c>
      <c r="D16" s="1342" t="s">
        <v>2102</v>
      </c>
      <c r="E16" s="1343">
        <v>2212981</v>
      </c>
      <c r="F16" s="1343">
        <v>300025</v>
      </c>
      <c r="G16" s="1343">
        <v>2324600</v>
      </c>
      <c r="H16" s="1343"/>
      <c r="I16" s="1343">
        <v>188406</v>
      </c>
      <c r="J16" s="1343"/>
      <c r="K16" s="1343"/>
      <c r="L16" s="1340">
        <f t="shared" si="0"/>
        <v>2513006</v>
      </c>
      <c r="M16" s="1343">
        <v>2513006</v>
      </c>
    </row>
    <row r="17" spans="2:14" ht="20.100000000000001" customHeight="1" x14ac:dyDescent="0.2">
      <c r="B17" s="1337" t="s">
        <v>2100</v>
      </c>
      <c r="C17" s="1341" t="s">
        <v>2101</v>
      </c>
      <c r="D17" s="1342" t="s">
        <v>2103</v>
      </c>
      <c r="E17" s="1343"/>
      <c r="F17" s="1343">
        <v>2035950</v>
      </c>
      <c r="G17" s="1343"/>
      <c r="H17" s="1343"/>
      <c r="I17" s="1343">
        <v>2223932</v>
      </c>
      <c r="J17" s="1343"/>
      <c r="K17" s="1343">
        <v>295050</v>
      </c>
      <c r="L17" s="1340">
        <f>+G17+I17+K17</f>
        <v>2518982</v>
      </c>
      <c r="M17" s="1343">
        <v>2518982</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2104</v>
      </c>
      <c r="C21" s="1341"/>
      <c r="D21" s="1342"/>
      <c r="E21" s="1343">
        <f>SUM(E13:E17)</f>
        <v>2255248</v>
      </c>
      <c r="F21" s="1343">
        <f>SUM(F13:F19)</f>
        <v>2412511</v>
      </c>
      <c r="G21" s="1343">
        <f>SUM(G13:G17)</f>
        <v>2386793</v>
      </c>
      <c r="H21" s="1343"/>
      <c r="I21" s="1343">
        <f>SUM(I13:I19)</f>
        <v>2482422</v>
      </c>
      <c r="J21" s="1343"/>
      <c r="K21" s="1343">
        <f>SUM(K13:K18)</f>
        <v>301668</v>
      </c>
      <c r="L21" s="1340">
        <f t="shared" si="0"/>
        <v>5170883</v>
      </c>
      <c r="M21" s="1343">
        <f>SUM(M13:M17)</f>
        <v>5170883</v>
      </c>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2105</v>
      </c>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t="s">
        <v>2106</v>
      </c>
      <c r="C25" s="1341">
        <v>84.126000000000005</v>
      </c>
      <c r="D25" s="1342" t="s">
        <v>2107</v>
      </c>
      <c r="E25" s="1343">
        <v>53661</v>
      </c>
      <c r="F25" s="1343">
        <v>3855</v>
      </c>
      <c r="G25" s="1343">
        <v>53661</v>
      </c>
      <c r="H25" s="1343"/>
      <c r="I25" s="1343">
        <v>3855</v>
      </c>
      <c r="J25" s="1343"/>
      <c r="K25" s="1343"/>
      <c r="L25" s="1340">
        <f t="shared" si="0"/>
        <v>57516</v>
      </c>
      <c r="M25" s="1343">
        <v>57516</v>
      </c>
    </row>
    <row r="26" spans="2:14" ht="20.100000000000001" customHeight="1" x14ac:dyDescent="0.2">
      <c r="B26" s="1337" t="s">
        <v>2106</v>
      </c>
      <c r="C26" s="1341">
        <v>84.126000000000005</v>
      </c>
      <c r="D26" s="1342" t="s">
        <v>2108</v>
      </c>
      <c r="E26" s="1343"/>
      <c r="F26" s="1343">
        <v>43970</v>
      </c>
      <c r="G26" s="1343"/>
      <c r="H26" s="1343"/>
      <c r="I26" s="1343">
        <v>43970</v>
      </c>
      <c r="J26" s="1343"/>
      <c r="K26" s="1343"/>
      <c r="L26" s="1340">
        <f t="shared" si="0"/>
        <v>43970</v>
      </c>
      <c r="M26" s="1343">
        <v>66807</v>
      </c>
    </row>
    <row r="27" spans="2:14" ht="20.100000000000001" customHeight="1" x14ac:dyDescent="0.2">
      <c r="B27" s="1337"/>
      <c r="C27" s="1341"/>
      <c r="D27" s="1342"/>
      <c r="E27" s="1343"/>
      <c r="F27" s="1343"/>
      <c r="G27" s="1343"/>
      <c r="H27" s="1343"/>
      <c r="I27" s="1343"/>
      <c r="J27" s="1343"/>
      <c r="K27" s="1343"/>
      <c r="L27" s="1340"/>
      <c r="M27" s="1343"/>
    </row>
    <row r="28" spans="2:14" ht="20.100000000000001" customHeight="1" x14ac:dyDescent="0.2">
      <c r="B28" s="1337"/>
      <c r="C28" s="1341"/>
      <c r="D28" s="1342"/>
      <c r="E28" s="1343"/>
      <c r="F28" s="1343"/>
      <c r="G28" s="1343"/>
      <c r="H28" s="1343"/>
      <c r="I28" s="1343"/>
      <c r="J28" s="1343"/>
      <c r="K28" s="1343"/>
      <c r="L28" s="1340"/>
      <c r="M28" s="1343"/>
    </row>
    <row r="29" spans="2:14" ht="20.100000000000001" customHeight="1" x14ac:dyDescent="0.2">
      <c r="B29" s="1337"/>
      <c r="C29" s="1341"/>
      <c r="D29" s="1342"/>
      <c r="E29" s="1343"/>
      <c r="F29" s="1343"/>
      <c r="G29" s="1343"/>
      <c r="H29" s="1343"/>
      <c r="I29" s="1343"/>
      <c r="J29" s="1343"/>
      <c r="K29" s="1343"/>
      <c r="L29" s="1340"/>
      <c r="M29" s="1343"/>
      <c r="N29" s="1344"/>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1836</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1946</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1308</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1837</v>
      </c>
      <c r="C39" s="1365"/>
      <c r="D39" s="1365"/>
      <c r="E39" s="1365"/>
      <c r="F39" s="1365"/>
      <c r="G39" s="1365"/>
      <c r="H39" s="1365"/>
      <c r="I39" s="1366"/>
      <c r="J39" s="1366"/>
      <c r="K39" s="1366"/>
      <c r="L39" s="1366"/>
      <c r="M39" s="1366"/>
    </row>
    <row r="40" spans="2:14" ht="11.25" customHeight="1" x14ac:dyDescent="0.2">
      <c r="B40" s="1367" t="s">
        <v>1665</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1838</v>
      </c>
      <c r="C42" s="1366"/>
      <c r="D42" s="1366"/>
      <c r="E42" s="1366"/>
      <c r="F42" s="1366"/>
      <c r="G42" s="1366"/>
      <c r="H42" s="1366"/>
      <c r="I42" s="1366"/>
      <c r="J42" s="1366"/>
      <c r="K42" s="1366"/>
      <c r="L42" s="1366"/>
      <c r="M42" s="1366"/>
    </row>
    <row r="43" spans="2:14" ht="11.25" customHeight="1" x14ac:dyDescent="0.2">
      <c r="B43" s="1300" t="s">
        <v>1666</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1839</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1840</v>
      </c>
      <c r="C47" s="1368"/>
      <c r="D47" s="1369"/>
      <c r="E47" s="1300"/>
      <c r="F47" s="1300"/>
      <c r="G47" s="1300"/>
      <c r="H47" s="1300"/>
      <c r="I47" s="1300"/>
      <c r="J47" s="1300"/>
      <c r="K47" s="1370"/>
      <c r="L47" s="1370"/>
      <c r="M47" s="1300"/>
    </row>
    <row r="48" spans="2:14" ht="11.25" customHeight="1" x14ac:dyDescent="0.2">
      <c r="B48" s="1300" t="s">
        <v>1667</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9" t="s">
        <v>1230</v>
      </c>
      <c r="B2" s="2119"/>
      <c r="C2" s="2119"/>
      <c r="D2" s="2119"/>
      <c r="E2" s="2119"/>
      <c r="F2" s="2119"/>
      <c r="G2" s="2119"/>
      <c r="H2" s="2119"/>
      <c r="I2" s="2119"/>
      <c r="J2" s="2119"/>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1891</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33" t="s">
        <v>1730</v>
      </c>
      <c r="B35" s="2134"/>
      <c r="C35" s="2134"/>
      <c r="D35" s="2134"/>
      <c r="E35" s="2135"/>
      <c r="F35" s="2135"/>
      <c r="G35" s="2135"/>
      <c r="H35" s="2135"/>
      <c r="I35" s="213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t="s">
        <v>2072</v>
      </c>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3" t="s">
        <v>331</v>
      </c>
      <c r="B47" s="2136"/>
      <c r="C47" s="2136"/>
      <c r="D47" s="2136"/>
      <c r="E47" s="2137"/>
      <c r="F47" s="2137"/>
      <c r="G47" s="2137"/>
      <c r="H47" s="2137"/>
      <c r="I47" s="213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1429</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0"/>
      <c r="C57" s="2141"/>
      <c r="D57" s="2141"/>
      <c r="E57" s="2141"/>
      <c r="F57" s="2141"/>
      <c r="G57" s="2141"/>
      <c r="H57" s="2141"/>
      <c r="I57" s="2141"/>
      <c r="J57" s="2142"/>
    </row>
    <row r="58" spans="1:10" s="181" customFormat="1" x14ac:dyDescent="0.2">
      <c r="A58" s="253"/>
      <c r="B58" s="2143"/>
      <c r="C58" s="2144"/>
      <c r="D58" s="2144"/>
      <c r="E58" s="2144"/>
      <c r="F58" s="2144"/>
      <c r="G58" s="2144"/>
      <c r="H58" s="2144"/>
      <c r="I58" s="2144"/>
      <c r="J58" s="2145"/>
    </row>
    <row r="59" spans="1:10" s="181" customFormat="1" x14ac:dyDescent="0.2">
      <c r="A59" s="253"/>
      <c r="B59" s="2143"/>
      <c r="C59" s="2144"/>
      <c r="D59" s="2144"/>
      <c r="E59" s="2144"/>
      <c r="F59" s="2144"/>
      <c r="G59" s="2144"/>
      <c r="H59" s="2144"/>
      <c r="I59" s="2144"/>
      <c r="J59" s="2145"/>
    </row>
    <row r="60" spans="1:10" s="181" customFormat="1" x14ac:dyDescent="0.2">
      <c r="A60" s="253"/>
      <c r="B60" s="2143"/>
      <c r="C60" s="2144"/>
      <c r="D60" s="2144"/>
      <c r="E60" s="2144"/>
      <c r="F60" s="2144"/>
      <c r="G60" s="2144"/>
      <c r="H60" s="2144"/>
      <c r="I60" s="2144"/>
      <c r="J60" s="2145"/>
    </row>
    <row r="61" spans="1:10" s="181" customFormat="1" x14ac:dyDescent="0.2">
      <c r="A61" s="253"/>
      <c r="B61" s="2143"/>
      <c r="C61" s="2144"/>
      <c r="D61" s="2144"/>
      <c r="E61" s="2144"/>
      <c r="F61" s="2144"/>
      <c r="G61" s="2144"/>
      <c r="H61" s="2144"/>
      <c r="I61" s="2144"/>
      <c r="J61" s="2145"/>
    </row>
    <row r="62" spans="1:10" s="181" customFormat="1" x14ac:dyDescent="0.2">
      <c r="A62" s="253"/>
      <c r="B62" s="2143"/>
      <c r="C62" s="2144"/>
      <c r="D62" s="2144"/>
      <c r="E62" s="2144"/>
      <c r="F62" s="2144"/>
      <c r="G62" s="2144"/>
      <c r="H62" s="2144"/>
      <c r="I62" s="2144"/>
      <c r="J62" s="2145"/>
    </row>
    <row r="63" spans="1:10" s="181" customFormat="1" x14ac:dyDescent="0.2">
      <c r="A63" s="253"/>
      <c r="B63" s="2143"/>
      <c r="C63" s="2144"/>
      <c r="D63" s="2144"/>
      <c r="E63" s="2144"/>
      <c r="F63" s="2144"/>
      <c r="G63" s="2144"/>
      <c r="H63" s="2144"/>
      <c r="I63" s="2144"/>
      <c r="J63" s="2145"/>
    </row>
    <row r="64" spans="1:10" s="181" customFormat="1" x14ac:dyDescent="0.2">
      <c r="A64" s="253"/>
      <c r="B64" s="2143"/>
      <c r="C64" s="2144"/>
      <c r="D64" s="2144"/>
      <c r="E64" s="2144"/>
      <c r="F64" s="2144"/>
      <c r="G64" s="2144"/>
      <c r="H64" s="2144"/>
      <c r="I64" s="2144"/>
      <c r="J64" s="2145"/>
    </row>
    <row r="65" spans="1:10" s="181" customFormat="1" x14ac:dyDescent="0.2">
      <c r="A65" s="253"/>
      <c r="B65" s="2143"/>
      <c r="C65" s="2144"/>
      <c r="D65" s="2144"/>
      <c r="E65" s="2144"/>
      <c r="F65" s="2144"/>
      <c r="G65" s="2144"/>
      <c r="H65" s="2144"/>
      <c r="I65" s="2144"/>
      <c r="J65" s="2145"/>
    </row>
    <row r="66" spans="1:10" s="181" customFormat="1" x14ac:dyDescent="0.2">
      <c r="A66" s="253"/>
      <c r="B66" s="2143"/>
      <c r="C66" s="2144"/>
      <c r="D66" s="2144"/>
      <c r="E66" s="2144"/>
      <c r="F66" s="2144"/>
      <c r="G66" s="2144"/>
      <c r="H66" s="2144"/>
      <c r="I66" s="2144"/>
      <c r="J66" s="2145"/>
    </row>
    <row r="67" spans="1:10" s="181" customFormat="1" ht="9" customHeight="1" x14ac:dyDescent="0.2">
      <c r="A67" s="254"/>
      <c r="B67" s="2146"/>
      <c r="C67" s="2147"/>
      <c r="D67" s="2147"/>
      <c r="E67" s="2147"/>
      <c r="F67" s="2147"/>
      <c r="G67" s="2147"/>
      <c r="H67" s="2147"/>
      <c r="I67" s="2147"/>
      <c r="J67" s="214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3" t="s">
        <v>1390</v>
      </c>
      <c r="B70" s="2136"/>
      <c r="C70" s="2136"/>
      <c r="D70" s="2136"/>
      <c r="E70" s="2137"/>
      <c r="F70" s="2137"/>
      <c r="G70" s="2137"/>
      <c r="H70" s="2137"/>
      <c r="I70" s="213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2016</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8" t="s">
        <v>1387</v>
      </c>
      <c r="B83" s="2138"/>
      <c r="C83" s="2138"/>
      <c r="D83" s="2139"/>
      <c r="E83" s="263" t="s">
        <v>1424</v>
      </c>
      <c r="F83" s="263" t="s">
        <v>1425</v>
      </c>
      <c r="G83" s="263" t="s">
        <v>1426</v>
      </c>
      <c r="H83" s="263" t="s">
        <v>1427</v>
      </c>
      <c r="I83" s="263" t="s">
        <v>1428</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20"/>
      <c r="C102" s="2121"/>
      <c r="D102" s="2121"/>
      <c r="E102" s="2121"/>
      <c r="F102" s="2121"/>
      <c r="G102" s="2121"/>
      <c r="H102" s="2121"/>
      <c r="I102" s="2122"/>
    </row>
    <row r="103" spans="1:9" s="181" customFormat="1" ht="11.25" customHeight="1" x14ac:dyDescent="0.2">
      <c r="A103" s="316"/>
      <c r="B103" s="2123"/>
      <c r="C103" s="2124"/>
      <c r="D103" s="2124"/>
      <c r="E103" s="2124"/>
      <c r="F103" s="2124"/>
      <c r="G103" s="2124"/>
      <c r="H103" s="2124"/>
      <c r="I103" s="2125"/>
    </row>
    <row r="104" spans="1:9" s="181" customFormat="1" ht="11.25" customHeight="1" x14ac:dyDescent="0.2">
      <c r="A104" s="316"/>
      <c r="B104" s="2123"/>
      <c r="C104" s="2124"/>
      <c r="D104" s="2124"/>
      <c r="E104" s="2124"/>
      <c r="F104" s="2124"/>
      <c r="G104" s="2124"/>
      <c r="H104" s="2124"/>
      <c r="I104" s="2125"/>
    </row>
    <row r="105" spans="1:9" s="181" customFormat="1" x14ac:dyDescent="0.2">
      <c r="A105" s="316"/>
      <c r="B105" s="2123"/>
      <c r="C105" s="2124"/>
      <c r="D105" s="2124"/>
      <c r="E105" s="2124"/>
      <c r="F105" s="2124"/>
      <c r="G105" s="2124"/>
      <c r="H105" s="2124"/>
      <c r="I105" s="2125"/>
    </row>
    <row r="106" spans="1:9" s="181" customFormat="1" ht="11.25" customHeight="1" x14ac:dyDescent="0.2">
      <c r="A106" s="316"/>
      <c r="B106" s="2123"/>
      <c r="C106" s="2124"/>
      <c r="D106" s="2124"/>
      <c r="E106" s="2124"/>
      <c r="F106" s="2124"/>
      <c r="G106" s="2124"/>
      <c r="H106" s="2124"/>
      <c r="I106" s="2125"/>
    </row>
    <row r="107" spans="1:9" s="181" customFormat="1" ht="11.25" customHeight="1" x14ac:dyDescent="0.2">
      <c r="A107" s="316"/>
      <c r="B107" s="2123"/>
      <c r="C107" s="2124"/>
      <c r="D107" s="2124"/>
      <c r="E107" s="2124"/>
      <c r="F107" s="2124"/>
      <c r="G107" s="2124"/>
      <c r="H107" s="2124"/>
      <c r="I107" s="2125"/>
    </row>
    <row r="108" spans="1:9" s="181" customFormat="1" ht="11.25" customHeight="1" x14ac:dyDescent="0.2">
      <c r="A108" s="316"/>
      <c r="B108" s="2123"/>
      <c r="C108" s="2124"/>
      <c r="D108" s="2124"/>
      <c r="E108" s="2124"/>
      <c r="F108" s="2124"/>
      <c r="G108" s="2124"/>
      <c r="H108" s="2124"/>
      <c r="I108" s="2125"/>
    </row>
    <row r="109" spans="1:9" s="181" customFormat="1" ht="11.25" customHeight="1" x14ac:dyDescent="0.2">
      <c r="A109" s="316"/>
      <c r="B109" s="2123"/>
      <c r="C109" s="2124"/>
      <c r="D109" s="2124"/>
      <c r="E109" s="2124"/>
      <c r="F109" s="2124"/>
      <c r="G109" s="2124"/>
      <c r="H109" s="2124"/>
      <c r="I109" s="2125"/>
    </row>
    <row r="110" spans="1:9" s="181" customFormat="1" ht="11.25" customHeight="1" x14ac:dyDescent="0.2">
      <c r="A110" s="316"/>
      <c r="B110" s="2123"/>
      <c r="C110" s="2124"/>
      <c r="D110" s="2124"/>
      <c r="E110" s="2124"/>
      <c r="F110" s="2124"/>
      <c r="G110" s="2124"/>
      <c r="H110" s="2124"/>
      <c r="I110" s="2125"/>
    </row>
    <row r="111" spans="1:9" s="181" customFormat="1" ht="11.25" customHeight="1" x14ac:dyDescent="0.2">
      <c r="A111" s="316"/>
      <c r="B111" s="2123"/>
      <c r="C111" s="2124"/>
      <c r="D111" s="2124"/>
      <c r="E111" s="2124"/>
      <c r="F111" s="2124"/>
      <c r="G111" s="2124"/>
      <c r="H111" s="2124"/>
      <c r="I111" s="2125"/>
    </row>
    <row r="112" spans="1:9" s="181" customFormat="1" ht="11.25" customHeight="1" x14ac:dyDescent="0.2">
      <c r="A112" s="316"/>
      <c r="B112" s="2126"/>
      <c r="C112" s="2127"/>
      <c r="D112" s="2127"/>
      <c r="E112" s="2127"/>
      <c r="F112" s="2127"/>
      <c r="G112" s="2127"/>
      <c r="H112" s="2127"/>
      <c r="I112" s="212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9" t="s">
        <v>2127</v>
      </c>
      <c r="D114" s="212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0" t="s">
        <v>1397</v>
      </c>
      <c r="D117" s="2131"/>
      <c r="E117" s="2132"/>
      <c r="F117" s="2132"/>
      <c r="G117" s="2132"/>
      <c r="H117" s="2132"/>
      <c r="I117" s="304"/>
    </row>
    <row r="118" spans="1:9" s="181" customFormat="1" ht="24" customHeight="1" x14ac:dyDescent="0.2">
      <c r="A118" s="316"/>
      <c r="B118" s="316"/>
      <c r="C118" s="316"/>
      <c r="D118" s="323" t="s">
        <v>2126</v>
      </c>
      <c r="E118" s="322"/>
      <c r="F118" s="324" t="s">
        <v>2146</v>
      </c>
      <c r="G118" s="1863"/>
      <c r="H118" s="322"/>
      <c r="I118" s="304"/>
    </row>
    <row r="119" spans="1:9" s="181" customFormat="1" ht="11.25" customHeight="1" x14ac:dyDescent="0.2">
      <c r="A119" s="325"/>
      <c r="B119" s="325"/>
      <c r="C119" s="326"/>
      <c r="D119" s="327" t="s">
        <v>379</v>
      </c>
      <c r="E119" s="310"/>
      <c r="F119" s="1862" t="s">
        <v>2017</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M33" sqref="M3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74" t="str">
        <f>'Single Audit Cover'!A7</f>
        <v>Williamson Co SpEd District</v>
      </c>
      <c r="C1" s="2510"/>
      <c r="D1" s="2510"/>
      <c r="E1" s="2510"/>
      <c r="F1" s="2510"/>
      <c r="G1" s="2510"/>
      <c r="H1" s="2510"/>
      <c r="I1" s="2510"/>
      <c r="J1" s="2510"/>
      <c r="K1" s="2510"/>
      <c r="L1" s="2510"/>
      <c r="M1" s="2510"/>
    </row>
    <row r="2" spans="2:14" ht="15" x14ac:dyDescent="0.2">
      <c r="B2" s="2507">
        <f>'Single Audit Cover'!E7</f>
        <v>21100801060</v>
      </c>
      <c r="C2" s="2507"/>
      <c r="D2" s="2507"/>
      <c r="E2" s="2507"/>
      <c r="F2" s="2507"/>
      <c r="G2" s="2507"/>
      <c r="H2" s="2507"/>
      <c r="I2" s="2507"/>
      <c r="J2" s="2507"/>
      <c r="K2" s="2507"/>
      <c r="L2" s="2507"/>
      <c r="M2" s="2507"/>
      <c r="N2" s="1302"/>
    </row>
    <row r="3" spans="2:14" ht="15" x14ac:dyDescent="0.2">
      <c r="B3" s="2511" t="s">
        <v>1281</v>
      </c>
      <c r="C3" s="2511"/>
      <c r="D3" s="2511"/>
      <c r="E3" s="2511"/>
      <c r="F3" s="2511"/>
      <c r="G3" s="2511"/>
      <c r="H3" s="2511"/>
      <c r="I3" s="2511"/>
      <c r="J3" s="2511"/>
      <c r="K3" s="2511"/>
      <c r="L3" s="2511"/>
      <c r="M3" s="2511"/>
      <c r="N3" s="1302"/>
    </row>
    <row r="4" spans="2:14" ht="15" x14ac:dyDescent="0.2">
      <c r="B4" s="2512" t="str">
        <f>'Single Audit Cover'!A4</f>
        <v>Year Ending June 30, 2018</v>
      </c>
      <c r="C4" s="2512"/>
      <c r="D4" s="2512"/>
      <c r="E4" s="2512"/>
      <c r="F4" s="2512"/>
      <c r="G4" s="2512"/>
      <c r="H4" s="2512"/>
      <c r="I4" s="2512"/>
      <c r="J4" s="2512"/>
      <c r="K4" s="2512"/>
      <c r="L4" s="2512"/>
      <c r="M4" s="2512"/>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1945</v>
      </c>
      <c r="K8" s="1319" t="s">
        <v>1323</v>
      </c>
      <c r="L8" s="1320" t="s">
        <v>1319</v>
      </c>
      <c r="M8" s="1321" t="s">
        <v>30</v>
      </c>
    </row>
    <row r="9" spans="2:14" ht="14.25" x14ac:dyDescent="0.2">
      <c r="B9" s="1325" t="s">
        <v>1321</v>
      </c>
      <c r="C9" s="1313" t="s">
        <v>1834</v>
      </c>
      <c r="D9" s="1314" t="s">
        <v>1835</v>
      </c>
      <c r="E9" s="1322" t="s">
        <v>1662</v>
      </c>
      <c r="F9" s="1323" t="s">
        <v>1945</v>
      </c>
      <c r="G9" s="1324" t="s">
        <v>1662</v>
      </c>
      <c r="H9" s="1317" t="s">
        <v>1663</v>
      </c>
      <c r="I9" s="1319" t="s">
        <v>1945</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33.75" x14ac:dyDescent="0.2">
      <c r="B11" s="1337" t="s">
        <v>2109</v>
      </c>
      <c r="C11" s="1338"/>
      <c r="D11" s="1339"/>
      <c r="E11" s="1340"/>
      <c r="F11" s="1340"/>
      <c r="G11" s="1340"/>
      <c r="H11" s="1340"/>
      <c r="I11" s="1340"/>
      <c r="J11" s="1340"/>
      <c r="K11" s="1340"/>
      <c r="L11" s="1340"/>
      <c r="M11" s="1340"/>
    </row>
    <row r="12" spans="2:14" ht="20.100000000000001" customHeight="1" x14ac:dyDescent="0.2">
      <c r="B12" s="1337"/>
      <c r="C12" s="1341"/>
      <c r="D12" s="1342"/>
      <c r="E12" s="1343"/>
      <c r="F12" s="1343"/>
      <c r="G12" s="1343"/>
      <c r="H12" s="1343"/>
      <c r="I12" s="1343"/>
      <c r="J12" s="1343"/>
      <c r="K12" s="1343"/>
      <c r="L12" s="1340"/>
      <c r="M12" s="1343"/>
    </row>
    <row r="13" spans="2:14" ht="20.100000000000001" customHeight="1" x14ac:dyDescent="0.2">
      <c r="B13" s="1337" t="s">
        <v>2110</v>
      </c>
      <c r="C13" s="1341">
        <v>93.778000000000006</v>
      </c>
      <c r="D13" s="1342" t="s">
        <v>2111</v>
      </c>
      <c r="E13" s="1343">
        <v>124922</v>
      </c>
      <c r="F13" s="1343">
        <v>36629</v>
      </c>
      <c r="G13" s="1343">
        <v>124922</v>
      </c>
      <c r="H13" s="1343"/>
      <c r="I13" s="1343">
        <v>36629</v>
      </c>
      <c r="J13" s="1343"/>
      <c r="K13" s="1343"/>
      <c r="L13" s="1340">
        <f t="shared" ref="L13:L21" si="0">+G13+I13+K13</f>
        <v>161551</v>
      </c>
      <c r="M13" s="1343" t="s">
        <v>2113</v>
      </c>
    </row>
    <row r="14" spans="2:14" ht="20.100000000000001" customHeight="1" x14ac:dyDescent="0.2">
      <c r="B14" s="1337" t="s">
        <v>2110</v>
      </c>
      <c r="C14" s="1341">
        <v>93.778000000000006</v>
      </c>
      <c r="D14" s="1342" t="s">
        <v>2112</v>
      </c>
      <c r="E14" s="1343"/>
      <c r="F14" s="1343">
        <v>109033</v>
      </c>
      <c r="G14" s="1343"/>
      <c r="H14" s="1343"/>
      <c r="I14" s="1343">
        <v>109033</v>
      </c>
      <c r="J14" s="1343"/>
      <c r="K14" s="1343"/>
      <c r="L14" s="1340">
        <f t="shared" si="0"/>
        <v>109033</v>
      </c>
      <c r="M14" s="1343" t="s">
        <v>2113</v>
      </c>
    </row>
    <row r="15" spans="2:14" ht="20.100000000000001" customHeight="1" x14ac:dyDescent="0.2">
      <c r="B15" s="1337" t="s">
        <v>1231</v>
      </c>
      <c r="C15" s="1341"/>
      <c r="D15" s="1342"/>
      <c r="E15" s="1343"/>
      <c r="F15" s="1343"/>
      <c r="G15" s="1343"/>
      <c r="H15" s="1343"/>
      <c r="I15" s="1343"/>
      <c r="J15" s="1343"/>
      <c r="K15" s="1343"/>
      <c r="L15" s="1340"/>
      <c r="M15" s="1343"/>
    </row>
    <row r="16" spans="2:14" ht="45" x14ac:dyDescent="0.2">
      <c r="B16" s="1337" t="s">
        <v>2114</v>
      </c>
      <c r="C16" s="1341"/>
      <c r="D16" s="1342"/>
      <c r="E16" s="1343"/>
      <c r="F16" s="1343"/>
      <c r="G16" s="1343"/>
      <c r="H16" s="1343"/>
      <c r="I16" s="1343"/>
      <c r="J16" s="1343"/>
      <c r="K16" s="1343"/>
      <c r="L16" s="1340"/>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2110</v>
      </c>
      <c r="C18" s="1341">
        <v>93.778000000000006</v>
      </c>
      <c r="D18" s="1342" t="s">
        <v>2111</v>
      </c>
      <c r="E18" s="1343">
        <v>55484</v>
      </c>
      <c r="F18" s="1343">
        <v>16669</v>
      </c>
      <c r="G18" s="1343">
        <v>55484</v>
      </c>
      <c r="H18" s="1343"/>
      <c r="I18" s="1343">
        <v>16669</v>
      </c>
      <c r="J18" s="1343"/>
      <c r="K18" s="1343"/>
      <c r="L18" s="1340">
        <f t="shared" si="0"/>
        <v>72153</v>
      </c>
      <c r="M18" s="1343" t="s">
        <v>2113</v>
      </c>
    </row>
    <row r="19" spans="2:14" ht="20.100000000000001" customHeight="1" x14ac:dyDescent="0.2">
      <c r="B19" s="1337" t="s">
        <v>2110</v>
      </c>
      <c r="C19" s="1341">
        <v>93.778000000000006</v>
      </c>
      <c r="D19" s="1342" t="s">
        <v>2112</v>
      </c>
      <c r="E19" s="1343"/>
      <c r="F19" s="1343">
        <v>46368</v>
      </c>
      <c r="G19" s="1343"/>
      <c r="H19" s="1343"/>
      <c r="I19" s="1343">
        <v>46368</v>
      </c>
      <c r="J19" s="1343"/>
      <c r="K19" s="1343"/>
      <c r="L19" s="1340">
        <f t="shared" si="0"/>
        <v>46368</v>
      </c>
      <c r="M19" s="1343" t="s">
        <v>2113</v>
      </c>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2115</v>
      </c>
      <c r="C21" s="1341"/>
      <c r="D21" s="1342"/>
      <c r="E21" s="1343">
        <v>2489315</v>
      </c>
      <c r="F21" s="1343">
        <v>2669035</v>
      </c>
      <c r="G21" s="1343">
        <v>2620860</v>
      </c>
      <c r="H21" s="1343"/>
      <c r="I21" s="1343">
        <v>2738946</v>
      </c>
      <c r="J21" s="1343"/>
      <c r="K21" s="1343">
        <v>301668</v>
      </c>
      <c r="L21" s="1340">
        <f t="shared" si="0"/>
        <v>5661474</v>
      </c>
      <c r="M21" s="1343">
        <v>5295206</v>
      </c>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P33" sqref="P3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74" t="str">
        <f>'Single Audit Cover'!A7</f>
        <v>Williamson Co SpEd District</v>
      </c>
      <c r="C1" s="2510"/>
      <c r="D1" s="2510"/>
      <c r="E1" s="2510"/>
      <c r="F1" s="2510"/>
      <c r="G1" s="2510"/>
      <c r="H1" s="2510"/>
      <c r="I1" s="2510"/>
      <c r="J1" s="2510"/>
      <c r="K1" s="2510"/>
      <c r="L1" s="2510"/>
      <c r="M1" s="2510"/>
    </row>
    <row r="2" spans="2:14" ht="15" x14ac:dyDescent="0.2">
      <c r="B2" s="2507">
        <f>'Single Audit Cover'!E7</f>
        <v>21100801060</v>
      </c>
      <c r="C2" s="2507"/>
      <c r="D2" s="2507"/>
      <c r="E2" s="2507"/>
      <c r="F2" s="2507"/>
      <c r="G2" s="2507"/>
      <c r="H2" s="2507"/>
      <c r="I2" s="2507"/>
      <c r="J2" s="2507"/>
      <c r="K2" s="2507"/>
      <c r="L2" s="2507"/>
      <c r="M2" s="2507"/>
      <c r="N2" s="1302"/>
    </row>
    <row r="3" spans="2:14" ht="15" x14ac:dyDescent="0.2">
      <c r="B3" s="2511" t="s">
        <v>1281</v>
      </c>
      <c r="C3" s="2511"/>
      <c r="D3" s="2511"/>
      <c r="E3" s="2511"/>
      <c r="F3" s="2511"/>
      <c r="G3" s="2511"/>
      <c r="H3" s="2511"/>
      <c r="I3" s="2511"/>
      <c r="J3" s="2511"/>
      <c r="K3" s="2511"/>
      <c r="L3" s="2511"/>
      <c r="M3" s="2511"/>
      <c r="N3" s="1302"/>
    </row>
    <row r="4" spans="2:14" ht="15" x14ac:dyDescent="0.2">
      <c r="B4" s="2512" t="str">
        <f>'Single Audit Cover'!A4</f>
        <v>Year Ending June 30, 2018</v>
      </c>
      <c r="C4" s="2512"/>
      <c r="D4" s="2512"/>
      <c r="E4" s="2512"/>
      <c r="F4" s="2512"/>
      <c r="G4" s="2512"/>
      <c r="H4" s="2512"/>
      <c r="I4" s="2512"/>
      <c r="J4" s="2512"/>
      <c r="K4" s="2512"/>
      <c r="L4" s="2512"/>
      <c r="M4" s="2512"/>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1945</v>
      </c>
      <c r="K8" s="1319" t="s">
        <v>1323</v>
      </c>
      <c r="L8" s="1320" t="s">
        <v>1319</v>
      </c>
      <c r="M8" s="1321" t="s">
        <v>30</v>
      </c>
    </row>
    <row r="9" spans="2:14" ht="14.25" x14ac:dyDescent="0.2">
      <c r="B9" s="1325" t="s">
        <v>1321</v>
      </c>
      <c r="C9" s="1313" t="s">
        <v>1834</v>
      </c>
      <c r="D9" s="1314" t="s">
        <v>1835</v>
      </c>
      <c r="E9" s="1322" t="s">
        <v>1662</v>
      </c>
      <c r="F9" s="1323" t="s">
        <v>1945</v>
      </c>
      <c r="G9" s="1324" t="s">
        <v>1662</v>
      </c>
      <c r="H9" s="1317" t="s">
        <v>1663</v>
      </c>
      <c r="I9" s="1319" t="s">
        <v>1945</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2120</v>
      </c>
      <c r="C11" s="1338"/>
      <c r="D11" s="1339"/>
      <c r="E11" s="1340"/>
      <c r="F11" s="1340"/>
      <c r="G11" s="1340"/>
      <c r="H11" s="1340"/>
      <c r="I11" s="1340"/>
      <c r="J11" s="1340"/>
      <c r="K11" s="1340"/>
      <c r="L11" s="1340">
        <f>+G11+I11+K11</f>
        <v>0</v>
      </c>
      <c r="M11" s="1340"/>
    </row>
    <row r="12" spans="2:14" ht="20.100000000000001" customHeight="1" x14ac:dyDescent="0.2">
      <c r="B12" s="1337"/>
      <c r="C12" s="1341" t="s">
        <v>2097</v>
      </c>
      <c r="D12" s="1342"/>
      <c r="E12" s="1343">
        <v>42267</v>
      </c>
      <c r="F12" s="1343">
        <v>76536</v>
      </c>
      <c r="G12" s="1343">
        <v>62193</v>
      </c>
      <c r="H12" s="1343"/>
      <c r="I12" s="1343">
        <v>70084</v>
      </c>
      <c r="J12" s="1343"/>
      <c r="K12" s="1343">
        <v>6618</v>
      </c>
      <c r="L12" s="1340">
        <f t="shared" ref="L12:L15" si="0">+G12+I12+K12</f>
        <v>138895</v>
      </c>
      <c r="M12" s="1343">
        <v>138895</v>
      </c>
    </row>
    <row r="13" spans="2:14" ht="20.100000000000001" customHeight="1" x14ac:dyDescent="0.2">
      <c r="B13" s="1337"/>
      <c r="C13" s="1341" t="s">
        <v>2101</v>
      </c>
      <c r="D13" s="1342"/>
      <c r="E13" s="1343">
        <v>2212981</v>
      </c>
      <c r="F13" s="1343">
        <v>2335975</v>
      </c>
      <c r="G13" s="1343">
        <v>2324600</v>
      </c>
      <c r="H13" s="1343"/>
      <c r="I13" s="1343">
        <v>2412338</v>
      </c>
      <c r="J13" s="1343"/>
      <c r="K13" s="1343">
        <v>295050</v>
      </c>
      <c r="L13" s="1340">
        <f t="shared" si="0"/>
        <v>5031988</v>
      </c>
      <c r="M13" s="1343">
        <v>5031988</v>
      </c>
    </row>
    <row r="14" spans="2:14" ht="20.100000000000001" customHeight="1" x14ac:dyDescent="0.2">
      <c r="B14" s="1337"/>
      <c r="C14" s="1341">
        <v>93.778000000000006</v>
      </c>
      <c r="D14" s="1342"/>
      <c r="E14" s="1343">
        <v>180406</v>
      </c>
      <c r="F14" s="1343">
        <v>208699</v>
      </c>
      <c r="G14" s="1343">
        <v>180406</v>
      </c>
      <c r="H14" s="1343"/>
      <c r="I14" s="1343">
        <v>208699</v>
      </c>
      <c r="J14" s="1343"/>
      <c r="K14" s="1343"/>
      <c r="L14" s="1340">
        <f t="shared" si="0"/>
        <v>389105</v>
      </c>
      <c r="M14" s="1343" t="s">
        <v>2113</v>
      </c>
    </row>
    <row r="15" spans="2:14" ht="20.100000000000001" customHeight="1" x14ac:dyDescent="0.2">
      <c r="B15" s="1337" t="s">
        <v>1231</v>
      </c>
      <c r="C15" s="1341">
        <v>84.126000000000005</v>
      </c>
      <c r="D15" s="1342"/>
      <c r="E15" s="1343">
        <v>53661</v>
      </c>
      <c r="F15" s="1343">
        <v>47825</v>
      </c>
      <c r="G15" s="1343">
        <v>53661</v>
      </c>
      <c r="H15" s="1343"/>
      <c r="I15" s="1343">
        <v>47825</v>
      </c>
      <c r="J15" s="1343"/>
      <c r="K15" s="1343"/>
      <c r="L15" s="1340">
        <f t="shared" si="0"/>
        <v>101486</v>
      </c>
      <c r="M15" s="1343">
        <v>124323</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2128</v>
      </c>
      <c r="C17" s="1341"/>
      <c r="D17" s="1342"/>
      <c r="E17" s="1343">
        <f>SUM(E12:E16)</f>
        <v>2489315</v>
      </c>
      <c r="F17" s="1343">
        <f t="shared" ref="F17:M17" si="1">SUM(F12:F16)</f>
        <v>2669035</v>
      </c>
      <c r="G17" s="1343">
        <f t="shared" si="1"/>
        <v>2620860</v>
      </c>
      <c r="H17" s="1343"/>
      <c r="I17" s="1343">
        <f t="shared" si="1"/>
        <v>2738946</v>
      </c>
      <c r="J17" s="1343"/>
      <c r="K17" s="1343">
        <f t="shared" si="1"/>
        <v>301668</v>
      </c>
      <c r="L17" s="1340">
        <f t="shared" si="1"/>
        <v>5661474</v>
      </c>
      <c r="M17" s="1343">
        <f t="shared" si="1"/>
        <v>5295206</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8" zoomScale="110" zoomScaleNormal="110" workbookViewId="0">
      <selection activeCell="F27" sqref="F2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4" t="str">
        <f>'Single Audit Cover'!A7</f>
        <v>Williamson Co SpEd District</v>
      </c>
      <c r="C1" s="2525"/>
      <c r="D1" s="2525"/>
      <c r="E1" s="2525"/>
      <c r="F1" s="2525"/>
      <c r="G1" s="2525"/>
      <c r="H1" s="2525"/>
      <c r="I1" s="2525"/>
      <c r="J1" s="1422"/>
    </row>
    <row r="2" spans="2:10" s="317" customFormat="1" ht="12.75" customHeight="1" x14ac:dyDescent="0.2">
      <c r="B2" s="2526">
        <f>'Single Audit Cover'!E7</f>
        <v>21100801060</v>
      </c>
      <c r="C2" s="2527"/>
      <c r="D2" s="2527"/>
      <c r="E2" s="2527"/>
      <c r="F2" s="2527"/>
      <c r="G2" s="2527"/>
      <c r="H2" s="2527"/>
      <c r="I2" s="2527"/>
      <c r="J2" s="1422"/>
    </row>
    <row r="3" spans="2:10" s="317" customFormat="1" ht="12.75" customHeight="1" x14ac:dyDescent="0.2">
      <c r="B3" s="2528" t="s">
        <v>1347</v>
      </c>
      <c r="C3" s="2529"/>
      <c r="D3" s="2529"/>
      <c r="E3" s="2529"/>
      <c r="F3" s="2529"/>
      <c r="G3" s="2529"/>
      <c r="H3" s="2529"/>
      <c r="I3" s="2529"/>
      <c r="J3" s="1423"/>
    </row>
    <row r="4" spans="2:10" s="317" customFormat="1" ht="12.75" customHeight="1" x14ac:dyDescent="0.2">
      <c r="B4" s="2528" t="str">
        <f>'Single Audit Cover'!A4</f>
        <v>Year Ending June 30, 2018</v>
      </c>
      <c r="C4" s="2529"/>
      <c r="D4" s="2529"/>
      <c r="E4" s="2529"/>
      <c r="F4" s="2529"/>
      <c r="G4" s="2529"/>
      <c r="H4" s="2529"/>
      <c r="I4" s="252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28" t="s">
        <v>1346</v>
      </c>
      <c r="C7" s="2529"/>
      <c r="D7" s="2529"/>
      <c r="E7" s="2529"/>
      <c r="F7" s="2529"/>
      <c r="G7" s="2529"/>
      <c r="H7" s="2529"/>
      <c r="I7" s="252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30" t="s">
        <v>2122</v>
      </c>
      <c r="D11" s="2530"/>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2119</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1517</v>
      </c>
      <c r="C18" s="1437"/>
      <c r="D18" s="1398"/>
      <c r="E18" s="1438" t="s">
        <v>2119</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940</v>
      </c>
      <c r="G20" s="1438" t="s">
        <v>2119</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2119</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1517</v>
      </c>
      <c r="C27" s="1437"/>
      <c r="D27" s="1398"/>
      <c r="E27" s="1438"/>
      <c r="F27" s="1300" t="s">
        <v>940</v>
      </c>
      <c r="G27" s="1438" t="s">
        <v>2119</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31" t="s">
        <v>2122</v>
      </c>
      <c r="E29" s="2531"/>
      <c r="F29" s="2531"/>
      <c r="G29" s="2531"/>
      <c r="H29" s="2531"/>
      <c r="I29" s="2531"/>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1632</v>
      </c>
      <c r="C33" s="1282"/>
      <c r="E33" s="1438"/>
      <c r="F33" s="1300" t="s">
        <v>940</v>
      </c>
      <c r="G33" s="1438" t="s">
        <v>2119</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532" t="s">
        <v>1850</v>
      </c>
      <c r="D37" s="2533"/>
      <c r="E37" s="2533"/>
      <c r="F37" s="2534"/>
      <c r="G37" s="2532" t="s">
        <v>1673</v>
      </c>
      <c r="H37" s="2533"/>
      <c r="I37" s="2534"/>
    </row>
    <row r="38" spans="2:9" ht="16.5" customHeight="1" x14ac:dyDescent="0.2">
      <c r="B38" s="1444" t="s">
        <v>2123</v>
      </c>
      <c r="C38" s="2520" t="s">
        <v>2124</v>
      </c>
      <c r="D38" s="2521"/>
      <c r="E38" s="2521"/>
      <c r="F38" s="2522"/>
      <c r="G38" s="2535">
        <v>2482422</v>
      </c>
      <c r="H38" s="2536"/>
      <c r="I38" s="2537"/>
    </row>
    <row r="39" spans="2:9" ht="16.5" customHeight="1" x14ac:dyDescent="0.2">
      <c r="B39" s="1444"/>
      <c r="C39" s="2520"/>
      <c r="D39" s="2521"/>
      <c r="E39" s="2521"/>
      <c r="F39" s="2522"/>
      <c r="G39" s="2523"/>
      <c r="H39" s="2523"/>
      <c r="I39" s="2523"/>
    </row>
    <row r="40" spans="2:9" ht="16.5" customHeight="1" x14ac:dyDescent="0.2">
      <c r="B40" s="1444"/>
      <c r="C40" s="2520"/>
      <c r="D40" s="2521"/>
      <c r="E40" s="2521"/>
      <c r="F40" s="2522"/>
      <c r="G40" s="2523"/>
      <c r="H40" s="2523"/>
      <c r="I40" s="2523"/>
    </row>
    <row r="41" spans="2:9" ht="16.5" customHeight="1" x14ac:dyDescent="0.2">
      <c r="B41" s="1444"/>
      <c r="C41" s="2520"/>
      <c r="D41" s="2521"/>
      <c r="E41" s="2521"/>
      <c r="F41" s="2522"/>
      <c r="G41" s="2523"/>
      <c r="H41" s="2523"/>
      <c r="I41" s="2523"/>
    </row>
    <row r="42" spans="2:9" ht="16.5" customHeight="1" x14ac:dyDescent="0.2">
      <c r="B42" s="1444"/>
      <c r="C42" s="2520"/>
      <c r="D42" s="2521"/>
      <c r="E42" s="2521"/>
      <c r="F42" s="2522"/>
      <c r="G42" s="2523"/>
      <c r="H42" s="2523"/>
      <c r="I42" s="2523"/>
    </row>
    <row r="43" spans="2:9" ht="16.5" customHeight="1" x14ac:dyDescent="0.2">
      <c r="B43" s="1444"/>
      <c r="C43" s="2513" t="s">
        <v>1674</v>
      </c>
      <c r="D43" s="2514"/>
      <c r="E43" s="2514"/>
      <c r="F43" s="2515"/>
      <c r="G43" s="2516">
        <f>SUM(G38:I42)</f>
        <v>2482422</v>
      </c>
      <c r="H43" s="2516"/>
      <c r="I43" s="2516"/>
    </row>
    <row r="44" spans="2:9" ht="12.75" customHeight="1" x14ac:dyDescent="0.2"/>
    <row r="45" spans="2:9" ht="12.75" customHeight="1" x14ac:dyDescent="0.2">
      <c r="B45" s="1435" t="s">
        <v>1947</v>
      </c>
      <c r="D45" s="2517">
        <v>2738946</v>
      </c>
      <c r="E45" s="2518"/>
    </row>
    <row r="46" spans="2:9" ht="5.25" customHeight="1" x14ac:dyDescent="0.2">
      <c r="B46" s="1445"/>
      <c r="D46" s="1446"/>
      <c r="E46" s="1447"/>
    </row>
    <row r="47" spans="2:9" ht="12.75" customHeight="1" x14ac:dyDescent="0.2">
      <c r="B47" s="1300" t="s">
        <v>1675</v>
      </c>
      <c r="C47" s="1300"/>
      <c r="D47" s="1448">
        <f>+G43/D45</f>
        <v>0.90634207465207417</v>
      </c>
      <c r="E47" s="1449"/>
      <c r="F47" s="1450"/>
      <c r="I47" s="1451"/>
    </row>
    <row r="48" spans="2:9" ht="9.9499999999999993" customHeight="1" x14ac:dyDescent="0.2"/>
    <row r="49" spans="1:9" x14ac:dyDescent="0.2">
      <c r="B49" s="1368" t="s">
        <v>1335</v>
      </c>
      <c r="C49" s="1282"/>
      <c r="D49" s="1282"/>
      <c r="E49" s="2519">
        <v>750000</v>
      </c>
      <c r="F49" s="2519"/>
      <c r="G49" s="2519"/>
      <c r="H49" s="322"/>
    </row>
    <row r="51" spans="1:9" ht="13.5" customHeight="1" x14ac:dyDescent="0.2">
      <c r="B51" s="1368" t="s">
        <v>1334</v>
      </c>
      <c r="C51" s="1282"/>
      <c r="E51" s="1438" t="s">
        <v>2119</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90" zoomScaleNormal="90" workbookViewId="0">
      <selection activeCell="D11" sqref="D11"/>
    </sheetView>
  </sheetViews>
  <sheetFormatPr defaultColWidth="9.140625" defaultRowHeight="12.75" x14ac:dyDescent="0.2"/>
  <cols>
    <col min="1" max="1" width="1.5703125" style="1963" customWidth="1"/>
    <col min="2" max="2" width="21.42578125" style="1963" customWidth="1"/>
    <col min="3" max="3" width="6.140625" style="1963" customWidth="1"/>
    <col min="4" max="4" width="4.42578125" style="1963" customWidth="1"/>
    <col min="5" max="5" width="3.5703125" style="1963" customWidth="1"/>
    <col min="6" max="6" width="20.140625" style="1963" customWidth="1"/>
    <col min="7" max="7" width="3.5703125" style="1965" customWidth="1"/>
    <col min="8" max="8" width="10.5703125" style="1963" customWidth="1"/>
    <col min="9" max="9" width="3.42578125" style="1965" customWidth="1"/>
    <col min="10" max="10" width="15.42578125" style="1963" customWidth="1"/>
    <col min="11" max="11" width="8.5703125" style="1963" customWidth="1"/>
    <col min="12" max="12" width="1.42578125" style="1963" customWidth="1"/>
    <col min="13" max="13" width="3.42578125" style="1963" customWidth="1"/>
    <col min="14" max="16384" width="9.140625" style="1963"/>
  </cols>
  <sheetData>
    <row r="1" spans="1:13" ht="11.1" customHeight="1" x14ac:dyDescent="0.2">
      <c r="B1" s="2524" t="str">
        <f>'Single Audit Cover'!A7</f>
        <v>Williamson Co SpEd District</v>
      </c>
      <c r="C1" s="2524"/>
      <c r="D1" s="2524"/>
      <c r="E1" s="2524"/>
      <c r="F1" s="2524"/>
      <c r="G1" s="2524"/>
      <c r="H1" s="2524"/>
      <c r="I1" s="2524"/>
      <c r="J1" s="2524"/>
      <c r="K1" s="2524"/>
      <c r="L1" s="1971"/>
      <c r="M1" s="1971"/>
    </row>
    <row r="2" spans="1:13" ht="12" customHeight="1" x14ac:dyDescent="0.2">
      <c r="B2" s="2526">
        <f>'Single Audit Cover'!E7</f>
        <v>21100801060</v>
      </c>
      <c r="C2" s="2526"/>
      <c r="D2" s="2526"/>
      <c r="E2" s="2526"/>
      <c r="F2" s="2526"/>
      <c r="G2" s="2526"/>
      <c r="H2" s="2526"/>
      <c r="I2" s="2526"/>
      <c r="J2" s="2526"/>
      <c r="K2" s="2526"/>
      <c r="L2" s="1972"/>
      <c r="M2" s="1973"/>
    </row>
    <row r="3" spans="1:13" ht="10.35" customHeight="1" x14ac:dyDescent="0.2">
      <c r="B3" s="2540" t="s">
        <v>1347</v>
      </c>
      <c r="C3" s="2540"/>
      <c r="D3" s="2540"/>
      <c r="E3" s="2540"/>
      <c r="F3" s="2540"/>
      <c r="G3" s="2540"/>
      <c r="H3" s="2540"/>
      <c r="I3" s="2540"/>
      <c r="J3" s="2540"/>
      <c r="K3" s="2540"/>
      <c r="L3" s="1974"/>
      <c r="M3" s="1974"/>
    </row>
    <row r="4" spans="1:13" ht="14.25" customHeight="1" x14ac:dyDescent="0.2">
      <c r="B4" s="2541" t="str">
        <f>'Single Audit Cover'!A4</f>
        <v>Year Ending June 30, 2018</v>
      </c>
      <c r="C4" s="2541"/>
      <c r="D4" s="2541"/>
      <c r="E4" s="2541"/>
      <c r="F4" s="2541"/>
      <c r="G4" s="2541"/>
      <c r="H4" s="2541"/>
      <c r="I4" s="2541"/>
      <c r="J4" s="2541"/>
      <c r="K4" s="2541"/>
      <c r="L4" s="1962"/>
      <c r="M4" s="1962"/>
    </row>
    <row r="5" spans="1:13" ht="7.5" customHeight="1" x14ac:dyDescent="0.2">
      <c r="B5" s="1966" t="s">
        <v>1231</v>
      </c>
      <c r="C5" s="1966"/>
    </row>
    <row r="6" spans="1:13" ht="7.5" customHeight="1" x14ac:dyDescent="0.2">
      <c r="B6" s="1975"/>
      <c r="C6" s="1975"/>
      <c r="D6" s="1976"/>
      <c r="E6" s="1976"/>
      <c r="F6" s="1976"/>
      <c r="G6" s="1977"/>
      <c r="H6" s="1976"/>
      <c r="I6" s="1977"/>
      <c r="J6" s="1976"/>
      <c r="K6" s="1976"/>
      <c r="L6" s="1978"/>
    </row>
    <row r="7" spans="1:13" ht="12.75" customHeight="1" x14ac:dyDescent="0.2">
      <c r="A7" s="1967"/>
      <c r="B7" s="2541" t="s">
        <v>1363</v>
      </c>
      <c r="C7" s="2541"/>
      <c r="D7" s="2542"/>
      <c r="E7" s="2542"/>
      <c r="F7" s="2542"/>
      <c r="G7" s="2542"/>
      <c r="H7" s="2542"/>
      <c r="I7" s="2542"/>
      <c r="J7" s="2542"/>
      <c r="K7" s="2542"/>
      <c r="L7" s="1979"/>
    </row>
    <row r="8" spans="1:13" ht="7.5" customHeight="1" x14ac:dyDescent="0.2">
      <c r="B8" s="1964"/>
      <c r="C8" s="1964"/>
      <c r="D8" s="1964"/>
      <c r="E8" s="1964"/>
      <c r="F8" s="1964"/>
      <c r="G8" s="1980"/>
      <c r="H8" s="1964"/>
      <c r="I8" s="1980"/>
      <c r="J8" s="1964"/>
      <c r="K8" s="1964"/>
      <c r="L8" s="1978"/>
    </row>
    <row r="9" spans="1:13" ht="9.6" customHeight="1" x14ac:dyDescent="0.2">
      <c r="B9" s="1976"/>
      <c r="C9" s="1976"/>
      <c r="D9" s="1976"/>
      <c r="E9" s="1976"/>
      <c r="F9" s="1976"/>
      <c r="G9" s="1977"/>
      <c r="H9" s="1976"/>
      <c r="I9" s="1977"/>
      <c r="J9" s="1976"/>
      <c r="K9" s="1976"/>
      <c r="L9" s="1978"/>
    </row>
    <row r="10" spans="1:13" ht="16.5" customHeight="1" x14ac:dyDescent="0.2">
      <c r="B10" s="1981" t="s">
        <v>1841</v>
      </c>
      <c r="C10" s="1982" t="s">
        <v>1948</v>
      </c>
      <c r="D10" s="1983">
        <v>2</v>
      </c>
      <c r="E10" s="1964"/>
      <c r="F10" s="1984" t="s">
        <v>1362</v>
      </c>
      <c r="G10" s="1985" t="s">
        <v>2119</v>
      </c>
      <c r="H10" s="1986" t="s">
        <v>1361</v>
      </c>
      <c r="I10" s="1985"/>
      <c r="J10" s="1987" t="s">
        <v>1360</v>
      </c>
      <c r="K10" s="1964"/>
      <c r="L10" s="1978"/>
    </row>
    <row r="11" spans="1:13" ht="13.5" customHeight="1" x14ac:dyDescent="0.2">
      <c r="B11" s="1964"/>
      <c r="C11" s="1964"/>
      <c r="D11" s="1964"/>
      <c r="E11" s="1964"/>
      <c r="F11" s="1964"/>
      <c r="G11" s="1980"/>
      <c r="H11" s="1964"/>
      <c r="I11" s="1988" t="s">
        <v>1359</v>
      </c>
      <c r="J11" s="1964"/>
      <c r="K11" s="1989"/>
      <c r="L11" s="1978"/>
    </row>
    <row r="12" spans="1:13" ht="13.5" customHeight="1" x14ac:dyDescent="0.2">
      <c r="B12" s="1968"/>
      <c r="C12" s="1968"/>
      <c r="D12" s="1964"/>
      <c r="E12" s="1964"/>
      <c r="F12" s="1964"/>
      <c r="G12" s="1980"/>
      <c r="H12" s="1964"/>
      <c r="I12" s="1980"/>
      <c r="J12" s="1964"/>
      <c r="L12" s="1978"/>
    </row>
    <row r="13" spans="1:13" s="1967" customFormat="1" ht="13.5" customHeight="1" x14ac:dyDescent="0.2">
      <c r="B13" s="1990" t="s">
        <v>1358</v>
      </c>
      <c r="C13" s="1990"/>
      <c r="D13" s="1991"/>
      <c r="E13" s="1991"/>
      <c r="F13" s="1991"/>
      <c r="G13" s="1992"/>
      <c r="H13" s="1991"/>
      <c r="I13" s="1992"/>
      <c r="J13" s="1991"/>
      <c r="K13" s="1991"/>
      <c r="L13" s="1993"/>
    </row>
    <row r="14" spans="1:13" ht="45.75" customHeight="1" x14ac:dyDescent="0.2">
      <c r="B14" s="2539" t="s">
        <v>2131</v>
      </c>
      <c r="C14" s="2539"/>
      <c r="D14" s="2539"/>
      <c r="E14" s="2539"/>
      <c r="F14" s="2539"/>
      <c r="G14" s="2539"/>
      <c r="H14" s="2539"/>
      <c r="I14" s="2539"/>
      <c r="J14" s="2539"/>
      <c r="K14" s="2539"/>
      <c r="L14" s="1994"/>
    </row>
    <row r="15" spans="1:13" ht="4.5" customHeight="1" x14ac:dyDescent="0.2">
      <c r="B15" s="1995"/>
      <c r="C15" s="1995"/>
      <c r="D15" s="1996"/>
      <c r="E15" s="1996"/>
      <c r="F15" s="1996"/>
      <c r="H15" s="1996"/>
      <c r="J15" s="1996"/>
      <c r="K15" s="1996"/>
      <c r="L15" s="1994"/>
    </row>
    <row r="16" spans="1:13" s="1967" customFormat="1" ht="13.5" customHeight="1" x14ac:dyDescent="0.2">
      <c r="B16" s="1990" t="s">
        <v>1357</v>
      </c>
      <c r="C16" s="1990"/>
      <c r="D16" s="1991"/>
      <c r="E16" s="1991"/>
      <c r="F16" s="1991"/>
      <c r="G16" s="1992"/>
      <c r="H16" s="1991"/>
      <c r="I16" s="1992"/>
      <c r="J16" s="1991"/>
      <c r="K16" s="1991"/>
      <c r="L16" s="1993"/>
    </row>
    <row r="17" spans="2:12" ht="45.75" customHeight="1" x14ac:dyDescent="0.2">
      <c r="B17" s="2539" t="s">
        <v>2132</v>
      </c>
      <c r="C17" s="2539"/>
      <c r="D17" s="2539"/>
      <c r="E17" s="2539"/>
      <c r="F17" s="2539"/>
      <c r="G17" s="2539"/>
      <c r="H17" s="2539"/>
      <c r="I17" s="2539"/>
      <c r="J17" s="2539"/>
      <c r="K17" s="2539"/>
      <c r="L17" s="1978"/>
    </row>
    <row r="18" spans="2:12" ht="4.5" customHeight="1" x14ac:dyDescent="0.2">
      <c r="B18" s="1995"/>
      <c r="C18" s="1995"/>
      <c r="L18" s="1978"/>
    </row>
    <row r="19" spans="2:12" s="1967" customFormat="1" ht="13.5" customHeight="1" x14ac:dyDescent="0.2">
      <c r="B19" s="1990" t="s">
        <v>1842</v>
      </c>
      <c r="C19" s="1990"/>
      <c r="D19" s="1991"/>
      <c r="E19" s="1991"/>
      <c r="F19" s="1991"/>
      <c r="G19" s="1992"/>
      <c r="H19" s="1991"/>
      <c r="I19" s="1992"/>
      <c r="J19" s="1991"/>
      <c r="K19" s="1991"/>
      <c r="L19" s="1993"/>
    </row>
    <row r="20" spans="2:12" ht="45.75" customHeight="1" x14ac:dyDescent="0.2">
      <c r="B20" s="2543" t="s">
        <v>2133</v>
      </c>
      <c r="C20" s="2543"/>
      <c r="D20" s="2539"/>
      <c r="E20" s="2539"/>
      <c r="F20" s="2539"/>
      <c r="G20" s="2539"/>
      <c r="H20" s="2539"/>
      <c r="I20" s="2539"/>
      <c r="J20" s="2539"/>
      <c r="K20" s="2539"/>
      <c r="L20" s="1978"/>
    </row>
    <row r="21" spans="2:12" ht="4.5" customHeight="1" x14ac:dyDescent="0.2">
      <c r="B21" s="1997"/>
      <c r="C21" s="1997"/>
      <c r="L21" s="1978"/>
    </row>
    <row r="22" spans="2:12" ht="13.5" customHeight="1" x14ac:dyDescent="0.2">
      <c r="B22" s="1990" t="s">
        <v>1356</v>
      </c>
      <c r="C22" s="1990"/>
      <c r="D22" s="1976"/>
      <c r="E22" s="1976"/>
      <c r="F22" s="1976"/>
      <c r="G22" s="1977"/>
      <c r="H22" s="1976"/>
      <c r="I22" s="1977"/>
      <c r="J22" s="1976"/>
      <c r="K22" s="1976"/>
      <c r="L22" s="1978"/>
    </row>
    <row r="23" spans="2:12" ht="45" customHeight="1" x14ac:dyDescent="0.2">
      <c r="B23" s="2539" t="s">
        <v>2134</v>
      </c>
      <c r="C23" s="2539"/>
      <c r="D23" s="2539"/>
      <c r="E23" s="2539"/>
      <c r="F23" s="2539"/>
      <c r="G23" s="2539"/>
      <c r="H23" s="2539"/>
      <c r="I23" s="2539"/>
      <c r="J23" s="2539"/>
      <c r="K23" s="2539"/>
      <c r="L23" s="1978"/>
    </row>
    <row r="24" spans="2:12" ht="4.5" customHeight="1" x14ac:dyDescent="0.2">
      <c r="B24" s="1995"/>
      <c r="C24" s="1995"/>
      <c r="L24" s="1978"/>
    </row>
    <row r="25" spans="2:12" ht="13.5" customHeight="1" x14ac:dyDescent="0.2">
      <c r="B25" s="1990" t="s">
        <v>1355</v>
      </c>
      <c r="C25" s="1990"/>
      <c r="D25" s="1976"/>
      <c r="E25" s="1976"/>
      <c r="F25" s="1976"/>
      <c r="G25" s="1977"/>
      <c r="H25" s="1976"/>
      <c r="I25" s="1977"/>
      <c r="J25" s="1976"/>
      <c r="K25" s="1976"/>
      <c r="L25" s="1978"/>
    </row>
    <row r="26" spans="2:12" ht="45.75" customHeight="1" x14ac:dyDescent="0.2">
      <c r="B26" s="2539" t="s">
        <v>2135</v>
      </c>
      <c r="C26" s="2539"/>
      <c r="D26" s="2539"/>
      <c r="E26" s="2539"/>
      <c r="F26" s="2539"/>
      <c r="G26" s="2539"/>
      <c r="H26" s="2539"/>
      <c r="I26" s="2539"/>
      <c r="J26" s="2539"/>
      <c r="K26" s="2539"/>
      <c r="L26" s="1978"/>
    </row>
    <row r="27" spans="2:12" ht="4.5" customHeight="1" x14ac:dyDescent="0.2">
      <c r="B27" s="1995"/>
      <c r="C27" s="1995"/>
      <c r="L27" s="1978"/>
    </row>
    <row r="28" spans="2:12" ht="13.5" customHeight="1" x14ac:dyDescent="0.2">
      <c r="B28" s="1998" t="s">
        <v>1354</v>
      </c>
      <c r="C28" s="1998"/>
      <c r="D28" s="1976"/>
      <c r="E28" s="1976"/>
      <c r="F28" s="1976"/>
      <c r="G28" s="1977"/>
      <c r="H28" s="1976"/>
      <c r="I28" s="1977"/>
      <c r="J28" s="1976"/>
      <c r="K28" s="1976"/>
      <c r="L28" s="1978"/>
    </row>
    <row r="29" spans="2:12" ht="45.75" customHeight="1" x14ac:dyDescent="0.2">
      <c r="B29" s="2544" t="s">
        <v>2136</v>
      </c>
      <c r="C29" s="2544"/>
      <c r="D29" s="2539"/>
      <c r="E29" s="2539"/>
      <c r="F29" s="2539"/>
      <c r="G29" s="2539"/>
      <c r="H29" s="2539"/>
      <c r="I29" s="2539"/>
      <c r="J29" s="2539"/>
      <c r="K29" s="2539"/>
      <c r="L29" s="1978"/>
    </row>
    <row r="30" spans="2:12" ht="4.5" customHeight="1" x14ac:dyDescent="0.2">
      <c r="B30" s="1999"/>
      <c r="C30" s="1999"/>
      <c r="D30" s="1964"/>
      <c r="E30" s="1964"/>
      <c r="F30" s="1964"/>
      <c r="G30" s="1980"/>
      <c r="H30" s="1964"/>
      <c r="I30" s="1980"/>
      <c r="J30" s="1964"/>
      <c r="K30" s="1964"/>
      <c r="L30" s="1978"/>
    </row>
    <row r="31" spans="2:12" s="1964" customFormat="1" ht="13.5" customHeight="1" x14ac:dyDescent="0.2">
      <c r="B31" s="2000" t="s">
        <v>1843</v>
      </c>
      <c r="C31" s="2000"/>
      <c r="D31" s="1975"/>
      <c r="E31" s="1976"/>
      <c r="F31" s="1976"/>
      <c r="G31" s="1977"/>
      <c r="H31" s="1976"/>
      <c r="I31" s="1977"/>
      <c r="J31" s="1976"/>
      <c r="K31" s="1976"/>
      <c r="L31" s="1978"/>
    </row>
    <row r="32" spans="2:12" s="1964" customFormat="1" ht="44.25" customHeight="1" x14ac:dyDescent="0.2">
      <c r="B32" s="2538" t="s">
        <v>2137</v>
      </c>
      <c r="C32" s="2538"/>
      <c r="D32" s="2539"/>
      <c r="E32" s="2539"/>
      <c r="F32" s="2539"/>
      <c r="G32" s="2539"/>
      <c r="H32" s="2539"/>
      <c r="I32" s="2539"/>
      <c r="J32" s="2539"/>
      <c r="K32" s="2539"/>
      <c r="L32" s="1978"/>
    </row>
    <row r="33" spans="1:13" s="1964" customFormat="1" ht="4.5" customHeight="1" x14ac:dyDescent="0.2">
      <c r="B33" s="1999"/>
      <c r="C33" s="1999"/>
      <c r="G33" s="1980"/>
      <c r="I33" s="1980"/>
      <c r="L33" s="1978"/>
    </row>
    <row r="34" spans="1:13" s="1964" customFormat="1" x14ac:dyDescent="0.2">
      <c r="A34" s="1969"/>
      <c r="B34" s="2001"/>
      <c r="C34" s="2001"/>
      <c r="D34" s="2001"/>
      <c r="E34" s="2001"/>
      <c r="F34" s="2001"/>
      <c r="G34" s="2002"/>
      <c r="H34" s="2001"/>
      <c r="I34" s="2002"/>
      <c r="J34" s="2001"/>
      <c r="K34" s="2001"/>
      <c r="L34" s="1978"/>
    </row>
    <row r="35" spans="1:13" ht="11.85" customHeight="1" x14ac:dyDescent="0.2">
      <c r="B35" s="2003" t="s">
        <v>1844</v>
      </c>
      <c r="C35" s="2003"/>
      <c r="D35" s="1964"/>
      <c r="E35" s="1964"/>
      <c r="F35" s="1964"/>
      <c r="L35" s="1978"/>
    </row>
    <row r="36" spans="1:13" ht="9.6" customHeight="1" x14ac:dyDescent="0.2">
      <c r="B36" s="1970" t="s">
        <v>1949</v>
      </c>
      <c r="C36" s="1970"/>
      <c r="L36" s="1978"/>
    </row>
    <row r="37" spans="1:13" ht="9.6" customHeight="1" x14ac:dyDescent="0.2">
      <c r="B37" s="1970" t="s">
        <v>1950</v>
      </c>
      <c r="C37" s="1970"/>
    </row>
    <row r="38" spans="1:13" ht="11.85" customHeight="1" x14ac:dyDescent="0.2">
      <c r="B38" s="2004" t="s">
        <v>1845</v>
      </c>
      <c r="C38" s="2004"/>
    </row>
    <row r="39" spans="1:13" ht="9.6" customHeight="1" x14ac:dyDescent="0.2">
      <c r="B39" s="1970" t="s">
        <v>1348</v>
      </c>
      <c r="C39" s="1970"/>
      <c r="M39" s="2005"/>
    </row>
    <row r="40" spans="1:13" ht="12.6" customHeight="1" x14ac:dyDescent="0.2">
      <c r="B40" s="2004" t="s">
        <v>1846</v>
      </c>
      <c r="C40" s="2004"/>
      <c r="M40" s="2005"/>
    </row>
    <row r="41" spans="1:13" ht="9.6" customHeight="1" x14ac:dyDescent="0.2">
      <c r="B41" s="1970"/>
      <c r="C41" s="1970"/>
      <c r="M41" s="20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90" zoomScaleNormal="9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4" t="str">
        <f>'Single Audit Cover'!A7</f>
        <v>Williamson Co SpEd District</v>
      </c>
      <c r="C1" s="2524"/>
      <c r="D1" s="2524"/>
      <c r="E1" s="2524"/>
      <c r="F1" s="2524"/>
      <c r="G1" s="2524"/>
      <c r="H1" s="2524"/>
      <c r="I1" s="2524"/>
      <c r="J1" s="2524"/>
      <c r="K1" s="2524"/>
      <c r="L1" s="1374"/>
      <c r="M1" s="1374"/>
    </row>
    <row r="2" spans="1:13" ht="12" customHeight="1" x14ac:dyDescent="0.2">
      <c r="B2" s="2526">
        <f>'Single Audit Cover'!E7</f>
        <v>21100801060</v>
      </c>
      <c r="C2" s="2526"/>
      <c r="D2" s="2526"/>
      <c r="E2" s="2526"/>
      <c r="F2" s="2526"/>
      <c r="G2" s="2526"/>
      <c r="H2" s="2526"/>
      <c r="I2" s="2526"/>
      <c r="J2" s="2526"/>
      <c r="K2" s="2526"/>
      <c r="L2" s="1375"/>
      <c r="M2" s="1376"/>
    </row>
    <row r="3" spans="1:13" ht="10.35" customHeight="1" x14ac:dyDescent="0.2">
      <c r="B3" s="2540" t="s">
        <v>1347</v>
      </c>
      <c r="C3" s="2540"/>
      <c r="D3" s="2540"/>
      <c r="E3" s="2540"/>
      <c r="F3" s="2540"/>
      <c r="G3" s="2540"/>
      <c r="H3" s="2540"/>
      <c r="I3" s="2540"/>
      <c r="J3" s="2540"/>
      <c r="K3" s="2540"/>
      <c r="L3" s="1377"/>
      <c r="M3" s="1377"/>
    </row>
    <row r="4" spans="1:13" ht="14.25" customHeight="1" x14ac:dyDescent="0.2">
      <c r="B4" s="2541" t="str">
        <f>'Single Audit Cover'!A4</f>
        <v>Year Ending June 30, 2018</v>
      </c>
      <c r="C4" s="2541"/>
      <c r="D4" s="2541"/>
      <c r="E4" s="2541"/>
      <c r="F4" s="2541"/>
      <c r="G4" s="2541"/>
      <c r="H4" s="2541"/>
      <c r="I4" s="2541"/>
      <c r="J4" s="2541"/>
      <c r="K4" s="254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41" t="s">
        <v>1363</v>
      </c>
      <c r="C7" s="2541"/>
      <c r="D7" s="2542"/>
      <c r="E7" s="2542"/>
      <c r="F7" s="2542"/>
      <c r="G7" s="2542"/>
      <c r="H7" s="2542"/>
      <c r="I7" s="2542"/>
      <c r="J7" s="2542"/>
      <c r="K7" s="254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1948</v>
      </c>
      <c r="D10" s="1386">
        <v>1</v>
      </c>
      <c r="E10" s="322"/>
      <c r="F10" s="1387" t="s">
        <v>1362</v>
      </c>
      <c r="G10" s="1388" t="s">
        <v>2119</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39" t="s">
        <v>2138</v>
      </c>
      <c r="C14" s="2539"/>
      <c r="D14" s="2539"/>
      <c r="E14" s="2539"/>
      <c r="F14" s="2539"/>
      <c r="G14" s="2539"/>
      <c r="H14" s="2539"/>
      <c r="I14" s="2539"/>
      <c r="J14" s="2539"/>
      <c r="K14" s="253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39" t="s">
        <v>2139</v>
      </c>
      <c r="C17" s="2539"/>
      <c r="D17" s="2539"/>
      <c r="E17" s="2539"/>
      <c r="F17" s="2539"/>
      <c r="G17" s="2539"/>
      <c r="H17" s="2539"/>
      <c r="I17" s="2539"/>
      <c r="J17" s="2539"/>
      <c r="K17" s="2539"/>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43" t="s">
        <v>2133</v>
      </c>
      <c r="C20" s="2543"/>
      <c r="D20" s="2539"/>
      <c r="E20" s="2539"/>
      <c r="F20" s="2539"/>
      <c r="G20" s="2539"/>
      <c r="H20" s="2539"/>
      <c r="I20" s="2539"/>
      <c r="J20" s="2539"/>
      <c r="K20" s="253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39" t="s">
        <v>2140</v>
      </c>
      <c r="C23" s="2539"/>
      <c r="D23" s="2539"/>
      <c r="E23" s="2539"/>
      <c r="F23" s="2539"/>
      <c r="G23" s="2539"/>
      <c r="H23" s="2539"/>
      <c r="I23" s="2539"/>
      <c r="J23" s="2539"/>
      <c r="K23" s="253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39" t="s">
        <v>2135</v>
      </c>
      <c r="C26" s="2539"/>
      <c r="D26" s="2539"/>
      <c r="E26" s="2539"/>
      <c r="F26" s="2539"/>
      <c r="G26" s="2539"/>
      <c r="H26" s="2539"/>
      <c r="I26" s="2539"/>
      <c r="J26" s="2539"/>
      <c r="K26" s="253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44" t="s">
        <v>2136</v>
      </c>
      <c r="C29" s="2544"/>
      <c r="D29" s="2539"/>
      <c r="E29" s="2539"/>
      <c r="F29" s="2539"/>
      <c r="G29" s="2539"/>
      <c r="H29" s="2539"/>
      <c r="I29" s="2539"/>
      <c r="J29" s="2539"/>
      <c r="K29" s="253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38" t="s">
        <v>2137</v>
      </c>
      <c r="C32" s="2538"/>
      <c r="D32" s="2539"/>
      <c r="E32" s="2539"/>
      <c r="F32" s="2539"/>
      <c r="G32" s="2539"/>
      <c r="H32" s="2539"/>
      <c r="I32" s="2539"/>
      <c r="J32" s="2539"/>
      <c r="K32" s="253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1845</v>
      </c>
      <c r="C38" s="1420"/>
    </row>
    <row r="39" spans="1:13" ht="9.6" customHeight="1" x14ac:dyDescent="0.2">
      <c r="B39" s="1300" t="s">
        <v>1348</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26:K26"/>
    <mergeCell ref="B29:K29"/>
    <mergeCell ref="B32:K32"/>
    <mergeCell ref="B14:K14"/>
    <mergeCell ref="B17:K17"/>
    <mergeCell ref="B23:K23"/>
    <mergeCell ref="B20:K20"/>
    <mergeCell ref="B1:K1"/>
    <mergeCell ref="B2:K2"/>
    <mergeCell ref="B3:K3"/>
    <mergeCell ref="B4:K4"/>
    <mergeCell ref="B7:K7"/>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9" t="str">
        <f>'Single Audit Cover'!A7</f>
        <v>Williamson Co SpEd District</v>
      </c>
      <c r="C1" s="2549"/>
      <c r="D1" s="2549"/>
      <c r="E1" s="2549"/>
      <c r="F1" s="2549"/>
      <c r="G1" s="2549"/>
      <c r="H1" s="2549"/>
      <c r="I1" s="2549"/>
      <c r="J1" s="2549"/>
      <c r="K1" s="2549"/>
      <c r="L1" s="1465"/>
    </row>
    <row r="2" spans="1:12" ht="12.75" customHeight="1" x14ac:dyDescent="0.2">
      <c r="B2" s="2550">
        <f>'Single Audit Cover'!E7</f>
        <v>21100801060</v>
      </c>
      <c r="C2" s="2550"/>
      <c r="D2" s="2550"/>
      <c r="E2" s="2550"/>
      <c r="F2" s="2550"/>
      <c r="G2" s="2550"/>
      <c r="H2" s="2550"/>
      <c r="I2" s="2550"/>
      <c r="J2" s="2550"/>
      <c r="K2" s="2550"/>
      <c r="L2" s="1466"/>
    </row>
    <row r="3" spans="1:12" ht="12.75" customHeight="1" x14ac:dyDescent="0.2">
      <c r="B3" s="2540" t="s">
        <v>1347</v>
      </c>
      <c r="C3" s="2540"/>
      <c r="D3" s="2540"/>
      <c r="E3" s="2540"/>
      <c r="F3" s="2540"/>
      <c r="G3" s="2540"/>
      <c r="H3" s="2540"/>
      <c r="I3" s="2540"/>
      <c r="J3" s="2540"/>
      <c r="K3" s="2540"/>
      <c r="L3" s="1377"/>
    </row>
    <row r="4" spans="1:12" ht="12.75" customHeight="1" x14ac:dyDescent="0.2">
      <c r="B4" s="2540" t="str">
        <f>'Single Audit Cover'!A4</f>
        <v>Year Ending June 30, 2018</v>
      </c>
      <c r="C4" s="2540"/>
      <c r="D4" s="2540"/>
      <c r="E4" s="2540"/>
      <c r="F4" s="2540"/>
      <c r="G4" s="2540"/>
      <c r="H4" s="2540"/>
      <c r="I4" s="2540"/>
      <c r="J4" s="2540"/>
      <c r="K4" s="2540"/>
      <c r="L4" s="1377"/>
    </row>
    <row r="5" spans="1:12" ht="5.25" customHeight="1" x14ac:dyDescent="0.2">
      <c r="B5" s="1260" t="s">
        <v>1231</v>
      </c>
      <c r="C5" s="1260"/>
      <c r="L5" s="322"/>
    </row>
    <row r="6" spans="1:12" ht="30.75" customHeight="1" x14ac:dyDescent="0.2">
      <c r="A6" s="322"/>
      <c r="B6" s="2551" t="s">
        <v>1375</v>
      </c>
      <c r="C6" s="2551"/>
      <c r="D6" s="2551"/>
      <c r="E6" s="2551"/>
      <c r="F6" s="2551"/>
      <c r="G6" s="2551"/>
      <c r="H6" s="2551"/>
      <c r="I6" s="2551"/>
      <c r="J6" s="2551"/>
      <c r="K6" s="2551"/>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1948</v>
      </c>
      <c r="D8" s="1468" t="s">
        <v>2121</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31"/>
      <c r="G12" s="2531"/>
      <c r="H12" s="2531"/>
      <c r="I12" s="2531"/>
      <c r="J12" s="2531"/>
      <c r="K12" s="253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46"/>
      <c r="E14" s="2546"/>
      <c r="F14" s="2546"/>
      <c r="H14" s="1475" t="s">
        <v>1370</v>
      </c>
      <c r="I14" s="2547"/>
      <c r="J14" s="2547"/>
      <c r="K14" s="254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47"/>
      <c r="E16" s="2547"/>
      <c r="F16" s="2547"/>
      <c r="G16" s="2547"/>
      <c r="H16" s="2547"/>
      <c r="I16" s="2547"/>
      <c r="J16" s="2547"/>
      <c r="K16" s="2547"/>
      <c r="L16" s="322"/>
    </row>
    <row r="17" spans="2:12" ht="13.5" customHeight="1" x14ac:dyDescent="0.2">
      <c r="B17" s="1387" t="s">
        <v>1368</v>
      </c>
      <c r="C17" s="1387"/>
      <c r="D17" s="2548"/>
      <c r="E17" s="2548"/>
      <c r="F17" s="2548"/>
      <c r="G17" s="2548"/>
      <c r="H17" s="2548"/>
      <c r="I17" s="2548"/>
      <c r="J17" s="2548"/>
      <c r="K17" s="254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45"/>
      <c r="C20" s="2545"/>
      <c r="D20" s="2545"/>
      <c r="E20" s="2545"/>
      <c r="F20" s="2545"/>
      <c r="G20" s="2545"/>
      <c r="H20" s="2545"/>
      <c r="I20" s="2545"/>
      <c r="J20" s="2545"/>
      <c r="K20" s="254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45"/>
      <c r="C23" s="2545"/>
      <c r="D23" s="2545"/>
      <c r="E23" s="2545"/>
      <c r="F23" s="2545"/>
      <c r="G23" s="2545"/>
      <c r="H23" s="2545"/>
      <c r="I23" s="2545"/>
      <c r="J23" s="2545"/>
      <c r="K23" s="254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45"/>
      <c r="C26" s="2545"/>
      <c r="D26" s="2545"/>
      <c r="E26" s="2545"/>
      <c r="F26" s="2545"/>
      <c r="G26" s="2545"/>
      <c r="H26" s="2545"/>
      <c r="I26" s="2545"/>
      <c r="J26" s="2545"/>
      <c r="K26" s="254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45"/>
      <c r="C29" s="2545"/>
      <c r="D29" s="2545"/>
      <c r="E29" s="2545"/>
      <c r="F29" s="2545"/>
      <c r="G29" s="2545"/>
      <c r="H29" s="2545"/>
      <c r="I29" s="2545"/>
      <c r="J29" s="2545"/>
      <c r="K29" s="254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45"/>
      <c r="C32" s="2545"/>
      <c r="D32" s="2545"/>
      <c r="E32" s="2545"/>
      <c r="F32" s="2545"/>
      <c r="G32" s="2545"/>
      <c r="H32" s="2545"/>
      <c r="I32" s="2545"/>
      <c r="J32" s="2545"/>
      <c r="K32" s="254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45"/>
      <c r="C35" s="2545"/>
      <c r="D35" s="2545"/>
      <c r="E35" s="2545"/>
      <c r="F35" s="2545"/>
      <c r="G35" s="2545"/>
      <c r="H35" s="2545"/>
      <c r="I35" s="2545"/>
      <c r="J35" s="2545"/>
      <c r="K35" s="254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45"/>
      <c r="C38" s="2545"/>
      <c r="D38" s="2545"/>
      <c r="E38" s="2545"/>
      <c r="F38" s="2545"/>
      <c r="G38" s="2545"/>
      <c r="H38" s="2545"/>
      <c r="I38" s="2545"/>
      <c r="J38" s="2545"/>
      <c r="K38" s="254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45"/>
      <c r="C41" s="2545"/>
      <c r="D41" s="2545"/>
      <c r="E41" s="2545"/>
      <c r="F41" s="2545"/>
      <c r="G41" s="2545"/>
      <c r="H41" s="2545"/>
      <c r="I41" s="2545"/>
      <c r="J41" s="2545"/>
      <c r="K41" s="254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24" t="str">
        <f>'Single Audit Cover'!A7</f>
        <v>Williamson Co SpEd District</v>
      </c>
      <c r="C1" s="2524"/>
      <c r="D1" s="2524"/>
      <c r="E1" s="1491"/>
    </row>
    <row r="2" spans="2:5" s="1282" customFormat="1" ht="12.75" customHeight="1" x14ac:dyDescent="0.2">
      <c r="B2" s="2526">
        <f>'Single Audit Cover'!E7</f>
        <v>21100801060</v>
      </c>
      <c r="C2" s="2526"/>
      <c r="D2" s="2526"/>
      <c r="E2" s="1492"/>
    </row>
    <row r="3" spans="2:5" ht="12.75" customHeight="1" x14ac:dyDescent="0.2">
      <c r="B3" s="2540" t="s">
        <v>1865</v>
      </c>
      <c r="C3" s="2540"/>
      <c r="D3" s="2540"/>
      <c r="E3" s="1274"/>
    </row>
    <row r="4" spans="2:5" s="1282" customFormat="1" ht="12.75" customHeight="1" x14ac:dyDescent="0.2">
      <c r="B4" s="2552" t="str">
        <f>'Single Audit Cover'!A4</f>
        <v>Year Ending June 30, 2018</v>
      </c>
      <c r="C4" s="2552"/>
      <c r="D4" s="2552"/>
      <c r="E4" s="1493"/>
    </row>
    <row r="5" spans="2:5" s="1282" customFormat="1" ht="40.15" customHeight="1" x14ac:dyDescent="0.2">
      <c r="B5" s="1494"/>
      <c r="C5" s="328"/>
      <c r="D5" s="328"/>
      <c r="E5" s="328"/>
    </row>
    <row r="6" spans="2:5" s="1282" customFormat="1" ht="13.5" customHeight="1" x14ac:dyDescent="0.2">
      <c r="B6" s="1495" t="s">
        <v>1382</v>
      </c>
      <c r="C6" s="1495" t="s">
        <v>1381</v>
      </c>
      <c r="D6" s="1495" t="s">
        <v>1866</v>
      </c>
    </row>
    <row r="7" spans="2:5" ht="13.5" customHeight="1" x14ac:dyDescent="0.2">
      <c r="B7" s="1496"/>
      <c r="C7" s="324"/>
      <c r="D7" s="324"/>
      <c r="E7" s="324"/>
    </row>
    <row r="8" spans="2:5" ht="13.5" customHeight="1" x14ac:dyDescent="0.2">
      <c r="B8" s="1496" t="s">
        <v>2121</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1867</v>
      </c>
    </row>
    <row r="46" spans="2:5" ht="12.2" customHeight="1" x14ac:dyDescent="0.2">
      <c r="B46" s="1505" t="s">
        <v>1868</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9" t="s">
        <v>404</v>
      </c>
      <c r="B1" s="2149"/>
      <c r="C1" s="2149"/>
      <c r="D1" s="2149"/>
      <c r="E1" s="2149"/>
      <c r="F1" s="2149"/>
      <c r="G1" s="2149"/>
      <c r="H1" s="2149"/>
      <c r="I1" s="2149"/>
      <c r="J1" s="2149"/>
      <c r="K1" s="2149"/>
      <c r="L1" s="2149"/>
      <c r="M1" s="214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59" t="str">
        <f>IF(SUM(J10)&lt;=0.0999999,"","Enter the Tax Rates by moving the decimal two places to the left.")</f>
        <v/>
      </c>
      <c r="E11" s="2160"/>
      <c r="F11" s="2160"/>
      <c r="G11" s="2160"/>
      <c r="H11" s="2160"/>
      <c r="I11" s="2160"/>
      <c r="J11" s="216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19116082</v>
      </c>
      <c r="E16" s="356"/>
      <c r="F16" s="1755">
        <f>SUM('Acct Summary 7-8'!C17,'Acct Summary 7-8'!D17,'Acct Summary 7-8'!F17)</f>
        <v>19066433</v>
      </c>
      <c r="G16" s="356"/>
      <c r="H16" s="1755">
        <f>SUM(D16-F16)</f>
        <v>49649</v>
      </c>
      <c r="I16" s="222"/>
      <c r="J16" s="1755">
        <f>SUM('Acct Summary 7-8'!C81,'Acct Summary 7-8'!D81,'Acct Summary 7-8'!F81,'Acct Summary 7-8'!I81)</f>
        <v>1571873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503500</v>
      </c>
      <c r="E24" s="356" t="s">
        <v>1063</v>
      </c>
      <c r="F24" s="1756">
        <f>SUM(D22,F22,H22,J22,L22, D24)</f>
        <v>503500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50"/>
      <c r="C54" s="2151"/>
      <c r="D54" s="2151"/>
      <c r="E54" s="2151"/>
      <c r="F54" s="2151"/>
      <c r="G54" s="2151"/>
      <c r="H54" s="2151"/>
      <c r="I54" s="2151"/>
      <c r="J54" s="2151"/>
      <c r="K54" s="2151"/>
      <c r="L54" s="2152"/>
      <c r="M54" s="380"/>
    </row>
    <row r="55" spans="1:13" ht="12.75" customHeight="1" x14ac:dyDescent="0.2">
      <c r="B55" s="2153"/>
      <c r="C55" s="2154"/>
      <c r="D55" s="2154"/>
      <c r="E55" s="2154"/>
      <c r="F55" s="2154"/>
      <c r="G55" s="2154"/>
      <c r="H55" s="2154"/>
      <c r="I55" s="2154"/>
      <c r="J55" s="2154"/>
      <c r="K55" s="2154"/>
      <c r="L55" s="2155"/>
      <c r="M55" s="380"/>
    </row>
    <row r="56" spans="1:13" ht="12.75" customHeight="1" x14ac:dyDescent="0.2">
      <c r="B56" s="2153"/>
      <c r="C56" s="2154"/>
      <c r="D56" s="2154"/>
      <c r="E56" s="2154"/>
      <c r="F56" s="2154"/>
      <c r="G56" s="2154"/>
      <c r="H56" s="2154"/>
      <c r="I56" s="2154"/>
      <c r="J56" s="2154"/>
      <c r="K56" s="2154"/>
      <c r="L56" s="2155"/>
      <c r="M56" s="222"/>
    </row>
    <row r="57" spans="1:13" ht="12.75" customHeight="1" x14ac:dyDescent="0.2">
      <c r="B57" s="2153"/>
      <c r="C57" s="2154"/>
      <c r="D57" s="2154"/>
      <c r="E57" s="2154"/>
      <c r="F57" s="2154"/>
      <c r="G57" s="2154"/>
      <c r="H57" s="2154"/>
      <c r="I57" s="2154"/>
      <c r="J57" s="2154"/>
      <c r="K57" s="2154"/>
      <c r="L57" s="2155"/>
      <c r="M57" s="222"/>
    </row>
    <row r="58" spans="1:13" x14ac:dyDescent="0.2">
      <c r="B58" s="2156"/>
      <c r="C58" s="2157"/>
      <c r="D58" s="2157"/>
      <c r="E58" s="2157"/>
      <c r="F58" s="2157"/>
      <c r="G58" s="2157"/>
      <c r="H58" s="2157"/>
      <c r="I58" s="2157"/>
      <c r="J58" s="2157"/>
      <c r="K58" s="2157"/>
      <c r="L58" s="215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1"/>
      <c r="D61" s="216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29" sqref="H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4"/>
      <c r="B1" s="2165"/>
      <c r="C1" s="2165"/>
      <c r="D1" s="384"/>
      <c r="E1" s="384"/>
      <c r="F1" s="384"/>
      <c r="G1" s="384"/>
      <c r="H1" s="384"/>
      <c r="I1" s="384"/>
      <c r="J1" s="384"/>
      <c r="K1" s="384"/>
      <c r="L1" s="384"/>
      <c r="M1" s="384"/>
      <c r="N1" s="384"/>
      <c r="O1" s="2164"/>
      <c r="P1" s="2165"/>
      <c r="Q1" s="2165"/>
    </row>
    <row r="2" spans="1:18" ht="15" x14ac:dyDescent="0.2">
      <c r="A2" s="2168" t="s">
        <v>577</v>
      </c>
      <c r="B2" s="2168"/>
      <c r="C2" s="2168"/>
      <c r="D2" s="2168"/>
      <c r="E2" s="2168"/>
      <c r="F2" s="2168"/>
      <c r="G2" s="2168"/>
      <c r="H2" s="2168"/>
      <c r="I2" s="2168"/>
      <c r="J2" s="2168"/>
      <c r="K2" s="2168"/>
      <c r="L2" s="2168"/>
      <c r="M2" s="2168"/>
      <c r="N2" s="2168"/>
      <c r="O2" s="2168"/>
      <c r="P2" s="2168"/>
      <c r="Q2" s="2168"/>
      <c r="R2" s="2168"/>
    </row>
    <row r="3" spans="1:18" ht="12.75" x14ac:dyDescent="0.2">
      <c r="A3" s="2169" t="s">
        <v>1480</v>
      </c>
      <c r="B3" s="2169"/>
      <c r="C3" s="2169"/>
      <c r="D3" s="2169"/>
      <c r="E3" s="2169"/>
      <c r="F3" s="2169"/>
      <c r="G3" s="2169"/>
      <c r="H3" s="2169"/>
      <c r="I3" s="2169"/>
      <c r="J3" s="2169"/>
      <c r="K3" s="2169"/>
      <c r="L3" s="2169"/>
      <c r="M3" s="2169"/>
      <c r="N3" s="2169"/>
      <c r="O3" s="2169"/>
      <c r="P3" s="2169"/>
      <c r="Q3" s="2169"/>
      <c r="R3" s="2169"/>
    </row>
    <row r="4" spans="1:18" x14ac:dyDescent="0.2">
      <c r="A4" s="2170" t="s">
        <v>1634</v>
      </c>
      <c r="B4" s="2170"/>
      <c r="C4" s="2170"/>
      <c r="D4" s="2170"/>
      <c r="E4" s="2170"/>
      <c r="F4" s="2170"/>
      <c r="G4" s="2170"/>
      <c r="H4" s="2170"/>
      <c r="I4" s="2170"/>
      <c r="J4" s="2170"/>
      <c r="K4" s="2170"/>
      <c r="L4" s="2170"/>
      <c r="M4" s="2170"/>
      <c r="N4" s="2170"/>
      <c r="O4" s="2170"/>
      <c r="P4" s="2170"/>
      <c r="Q4" s="2170"/>
      <c r="R4" s="217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Williamson Co SpEd District</v>
      </c>
      <c r="E7" s="391"/>
      <c r="G7" s="252"/>
      <c r="H7" s="387"/>
      <c r="I7" s="387"/>
      <c r="J7" s="387"/>
      <c r="K7" s="387"/>
      <c r="L7" s="329"/>
      <c r="M7" s="329"/>
      <c r="N7" s="329"/>
      <c r="O7" s="329"/>
      <c r="P7" s="329"/>
    </row>
    <row r="8" spans="1:18" ht="12.75" x14ac:dyDescent="0.2">
      <c r="A8" s="329"/>
      <c r="B8" s="329"/>
      <c r="C8" s="389" t="s">
        <v>1187</v>
      </c>
      <c r="D8" s="392">
        <f>COVER!A13</f>
        <v>21100801060</v>
      </c>
      <c r="E8" s="393"/>
      <c r="G8" s="329"/>
      <c r="H8" s="329"/>
      <c r="I8" s="329"/>
      <c r="J8" s="329"/>
      <c r="K8" s="329"/>
      <c r="L8" s="329"/>
      <c r="M8" s="329"/>
      <c r="N8" s="329"/>
      <c r="O8" s="329"/>
      <c r="P8" s="329"/>
    </row>
    <row r="9" spans="1:18" ht="12.75" x14ac:dyDescent="0.2">
      <c r="A9" s="329"/>
      <c r="B9" s="329"/>
      <c r="C9" s="389" t="s">
        <v>737</v>
      </c>
      <c r="D9" s="394" t="str">
        <f>COVER!A15</f>
        <v>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1571873</v>
      </c>
      <c r="I12" s="404"/>
      <c r="J12" s="404"/>
      <c r="K12" s="405">
        <f>TRUNC((H12/H13*100000),5)/100000</f>
        <v>8.2227780700000003E-2</v>
      </c>
      <c r="L12" s="406"/>
      <c r="M12" s="360" t="s">
        <v>1206</v>
      </c>
      <c r="N12" s="360"/>
      <c r="O12" s="407">
        <v>0.35</v>
      </c>
      <c r="P12" s="218"/>
      <c r="Q12" s="218"/>
    </row>
    <row r="13" spans="1:18" s="408" customFormat="1" ht="12.75" x14ac:dyDescent="0.2">
      <c r="A13" s="218"/>
      <c r="B13" s="401"/>
      <c r="C13" s="2166" t="s">
        <v>1391</v>
      </c>
      <c r="D13" s="2167"/>
      <c r="E13" s="218"/>
      <c r="F13" s="409" t="s">
        <v>826</v>
      </c>
      <c r="G13" s="402"/>
      <c r="H13" s="403">
        <f>SUM('Acct Summary 7-8'!C8+'Acct Summary 7-8'!D8+'Acct Summary 7-8'!F8+'Acct Summary 7-8'!I8)+H14</f>
        <v>19116082</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19066433</v>
      </c>
      <c r="I17" s="404"/>
      <c r="J17" s="416"/>
      <c r="K17" s="405">
        <f>TRUNC((H17/H18*100000),5)/100000</f>
        <v>0.99740276270000006</v>
      </c>
      <c r="L17" s="406"/>
      <c r="M17" s="417" t="s">
        <v>1233</v>
      </c>
      <c r="O17" s="418" t="str">
        <f>IF(AND(O16="2", J20 &gt; 2),"1",IF(AND(O16 = "1", J20 &gt; 2),"2",IF(AND(O16="1", J20 &gt;1),"1","0")))</f>
        <v>0</v>
      </c>
      <c r="P17" s="218"/>
    </row>
    <row r="18" spans="1:18" s="408" customFormat="1" ht="11.25" x14ac:dyDescent="0.2">
      <c r="A18" s="218"/>
      <c r="B18" s="401"/>
      <c r="C18" s="2166" t="s">
        <v>1384</v>
      </c>
      <c r="D18" s="2167"/>
      <c r="E18" s="218"/>
      <c r="F18" s="419" t="s">
        <v>827</v>
      </c>
      <c r="G18" s="402"/>
      <c r="H18" s="403">
        <f>SUM('Acct Summary 7-8'!C8+'Acct Summary 7-8'!D8+'Acct Summary 7-8'!F8+'Acct Summary 7-8'!I8)+H19</f>
        <v>19116082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63" t="s">
        <v>1479</v>
      </c>
      <c r="D24" s="2163"/>
      <c r="E24" s="218"/>
      <c r="F24" s="218" t="s">
        <v>465</v>
      </c>
      <c r="G24" s="402"/>
      <c r="H24" s="403">
        <f>SUM('Assets-Liab 5-6'!C4+'Assets-Liab 5-6'!D4+'Assets-Liab 5-6'!F4+'Assets-Liab 5-6'!I4+'Assets-Liab 5-6'!C5+'Assets-Liab 5-6'!D5+'Assets-Liab 5-6'!F5+'Assets-Liab 5-6'!I5)</f>
        <v>1466623</v>
      </c>
      <c r="I24" s="422"/>
      <c r="J24" s="422"/>
      <c r="K24" s="423">
        <f>TRUNC(((H24/H25*100000)/100000),2)</f>
        <v>27.69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52962.313889999998</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A41" sqref="A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71" t="s">
        <v>1573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7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73" t="s">
        <v>1030</v>
      </c>
      <c r="B3" s="2174"/>
      <c r="C3" s="1581"/>
      <c r="D3" s="1582"/>
      <c r="E3" s="1582"/>
      <c r="F3" s="1582"/>
      <c r="G3" s="1582"/>
      <c r="H3" s="1582"/>
      <c r="I3" s="1582"/>
      <c r="J3" s="1582"/>
      <c r="K3" s="1582"/>
      <c r="L3" s="1582"/>
      <c r="M3" s="1583"/>
      <c r="N3" s="1584"/>
    </row>
    <row r="4" spans="1:14" ht="13.5" customHeight="1" x14ac:dyDescent="0.2">
      <c r="A4" s="463" t="s">
        <v>1749</v>
      </c>
      <c r="B4" s="464"/>
      <c r="C4" s="465">
        <v>1462134</v>
      </c>
      <c r="D4" s="466">
        <v>3192</v>
      </c>
      <c r="E4" s="466"/>
      <c r="F4" s="466">
        <v>1297</v>
      </c>
      <c r="G4" s="466"/>
      <c r="H4" s="466"/>
      <c r="I4" s="466"/>
      <c r="J4" s="467"/>
      <c r="K4" s="466"/>
      <c r="L4" s="466">
        <v>15148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470578</v>
      </c>
      <c r="D8" s="467"/>
      <c r="E8" s="467"/>
      <c r="F8" s="467">
        <v>249030</v>
      </c>
      <c r="G8" s="478"/>
      <c r="H8" s="467"/>
      <c r="I8" s="474"/>
      <c r="J8" s="474"/>
      <c r="K8" s="479"/>
      <c r="L8" s="480"/>
      <c r="M8" s="468"/>
      <c r="N8" s="469"/>
    </row>
    <row r="9" spans="1:14" ht="13.5" customHeight="1" x14ac:dyDescent="0.2">
      <c r="A9" s="473" t="s">
        <v>288</v>
      </c>
      <c r="B9" s="470">
        <v>160</v>
      </c>
      <c r="C9" s="476">
        <v>51520</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1984232</v>
      </c>
      <c r="D13" s="1759">
        <f t="shared" ref="D13:L13" si="0">SUM(D4:D12)</f>
        <v>3192</v>
      </c>
      <c r="E13" s="1759">
        <f t="shared" si="0"/>
        <v>0</v>
      </c>
      <c r="F13" s="1759">
        <f t="shared" si="0"/>
        <v>250327</v>
      </c>
      <c r="G13" s="1759">
        <f t="shared" si="0"/>
        <v>0</v>
      </c>
      <c r="H13" s="1759">
        <f t="shared" si="0"/>
        <v>0</v>
      </c>
      <c r="I13" s="1759">
        <f t="shared" si="0"/>
        <v>0</v>
      </c>
      <c r="J13" s="1759">
        <f t="shared" si="0"/>
        <v>0</v>
      </c>
      <c r="K13" s="1759">
        <f t="shared" si="0"/>
        <v>0</v>
      </c>
      <c r="L13" s="1759">
        <f t="shared" si="0"/>
        <v>15148</v>
      </c>
      <c r="M13" s="468"/>
      <c r="N13" s="469"/>
    </row>
    <row r="14" spans="1:14" ht="18" customHeight="1" thickTop="1" x14ac:dyDescent="0.2">
      <c r="A14" s="2175" t="s">
        <v>149</v>
      </c>
      <c r="B14" s="217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50000</v>
      </c>
      <c r="N16" s="484"/>
    </row>
    <row r="17" spans="1:14" s="485" customFormat="1" ht="12.75" customHeight="1" x14ac:dyDescent="0.2">
      <c r="A17" s="482" t="s">
        <v>1470</v>
      </c>
      <c r="B17" s="483">
        <v>230</v>
      </c>
      <c r="C17" s="477"/>
      <c r="D17" s="477"/>
      <c r="E17" s="477"/>
      <c r="F17" s="477"/>
      <c r="G17" s="477"/>
      <c r="H17" s="477"/>
      <c r="I17" s="477"/>
      <c r="J17" s="477"/>
      <c r="K17" s="477"/>
      <c r="L17" s="477"/>
      <c r="M17" s="467">
        <v>1049869</v>
      </c>
      <c r="N17" s="484"/>
    </row>
    <row r="18" spans="1:14" s="485" customFormat="1" ht="12.75" customHeight="1" x14ac:dyDescent="0.2">
      <c r="A18" s="482" t="s">
        <v>1471</v>
      </c>
      <c r="B18" s="483">
        <v>240</v>
      </c>
      <c r="C18" s="477"/>
      <c r="D18" s="477"/>
      <c r="E18" s="477"/>
      <c r="F18" s="477"/>
      <c r="G18" s="477"/>
      <c r="H18" s="477"/>
      <c r="I18" s="477"/>
      <c r="J18" s="477"/>
      <c r="K18" s="477"/>
      <c r="L18" s="477"/>
      <c r="M18" s="467">
        <v>94594</v>
      </c>
      <c r="N18" s="484"/>
    </row>
    <row r="19" spans="1:14" s="485" customFormat="1" ht="12.75" customHeight="1" x14ac:dyDescent="0.2">
      <c r="A19" s="482" t="s">
        <v>1472</v>
      </c>
      <c r="B19" s="483">
        <v>250</v>
      </c>
      <c r="C19" s="477"/>
      <c r="D19" s="477"/>
      <c r="E19" s="477"/>
      <c r="F19" s="477"/>
      <c r="G19" s="477"/>
      <c r="H19" s="477"/>
      <c r="I19" s="477"/>
      <c r="J19" s="477"/>
      <c r="K19" s="477"/>
      <c r="L19" s="477"/>
      <c r="M19" s="467">
        <v>97905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1292368</v>
      </c>
      <c r="N23" s="1710">
        <f>SUM(N21:N22)</f>
        <v>0</v>
      </c>
    </row>
    <row r="24" spans="1:14" ht="18" customHeight="1" thickTop="1" x14ac:dyDescent="0.2">
      <c r="A24" s="2177" t="s">
        <v>619</v>
      </c>
      <c r="B24" s="217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35336</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v>503500</v>
      </c>
      <c r="G29" s="474"/>
      <c r="H29" s="474"/>
      <c r="I29" s="474"/>
      <c r="J29" s="474"/>
      <c r="K29" s="467"/>
      <c r="L29" s="468"/>
      <c r="M29" s="468"/>
      <c r="N29" s="468"/>
    </row>
    <row r="30" spans="1:14" ht="13.5" customHeight="1" x14ac:dyDescent="0.2">
      <c r="A30" s="473" t="s">
        <v>671</v>
      </c>
      <c r="B30" s="470">
        <v>470</v>
      </c>
      <c r="C30" s="467">
        <v>136884</v>
      </c>
      <c r="D30" s="474"/>
      <c r="E30" s="467"/>
      <c r="F30" s="467"/>
      <c r="G30" s="467"/>
      <c r="H30" s="467"/>
      <c r="I30" s="467"/>
      <c r="J30" s="467"/>
      <c r="K30" s="478"/>
      <c r="L30" s="468"/>
      <c r="M30" s="468"/>
      <c r="N30" s="468"/>
    </row>
    <row r="31" spans="1:14" ht="13.5" customHeight="1" x14ac:dyDescent="0.2">
      <c r="A31" s="473" t="s">
        <v>672</v>
      </c>
      <c r="B31" s="470">
        <v>480</v>
      </c>
      <c r="C31" s="466">
        <v>-9842</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15148</v>
      </c>
      <c r="M33" s="468"/>
      <c r="N33" s="469"/>
    </row>
    <row r="34" spans="1:14" ht="13.5" customHeight="1" thickBot="1" x14ac:dyDescent="0.25">
      <c r="A34" s="1760" t="s">
        <v>675</v>
      </c>
      <c r="B34" s="1761"/>
      <c r="C34" s="1762">
        <f>SUM(C25:C33)</f>
        <v>162378</v>
      </c>
      <c r="D34" s="1762">
        <f t="shared" ref="D34:K34" si="1">SUM(D25:D33)</f>
        <v>0</v>
      </c>
      <c r="E34" s="1762">
        <f t="shared" si="1"/>
        <v>0</v>
      </c>
      <c r="F34" s="1762">
        <f t="shared" si="1"/>
        <v>503500</v>
      </c>
      <c r="G34" s="1762">
        <f t="shared" si="1"/>
        <v>0</v>
      </c>
      <c r="H34" s="1762">
        <f t="shared" si="1"/>
        <v>0</v>
      </c>
      <c r="I34" s="1762">
        <f t="shared" si="1"/>
        <v>0</v>
      </c>
      <c r="J34" s="1762">
        <f t="shared" si="1"/>
        <v>0</v>
      </c>
      <c r="K34" s="1762">
        <f t="shared" si="1"/>
        <v>0</v>
      </c>
      <c r="L34" s="1743">
        <f>SUM(L33)</f>
        <v>15148</v>
      </c>
      <c r="M34" s="468"/>
      <c r="N34" s="480"/>
    </row>
    <row r="35" spans="1:14" ht="18" customHeight="1" thickTop="1" x14ac:dyDescent="0.2">
      <c r="A35" s="2179" t="s">
        <v>550</v>
      </c>
      <c r="B35" s="218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1821854</v>
      </c>
      <c r="D39" s="466">
        <v>3192</v>
      </c>
      <c r="E39" s="466"/>
      <c r="F39" s="466">
        <v>-253173</v>
      </c>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1292368</v>
      </c>
      <c r="N40" s="497"/>
    </row>
    <row r="41" spans="1:14" ht="13.5" customHeight="1" thickBot="1" x14ac:dyDescent="0.25">
      <c r="A41" s="1758" t="s">
        <v>676</v>
      </c>
      <c r="B41" s="1728"/>
      <c r="C41" s="1710">
        <f>(SUM(C34,C37,C38,C39))</f>
        <v>1984232</v>
      </c>
      <c r="D41" s="1710">
        <f t="shared" ref="D41:L41" si="2">SUM(D34,D37,D38:D39)</f>
        <v>3192</v>
      </c>
      <c r="E41" s="1710">
        <f t="shared" si="2"/>
        <v>0</v>
      </c>
      <c r="F41" s="1710">
        <f t="shared" si="2"/>
        <v>250327</v>
      </c>
      <c r="G41" s="1710">
        <f t="shared" si="2"/>
        <v>0</v>
      </c>
      <c r="H41" s="1710">
        <f t="shared" si="2"/>
        <v>0</v>
      </c>
      <c r="I41" s="1710">
        <f t="shared" si="2"/>
        <v>0</v>
      </c>
      <c r="J41" s="1710">
        <f t="shared" si="2"/>
        <v>0</v>
      </c>
      <c r="K41" s="1710">
        <f t="shared" si="2"/>
        <v>0</v>
      </c>
      <c r="L41" s="1710">
        <f t="shared" si="2"/>
        <v>15148</v>
      </c>
      <c r="M41" s="1710">
        <f>SUM(M40)</f>
        <v>1292368</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3" activePane="bottomLeft" state="frozenSplit"/>
      <selection activeCell="A47" sqref="A47"/>
      <selection pane="bottomLeft" activeCell="C18" sqref="C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89"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9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01" t="s">
        <v>1237</v>
      </c>
      <c r="B3" s="2202"/>
      <c r="C3" s="1595"/>
      <c r="D3" s="1596"/>
      <c r="E3" s="1596"/>
      <c r="F3" s="1596"/>
      <c r="G3" s="1596"/>
      <c r="H3" s="1596"/>
      <c r="I3" s="1596"/>
      <c r="J3" s="1596"/>
      <c r="K3" s="1597"/>
      <c r="L3" s="506"/>
    </row>
    <row r="4" spans="1:13" ht="15.75" customHeight="1" x14ac:dyDescent="0.2">
      <c r="A4" s="1954" t="s">
        <v>1578</v>
      </c>
      <c r="B4" s="1955">
        <v>1000</v>
      </c>
      <c r="C4" s="1764">
        <f>'Revenues 9-14'!C109</f>
        <v>8549437</v>
      </c>
      <c r="D4" s="1764">
        <f>'Revenues 9-14'!D109</f>
        <v>5000</v>
      </c>
      <c r="E4" s="1764">
        <f>'Revenues 9-14'!E109</f>
        <v>0</v>
      </c>
      <c r="F4" s="1764">
        <f>'Revenues 9-14'!F109</f>
        <v>461878</v>
      </c>
      <c r="G4" s="1764">
        <f>'Revenues 9-14'!G109</f>
        <v>0</v>
      </c>
      <c r="H4" s="1764">
        <f>'Revenues 9-14'!H109</f>
        <v>0</v>
      </c>
      <c r="I4" s="1764">
        <f>'Revenues 9-14'!I109</f>
        <v>0</v>
      </c>
      <c r="J4" s="1764">
        <f>'Revenues 9-14'!J109</f>
        <v>0</v>
      </c>
      <c r="K4" s="1764">
        <f>'Revenues 9-14'!K109</f>
        <v>0</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1580</v>
      </c>
      <c r="B6" s="1600">
        <v>3000</v>
      </c>
      <c r="C6" s="1765">
        <f>'Revenues 9-14'!C173</f>
        <v>5342580</v>
      </c>
      <c r="D6" s="1765">
        <f>'Revenues 9-14'!D173</f>
        <v>0</v>
      </c>
      <c r="E6" s="1765">
        <f>'Revenues 9-14'!E173</f>
        <v>0</v>
      </c>
      <c r="F6" s="1765">
        <f>'Revenues 9-14'!F173</f>
        <v>995106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3743772</v>
      </c>
      <c r="D7" s="1765">
        <f>'Revenues 9-14'!D274</f>
        <v>0</v>
      </c>
      <c r="E7" s="1765">
        <f>'Revenues 9-14'!E274</f>
        <v>0</v>
      </c>
      <c r="F7" s="1765">
        <f>'Revenues 9-14'!F274</f>
        <v>18309</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17635789</v>
      </c>
      <c r="D8" s="1710">
        <f t="shared" ref="D8:K8" si="0">SUM(D4:D7)</f>
        <v>5000</v>
      </c>
      <c r="E8" s="1710">
        <f t="shared" si="0"/>
        <v>0</v>
      </c>
      <c r="F8" s="1710">
        <f t="shared" si="0"/>
        <v>1475293</v>
      </c>
      <c r="G8" s="1710">
        <f t="shared" si="0"/>
        <v>0</v>
      </c>
      <c r="H8" s="1710">
        <f t="shared" si="0"/>
        <v>0</v>
      </c>
      <c r="I8" s="1710">
        <f t="shared" si="0"/>
        <v>0</v>
      </c>
      <c r="J8" s="1710">
        <f t="shared" si="0"/>
        <v>0</v>
      </c>
      <c r="K8" s="1710">
        <f t="shared" si="0"/>
        <v>0</v>
      </c>
      <c r="L8" s="347"/>
    </row>
    <row r="9" spans="1:13" ht="15.75" thickTop="1" x14ac:dyDescent="0.2">
      <c r="A9" s="514" t="s">
        <v>1751</v>
      </c>
      <c r="B9" s="515">
        <v>3998</v>
      </c>
      <c r="C9" s="481">
        <v>7456255.71</v>
      </c>
      <c r="D9" s="516"/>
      <c r="E9" s="481"/>
      <c r="F9" s="481"/>
      <c r="G9" s="517"/>
      <c r="H9" s="481"/>
      <c r="I9" s="509" t="s">
        <v>1231</v>
      </c>
      <c r="J9" s="478"/>
      <c r="K9" s="481"/>
      <c r="L9" s="347"/>
    </row>
    <row r="10" spans="1:13" s="519" customFormat="1" ht="13.5" thickBot="1" x14ac:dyDescent="0.25">
      <c r="A10" s="1758" t="s">
        <v>1235</v>
      </c>
      <c r="B10" s="1731"/>
      <c r="C10" s="1710">
        <f>SUM(C8:C9)</f>
        <v>25092044.710000001</v>
      </c>
      <c r="D10" s="1710">
        <f t="shared" ref="D10:K10" si="1">SUM(D8:D9)</f>
        <v>5000</v>
      </c>
      <c r="E10" s="1710">
        <f t="shared" si="1"/>
        <v>0</v>
      </c>
      <c r="F10" s="1710">
        <f t="shared" si="1"/>
        <v>1475293</v>
      </c>
      <c r="G10" s="1710">
        <f t="shared" si="1"/>
        <v>0</v>
      </c>
      <c r="H10" s="1710">
        <f t="shared" si="1"/>
        <v>0</v>
      </c>
      <c r="I10" s="1710">
        <f t="shared" si="1"/>
        <v>0</v>
      </c>
      <c r="J10" s="1710">
        <f t="shared" si="1"/>
        <v>0</v>
      </c>
      <c r="K10" s="1710">
        <f t="shared" si="1"/>
        <v>0</v>
      </c>
      <c r="L10" s="518"/>
    </row>
    <row r="11" spans="1:13" s="519" customFormat="1" ht="16.7" customHeight="1" thickTop="1" x14ac:dyDescent="0.2">
      <c r="A11" s="2175" t="s">
        <v>1238</v>
      </c>
      <c r="B11" s="2176"/>
      <c r="C11" s="1592"/>
      <c r="D11" s="1593"/>
      <c r="E11" s="1593"/>
      <c r="F11" s="1593"/>
      <c r="G11" s="1593"/>
      <c r="H11" s="1593"/>
      <c r="I11" s="1593"/>
      <c r="J11" s="1593"/>
      <c r="K11" s="1594"/>
      <c r="L11" s="518"/>
    </row>
    <row r="12" spans="1:13" ht="15.75" customHeight="1" x14ac:dyDescent="0.2">
      <c r="A12" s="1598" t="s">
        <v>476</v>
      </c>
      <c r="B12" s="1600">
        <v>1000</v>
      </c>
      <c r="C12" s="1764">
        <f>'Expenditures 15-22'!K33</f>
        <v>12743368</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4327712</v>
      </c>
      <c r="D13" s="1765">
        <f>'Expenditures 15-22'!K129</f>
        <v>2788</v>
      </c>
      <c r="E13" s="469" t="s">
        <v>1231</v>
      </c>
      <c r="F13" s="1765">
        <f>'Expenditures 15-22'!K184</f>
        <v>1600816</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135197</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239667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16885</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17462829</v>
      </c>
      <c r="D17" s="1710">
        <f t="shared" si="2"/>
        <v>2788</v>
      </c>
      <c r="E17" s="1710">
        <f t="shared" si="2"/>
        <v>0</v>
      </c>
      <c r="F17" s="1710">
        <f t="shared" si="2"/>
        <v>1600816</v>
      </c>
      <c r="G17" s="1710">
        <f t="shared" si="2"/>
        <v>0</v>
      </c>
      <c r="H17" s="1710">
        <f t="shared" si="2"/>
        <v>0</v>
      </c>
      <c r="I17" s="468"/>
      <c r="J17" s="1710">
        <f>SUM(J12:J16)</f>
        <v>0</v>
      </c>
      <c r="K17" s="1710">
        <f>SUM(K12:K16)</f>
        <v>0</v>
      </c>
      <c r="L17" s="347"/>
    </row>
    <row r="18" spans="1:12" ht="15" customHeight="1" thickTop="1" x14ac:dyDescent="0.2">
      <c r="A18" s="1766" t="s">
        <v>1752</v>
      </c>
      <c r="B18" s="1767">
        <v>4180</v>
      </c>
      <c r="C18" s="1764">
        <f t="shared" ref="C18:H18" si="3">C9</f>
        <v>7456255.71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24919084.710000001</v>
      </c>
      <c r="D19" s="1710">
        <f t="shared" si="4"/>
        <v>2788</v>
      </c>
      <c r="E19" s="1710">
        <f t="shared" si="4"/>
        <v>0</v>
      </c>
      <c r="F19" s="1710">
        <f t="shared" si="4"/>
        <v>1600816</v>
      </c>
      <c r="G19" s="1710">
        <f t="shared" si="4"/>
        <v>0</v>
      </c>
      <c r="H19" s="1710">
        <f t="shared" si="4"/>
        <v>0</v>
      </c>
      <c r="I19" s="468"/>
      <c r="J19" s="1710">
        <f>SUM(J17:J18)</f>
        <v>0</v>
      </c>
      <c r="K19" s="1710">
        <f>SUM(K17:K18)</f>
        <v>0</v>
      </c>
      <c r="L19" s="347"/>
    </row>
    <row r="20" spans="1:12" ht="16.5" thickTop="1" thickBot="1" x14ac:dyDescent="0.25">
      <c r="A20" s="2191" t="s">
        <v>1753</v>
      </c>
      <c r="B20" s="2192"/>
      <c r="C20" s="1768">
        <f>C8-C17</f>
        <v>172960</v>
      </c>
      <c r="D20" s="1768">
        <f t="shared" ref="D20:K20" si="5">D8-D17</f>
        <v>2212</v>
      </c>
      <c r="E20" s="1768">
        <f t="shared" si="5"/>
        <v>0</v>
      </c>
      <c r="F20" s="1768">
        <f t="shared" si="5"/>
        <v>-125523</v>
      </c>
      <c r="G20" s="1768">
        <f t="shared" si="5"/>
        <v>0</v>
      </c>
      <c r="H20" s="1768">
        <f t="shared" si="5"/>
        <v>0</v>
      </c>
      <c r="I20" s="1768">
        <f t="shared" si="5"/>
        <v>0</v>
      </c>
      <c r="J20" s="1768">
        <f t="shared" si="5"/>
        <v>0</v>
      </c>
      <c r="K20" s="1768">
        <f t="shared" si="5"/>
        <v>0</v>
      </c>
      <c r="L20" s="347"/>
    </row>
    <row r="21" spans="1:12" ht="16.7" customHeight="1" thickTop="1" x14ac:dyDescent="0.2">
      <c r="A21" s="2203" t="s">
        <v>616</v>
      </c>
      <c r="B21" s="2204"/>
      <c r="C21" s="1592"/>
      <c r="D21" s="1593"/>
      <c r="E21" s="1593"/>
      <c r="F21" s="1593"/>
      <c r="G21" s="1593"/>
      <c r="H21" s="1593"/>
      <c r="I21" s="1593"/>
      <c r="J21" s="1593"/>
      <c r="K21" s="1594"/>
      <c r="L21" s="524"/>
    </row>
    <row r="22" spans="1:12" ht="15.75" customHeight="1" collapsed="1" x14ac:dyDescent="0.2">
      <c r="A22" s="2199" t="s">
        <v>617</v>
      </c>
      <c r="B22" s="2200"/>
      <c r="C22" s="477"/>
      <c r="D22" s="477"/>
      <c r="E22" s="477"/>
      <c r="F22" s="477"/>
      <c r="G22" s="477"/>
      <c r="H22" s="477"/>
      <c r="I22" s="477"/>
      <c r="J22" s="477"/>
      <c r="K22" s="477"/>
      <c r="L22" s="347"/>
    </row>
    <row r="23" spans="1:12" s="485" customFormat="1" ht="15.75" customHeight="1" x14ac:dyDescent="0.2">
      <c r="A23" s="2195" t="s">
        <v>311</v>
      </c>
      <c r="B23" s="2196"/>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1892</v>
      </c>
      <c r="B30" s="527">
        <v>7160</v>
      </c>
      <c r="C30" s="477"/>
      <c r="D30" s="467"/>
      <c r="E30" s="477"/>
      <c r="F30" s="477"/>
      <c r="G30" s="477"/>
      <c r="H30" s="477"/>
      <c r="I30" s="477"/>
      <c r="J30" s="477"/>
      <c r="K30" s="477"/>
      <c r="L30" s="524"/>
    </row>
    <row r="31" spans="1:12" s="485" customFormat="1" ht="26.25" x14ac:dyDescent="0.2">
      <c r="A31" s="1511" t="s">
        <v>1896</v>
      </c>
      <c r="B31" s="527">
        <v>7170</v>
      </c>
      <c r="C31" s="477"/>
      <c r="D31" s="477"/>
      <c r="E31" s="474"/>
      <c r="F31" s="477"/>
      <c r="G31" s="477"/>
      <c r="H31" s="477"/>
      <c r="I31" s="477"/>
      <c r="J31" s="477"/>
      <c r="K31" s="477"/>
      <c r="L31" s="524"/>
    </row>
    <row r="32" spans="1:12" s="485" customFormat="1" ht="15.75" customHeight="1" x14ac:dyDescent="0.2">
      <c r="A32" s="2197" t="s">
        <v>1038</v>
      </c>
      <c r="B32" s="219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205" t="s">
        <v>392</v>
      </c>
      <c r="B44" s="2206"/>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99" t="s">
        <v>110</v>
      </c>
      <c r="B45" s="2200"/>
      <c r="C45" s="528"/>
      <c r="D45" s="528"/>
      <c r="E45" s="528"/>
      <c r="F45" s="528"/>
      <c r="G45" s="528"/>
      <c r="H45" s="528"/>
      <c r="I45" s="528"/>
      <c r="J45" s="528"/>
      <c r="K45" s="528"/>
      <c r="L45" s="347"/>
    </row>
    <row r="46" spans="1:12" s="485" customFormat="1" ht="15.75" customHeight="1" x14ac:dyDescent="0.2">
      <c r="A46" s="2207" t="s">
        <v>111</v>
      </c>
      <c r="B46" s="2208"/>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1895</v>
      </c>
      <c r="B52" s="483">
        <v>8160</v>
      </c>
      <c r="C52" s="477"/>
      <c r="D52" s="477"/>
      <c r="E52" s="477"/>
      <c r="F52" s="477"/>
      <c r="G52" s="477"/>
      <c r="H52" s="477"/>
      <c r="I52" s="477"/>
      <c r="J52" s="477"/>
      <c r="K52" s="1765">
        <f>D30</f>
        <v>0</v>
      </c>
      <c r="L52" s="524"/>
    </row>
    <row r="53" spans="1:12" s="485" customFormat="1" ht="26.25" x14ac:dyDescent="0.2">
      <c r="A53" s="1512" t="s">
        <v>1894</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81" t="s">
        <v>460</v>
      </c>
      <c r="B76" s="2182"/>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83" t="s">
        <v>1239</v>
      </c>
      <c r="B77" s="2184"/>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87" t="s">
        <v>618</v>
      </c>
      <c r="B78" s="2188"/>
      <c r="C78" s="1724">
        <f t="shared" ref="C78:K78" si="9">C20+C77</f>
        <v>172960</v>
      </c>
      <c r="D78" s="1724">
        <f t="shared" si="9"/>
        <v>2212</v>
      </c>
      <c r="E78" s="1724">
        <f t="shared" si="9"/>
        <v>0</v>
      </c>
      <c r="F78" s="1724">
        <f t="shared" si="9"/>
        <v>-125523</v>
      </c>
      <c r="G78" s="1724">
        <f t="shared" si="9"/>
        <v>0</v>
      </c>
      <c r="H78" s="1724">
        <f t="shared" si="9"/>
        <v>0</v>
      </c>
      <c r="I78" s="1724">
        <f t="shared" si="9"/>
        <v>0</v>
      </c>
      <c r="J78" s="1724">
        <f t="shared" si="9"/>
        <v>0</v>
      </c>
      <c r="K78" s="1724">
        <f t="shared" si="9"/>
        <v>0</v>
      </c>
      <c r="L78" s="533"/>
    </row>
    <row r="79" spans="1:12" ht="13.5" thickTop="1" x14ac:dyDescent="0.2">
      <c r="A79" s="1516" t="s">
        <v>2068</v>
      </c>
      <c r="B79" s="534"/>
      <c r="C79" s="478">
        <v>1648894</v>
      </c>
      <c r="D79" s="535">
        <v>980</v>
      </c>
      <c r="E79" s="535"/>
      <c r="F79" s="535">
        <v>-127650</v>
      </c>
      <c r="G79" s="535"/>
      <c r="H79" s="535"/>
      <c r="I79" s="535"/>
      <c r="J79" s="535"/>
      <c r="K79" s="535"/>
      <c r="L79" s="347"/>
    </row>
    <row r="80" spans="1:12" x14ac:dyDescent="0.2">
      <c r="A80" s="2193" t="s">
        <v>1893</v>
      </c>
      <c r="B80" s="2194"/>
      <c r="C80" s="467"/>
      <c r="D80" s="467"/>
      <c r="E80" s="467"/>
      <c r="F80" s="467"/>
      <c r="G80" s="467"/>
      <c r="H80" s="467"/>
      <c r="I80" s="467"/>
      <c r="J80" s="467"/>
      <c r="K80" s="467"/>
      <c r="L80" s="347"/>
    </row>
    <row r="81" spans="1:12" ht="13.5" thickBot="1" x14ac:dyDescent="0.25">
      <c r="A81" s="2185" t="s">
        <v>2069</v>
      </c>
      <c r="B81" s="2186"/>
      <c r="C81" s="1710">
        <f>(SUM(C78:C80))</f>
        <v>1821854</v>
      </c>
      <c r="D81" s="1710">
        <f>SUM(D78:D80)</f>
        <v>3192</v>
      </c>
      <c r="E81" s="1710">
        <f t="shared" ref="E81:K81" si="10">SUM(E78:E80)</f>
        <v>0</v>
      </c>
      <c r="F81" s="1710">
        <f t="shared" si="10"/>
        <v>-253173</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172960</v>
      </c>
      <c r="D82" s="538">
        <f t="shared" ref="D82:K82" si="11">(D81-D79)</f>
        <v>2212</v>
      </c>
      <c r="E82" s="538">
        <f t="shared" si="11"/>
        <v>0</v>
      </c>
      <c r="F82" s="538">
        <f t="shared" si="11"/>
        <v>-125523</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9.493625724124985E-2</v>
      </c>
      <c r="D83" s="540">
        <f t="shared" ref="D83:K83" si="12">D82/D81</f>
        <v>0.69298245614035092</v>
      </c>
      <c r="E83" s="540" t="e">
        <f t="shared" si="12"/>
        <v>#DIV/0!</v>
      </c>
      <c r="F83" s="540">
        <f t="shared" si="12"/>
        <v>0.49579931509284164</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0" zoomScaleNormal="9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89" t="s">
        <v>1900</v>
      </c>
      <c r="B1" s="452"/>
      <c r="C1" s="453" t="s">
        <v>445</v>
      </c>
      <c r="D1" s="453" t="s">
        <v>446</v>
      </c>
      <c r="E1" s="453" t="s">
        <v>447</v>
      </c>
      <c r="F1" s="453" t="s">
        <v>448</v>
      </c>
      <c r="G1" s="453" t="s">
        <v>449</v>
      </c>
      <c r="H1" s="453" t="s">
        <v>450</v>
      </c>
      <c r="I1" s="453" t="s">
        <v>451</v>
      </c>
      <c r="J1" s="453" t="s">
        <v>452</v>
      </c>
      <c r="K1" s="453" t="s">
        <v>780</v>
      </c>
    </row>
    <row r="2" spans="1:12" ht="36" x14ac:dyDescent="0.2">
      <c r="A2" s="219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c r="D5" s="481"/>
      <c r="E5" s="466"/>
      <c r="F5" s="548"/>
      <c r="G5" s="466"/>
      <c r="H5" s="466"/>
      <c r="I5" s="466"/>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167557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167557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2049</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2049</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13137</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14616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8168020</v>
      </c>
      <c r="D104" s="466">
        <v>5000</v>
      </c>
      <c r="E104" s="481"/>
      <c r="F104" s="467">
        <v>461878</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184058</v>
      </c>
      <c r="D107" s="466"/>
      <c r="E107" s="466"/>
      <c r="F107" s="466"/>
      <c r="G107" s="466"/>
      <c r="H107" s="466"/>
      <c r="I107" s="466"/>
      <c r="J107" s="467"/>
      <c r="K107" s="466"/>
    </row>
    <row r="108" spans="1:12" ht="12.75" customHeight="1" thickBot="1" x14ac:dyDescent="0.25">
      <c r="A108" s="1730" t="s">
        <v>508</v>
      </c>
      <c r="B108" s="1734"/>
      <c r="C108" s="1729">
        <f>SUM(C95:C107)</f>
        <v>8379831</v>
      </c>
      <c r="D108" s="1729">
        <f t="shared" ref="D108:K108" si="3">SUM(D95:D107)</f>
        <v>5000</v>
      </c>
      <c r="E108" s="1729">
        <f t="shared" si="3"/>
        <v>0</v>
      </c>
      <c r="F108" s="1729">
        <f t="shared" si="3"/>
        <v>461878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8549437</v>
      </c>
      <c r="D109" s="1737">
        <f t="shared" si="4"/>
        <v>5000</v>
      </c>
      <c r="E109" s="1737">
        <f t="shared" si="4"/>
        <v>0</v>
      </c>
      <c r="F109" s="1737">
        <f t="shared" si="4"/>
        <v>461878</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1688926</v>
      </c>
      <c r="D117" s="481"/>
      <c r="E117" s="466"/>
      <c r="F117" s="481"/>
      <c r="G117" s="481"/>
      <c r="H117" s="466"/>
      <c r="I117" s="468"/>
      <c r="J117" s="467"/>
      <c r="K117" s="466"/>
    </row>
    <row r="118" spans="1:11" ht="12.75" customHeight="1" x14ac:dyDescent="0.2">
      <c r="A118" s="463" t="s">
        <v>1897</v>
      </c>
      <c r="B118" s="562">
        <v>3002</v>
      </c>
      <c r="C118" s="551"/>
      <c r="D118" s="466"/>
      <c r="E118" s="466"/>
      <c r="F118" s="466"/>
      <c r="G118" s="466"/>
      <c r="H118" s="466"/>
      <c r="I118" s="468"/>
      <c r="J118" s="467"/>
      <c r="K118" s="466"/>
    </row>
    <row r="119" spans="1:11" ht="12.75" customHeight="1" x14ac:dyDescent="0.2">
      <c r="A119" s="463" t="s">
        <v>1898</v>
      </c>
      <c r="B119" s="562">
        <v>3005</v>
      </c>
      <c r="C119" s="551"/>
      <c r="D119" s="466"/>
      <c r="E119" s="466"/>
      <c r="F119" s="466"/>
      <c r="G119" s="466"/>
      <c r="H119" s="466"/>
      <c r="I119" s="468"/>
      <c r="J119" s="467"/>
      <c r="K119" s="466"/>
    </row>
    <row r="120" spans="1:11" x14ac:dyDescent="0.2">
      <c r="A120" s="1518" t="s">
        <v>1899</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1688926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19378</v>
      </c>
      <c r="D124" s="561"/>
      <c r="E124" s="468"/>
      <c r="F124" s="548"/>
      <c r="G124" s="468"/>
      <c r="H124" s="468"/>
      <c r="I124" s="468"/>
      <c r="J124" s="468"/>
      <c r="K124" s="468"/>
    </row>
    <row r="125" spans="1:11" ht="12.75" customHeight="1" x14ac:dyDescent="0.2">
      <c r="A125" s="463" t="s">
        <v>1520</v>
      </c>
      <c r="B125" s="562">
        <v>3105</v>
      </c>
      <c r="C125" s="466">
        <v>1407304</v>
      </c>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215613</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1642295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v>995106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995106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f>2011359</f>
        <v>2011359</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209" t="s">
        <v>418</v>
      </c>
      <c r="B172" s="2210"/>
      <c r="C172" s="1744">
        <f t="shared" ref="C172:K172" si="6">SUM(C131,C140,C144,C145:C149,C154,C155:C170,C171)</f>
        <v>3653654</v>
      </c>
      <c r="D172" s="1744">
        <f t="shared" si="6"/>
        <v>0</v>
      </c>
      <c r="E172" s="1744">
        <f t="shared" si="6"/>
        <v>0</v>
      </c>
      <c r="F172" s="1744">
        <f t="shared" si="6"/>
        <v>995106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5342580</v>
      </c>
      <c r="D173" s="1737">
        <f>SUM(D121,D172)</f>
        <v>0</v>
      </c>
      <c r="E173" s="1737">
        <f>SUM(E121,E172)</f>
        <v>0</v>
      </c>
      <c r="F173" s="1737">
        <f t="shared" ref="F173:K173" si="7">SUM(F121,F172)</f>
        <v>995106</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211" t="s">
        <v>1571</v>
      </c>
      <c r="B175" s="221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15" t="s">
        <v>1763</v>
      </c>
      <c r="B178" s="221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19" t="s">
        <v>1762</v>
      </c>
      <c r="B179" s="222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17" t="s">
        <v>818</v>
      </c>
      <c r="B184" s="221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213" t="s">
        <v>1901</v>
      </c>
      <c r="B185" s="2214"/>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90826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1528</v>
      </c>
      <c r="B220" s="557">
        <v>4620</v>
      </c>
      <c r="C220" s="551">
        <v>2540262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2631088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208699</v>
      </c>
      <c r="D270" s="576"/>
      <c r="E270" s="468"/>
      <c r="F270" s="576"/>
      <c r="G270" s="576"/>
      <c r="H270" s="468"/>
      <c r="I270" s="468"/>
      <c r="J270" s="468"/>
      <c r="K270" s="468"/>
    </row>
    <row r="271" spans="1:11" ht="12.75" customHeight="1" thickTop="1" thickBot="1" x14ac:dyDescent="0.25">
      <c r="A271" s="463" t="s">
        <v>395</v>
      </c>
      <c r="B271" s="470">
        <v>4992</v>
      </c>
      <c r="C271" s="575">
        <v>843127</v>
      </c>
      <c r="D271" s="576"/>
      <c r="E271" s="468"/>
      <c r="F271" s="576">
        <v>18309</v>
      </c>
      <c r="G271" s="576"/>
      <c r="H271" s="468"/>
      <c r="I271" s="468"/>
      <c r="J271" s="468"/>
      <c r="K271" s="468"/>
    </row>
    <row r="272" spans="1:11" s="594" customFormat="1" ht="12.75" customHeight="1" thickTop="1" thickBot="1" x14ac:dyDescent="0.25">
      <c r="A272" s="563" t="s">
        <v>77</v>
      </c>
      <c r="B272" s="557">
        <v>4999</v>
      </c>
      <c r="C272" s="575">
        <v>60858</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3743772</v>
      </c>
      <c r="D273" s="1737">
        <f t="shared" si="10"/>
        <v>0</v>
      </c>
      <c r="E273" s="1737">
        <f t="shared" si="10"/>
        <v>0</v>
      </c>
      <c r="F273" s="1737">
        <f t="shared" si="10"/>
        <v>18309</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3743772</v>
      </c>
      <c r="D274" s="1737">
        <f>SUM(D178,D184,D273)</f>
        <v>0</v>
      </c>
      <c r="E274" s="1737">
        <f>SUM(E178,E273)</f>
        <v>0</v>
      </c>
      <c r="F274" s="1737">
        <f t="shared" ref="F274:K274" si="11">SUM(F178,F184,F273)</f>
        <v>18309</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17635789</v>
      </c>
      <c r="D275" s="1737">
        <f t="shared" si="12"/>
        <v>5000</v>
      </c>
      <c r="E275" s="1737">
        <f t="shared" si="12"/>
        <v>0</v>
      </c>
      <c r="F275" s="1737">
        <f t="shared" si="12"/>
        <v>1475293</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67" activePane="bottomLeft" state="frozen"/>
      <selection activeCell="A47" sqref="A47"/>
      <selection pane="bottomLeft" activeCell="L76" sqref="L7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89" t="s">
        <v>1900</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2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27" t="s">
        <v>315</v>
      </c>
      <c r="B3" s="222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905251</v>
      </c>
      <c r="D7" s="467">
        <v>375023</v>
      </c>
      <c r="E7" s="467">
        <v>67455</v>
      </c>
      <c r="F7" s="467">
        <v>10962</v>
      </c>
      <c r="G7" s="467"/>
      <c r="H7" s="467">
        <v>337892</v>
      </c>
      <c r="I7" s="467"/>
      <c r="J7" s="467"/>
      <c r="K7" s="1693">
        <f t="shared" ref="K7:K32" si="0">SUM(C7:J7)</f>
        <v>1696583</v>
      </c>
      <c r="L7" s="466">
        <v>1493147</v>
      </c>
    </row>
    <row r="8" spans="1:14" x14ac:dyDescent="0.2">
      <c r="A8" s="1526" t="s">
        <v>166</v>
      </c>
      <c r="B8" s="615">
        <v>1200</v>
      </c>
      <c r="C8" s="466">
        <v>8090581</v>
      </c>
      <c r="D8" s="466">
        <v>2820364</v>
      </c>
      <c r="E8" s="466">
        <v>14234</v>
      </c>
      <c r="F8" s="466">
        <v>54380</v>
      </c>
      <c r="G8" s="466"/>
      <c r="H8" s="466">
        <v>66806</v>
      </c>
      <c r="I8" s="467"/>
      <c r="J8" s="467"/>
      <c r="K8" s="1693">
        <f t="shared" si="0"/>
        <v>11046365</v>
      </c>
      <c r="L8" s="466">
        <v>11489360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v>420</v>
      </c>
      <c r="G15" s="466"/>
      <c r="H15" s="466"/>
      <c r="I15" s="467"/>
      <c r="J15" s="467"/>
      <c r="K15" s="1693">
        <f t="shared" si="0"/>
        <v>420</v>
      </c>
      <c r="L15" s="466">
        <v>1600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1766</v>
      </c>
      <c r="B33" s="1691" t="s">
        <v>591</v>
      </c>
      <c r="C33" s="1692">
        <f>SUM(C5:C32)</f>
        <v>8995832</v>
      </c>
      <c r="D33" s="1692">
        <f t="shared" ref="D33:L33" si="1">SUM(D5:D32)</f>
        <v>3195387</v>
      </c>
      <c r="E33" s="1692">
        <f t="shared" si="1"/>
        <v>81689</v>
      </c>
      <c r="F33" s="1692">
        <f t="shared" si="1"/>
        <v>65762</v>
      </c>
      <c r="G33" s="1692">
        <f t="shared" si="1"/>
        <v>0</v>
      </c>
      <c r="H33" s="1692">
        <f t="shared" si="1"/>
        <v>404698</v>
      </c>
      <c r="I33" s="1692">
        <f t="shared" si="1"/>
        <v>0</v>
      </c>
      <c r="J33" s="1692">
        <f t="shared" si="1"/>
        <v>0</v>
      </c>
      <c r="K33" s="1692">
        <f t="shared" si="1"/>
        <v>12743368</v>
      </c>
      <c r="L33" s="1692">
        <f t="shared" si="1"/>
        <v>12984107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330706</v>
      </c>
      <c r="D36" s="481">
        <v>130060</v>
      </c>
      <c r="E36" s="481">
        <v>3899</v>
      </c>
      <c r="F36" s="481"/>
      <c r="G36" s="481"/>
      <c r="H36" s="481"/>
      <c r="I36" s="467"/>
      <c r="J36" s="467"/>
      <c r="K36" s="1693">
        <f t="shared" ref="K36:K41" si="2">SUM(C36:J36)</f>
        <v>464665</v>
      </c>
      <c r="L36" s="466">
        <v>430299</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393492</v>
      </c>
      <c r="D38" s="466">
        <v>186312</v>
      </c>
      <c r="E38" s="466">
        <v>18130</v>
      </c>
      <c r="F38" s="466"/>
      <c r="G38" s="466">
        <v>2069</v>
      </c>
      <c r="H38" s="466"/>
      <c r="I38" s="467"/>
      <c r="J38" s="467"/>
      <c r="K38" s="1693">
        <f t="shared" si="2"/>
        <v>600003</v>
      </c>
      <c r="L38" s="466">
        <v>636109</v>
      </c>
    </row>
    <row r="39" spans="1:14" x14ac:dyDescent="0.2">
      <c r="A39" s="1526" t="s">
        <v>208</v>
      </c>
      <c r="B39" s="615">
        <v>2140</v>
      </c>
      <c r="C39" s="466">
        <v>344487</v>
      </c>
      <c r="D39" s="466">
        <v>137015</v>
      </c>
      <c r="E39" s="466">
        <v>3919</v>
      </c>
      <c r="F39" s="466">
        <v>3929</v>
      </c>
      <c r="G39" s="466"/>
      <c r="H39" s="466"/>
      <c r="I39" s="467"/>
      <c r="J39" s="467"/>
      <c r="K39" s="1693">
        <f t="shared" si="2"/>
        <v>489350</v>
      </c>
      <c r="L39" s="466">
        <v>497718</v>
      </c>
    </row>
    <row r="40" spans="1:14" x14ac:dyDescent="0.2">
      <c r="A40" s="1526" t="s">
        <v>209</v>
      </c>
      <c r="B40" s="615">
        <v>2150</v>
      </c>
      <c r="C40" s="466">
        <v>822327</v>
      </c>
      <c r="D40" s="466">
        <v>216804</v>
      </c>
      <c r="E40" s="466">
        <v>12599</v>
      </c>
      <c r="F40" s="466"/>
      <c r="G40" s="466">
        <v>3973</v>
      </c>
      <c r="H40" s="466"/>
      <c r="I40" s="467"/>
      <c r="J40" s="467"/>
      <c r="K40" s="1693">
        <f t="shared" si="2"/>
        <v>1055703</v>
      </c>
      <c r="L40" s="466">
        <v>1052157</v>
      </c>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1891012</v>
      </c>
      <c r="D42" s="1692">
        <f t="shared" ref="D42:L42" si="3">SUM(D36:D41)</f>
        <v>670191</v>
      </c>
      <c r="E42" s="1692">
        <f t="shared" si="3"/>
        <v>38547</v>
      </c>
      <c r="F42" s="1692">
        <f t="shared" si="3"/>
        <v>3929</v>
      </c>
      <c r="G42" s="1692">
        <f t="shared" si="3"/>
        <v>6042</v>
      </c>
      <c r="H42" s="1692">
        <f t="shared" si="3"/>
        <v>0</v>
      </c>
      <c r="I42" s="1692">
        <f t="shared" si="3"/>
        <v>0</v>
      </c>
      <c r="J42" s="1692">
        <f t="shared" si="3"/>
        <v>0</v>
      </c>
      <c r="K42" s="1692">
        <f t="shared" si="3"/>
        <v>2609721</v>
      </c>
      <c r="L42" s="1692">
        <f t="shared" si="3"/>
        <v>2616283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443788</v>
      </c>
      <c r="D44" s="481">
        <v>109096</v>
      </c>
      <c r="E44" s="481">
        <v>47819</v>
      </c>
      <c r="F44" s="481">
        <v>31816</v>
      </c>
      <c r="G44" s="481">
        <v>4582</v>
      </c>
      <c r="H44" s="481">
        <v>2315</v>
      </c>
      <c r="I44" s="467"/>
      <c r="J44" s="467"/>
      <c r="K44" s="1694">
        <f>SUM(C44:J44)</f>
        <v>639416</v>
      </c>
      <c r="L44" s="481">
        <v>631241</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443788</v>
      </c>
      <c r="D47" s="1692">
        <f t="shared" ref="D47:K47" si="4">SUM(D44:D46)</f>
        <v>109096</v>
      </c>
      <c r="E47" s="1692">
        <f t="shared" si="4"/>
        <v>47819</v>
      </c>
      <c r="F47" s="1692">
        <f t="shared" si="4"/>
        <v>31816</v>
      </c>
      <c r="G47" s="1692">
        <f t="shared" si="4"/>
        <v>4582</v>
      </c>
      <c r="H47" s="1692">
        <f t="shared" si="4"/>
        <v>2315</v>
      </c>
      <c r="I47" s="1692">
        <f t="shared" si="4"/>
        <v>0</v>
      </c>
      <c r="J47" s="1692">
        <f t="shared" si="4"/>
        <v>0</v>
      </c>
      <c r="K47" s="1692">
        <f t="shared" si="4"/>
        <v>639416</v>
      </c>
      <c r="L47" s="1692">
        <f>SUM(L44:L46)</f>
        <v>631241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v>326683</v>
      </c>
      <c r="D50" s="466">
        <v>184743</v>
      </c>
      <c r="E50" s="466">
        <v>92986</v>
      </c>
      <c r="F50" s="466"/>
      <c r="G50" s="466"/>
      <c r="H50" s="466">
        <v>6897</v>
      </c>
      <c r="I50" s="467"/>
      <c r="J50" s="467"/>
      <c r="K50" s="1694">
        <f>SUM(C50:J50)</f>
        <v>611309</v>
      </c>
      <c r="L50" s="466">
        <v>645362</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v>210702</v>
      </c>
      <c r="F52" s="474"/>
      <c r="G52" s="474"/>
      <c r="H52" s="474"/>
      <c r="I52" s="474"/>
      <c r="J52" s="474"/>
      <c r="K52" s="1694">
        <f>SUM(C52:J52)</f>
        <v>210702</v>
      </c>
      <c r="L52" s="474">
        <v>242926</v>
      </c>
    </row>
    <row r="53" spans="1:14" ht="12.75" customHeight="1" thickBot="1" x14ac:dyDescent="0.25">
      <c r="A53" s="1690" t="s">
        <v>741</v>
      </c>
      <c r="B53" s="1691" t="s">
        <v>33</v>
      </c>
      <c r="C53" s="1692">
        <f>SUM(C49:C52)</f>
        <v>326683</v>
      </c>
      <c r="D53" s="1692">
        <f t="shared" ref="D53:L53" si="5">SUM(D49:D52)</f>
        <v>184743</v>
      </c>
      <c r="E53" s="1692">
        <f t="shared" si="5"/>
        <v>303688</v>
      </c>
      <c r="F53" s="1692">
        <f t="shared" si="5"/>
        <v>0</v>
      </c>
      <c r="G53" s="1692">
        <f t="shared" si="5"/>
        <v>0</v>
      </c>
      <c r="H53" s="1692">
        <f t="shared" si="5"/>
        <v>6897</v>
      </c>
      <c r="I53" s="1692">
        <f t="shared" si="5"/>
        <v>0</v>
      </c>
      <c r="J53" s="1692">
        <f t="shared" si="5"/>
        <v>0</v>
      </c>
      <c r="K53" s="1692">
        <f t="shared" si="5"/>
        <v>822011</v>
      </c>
      <c r="L53" s="1692">
        <f t="shared" si="5"/>
        <v>888288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v>48279</v>
      </c>
      <c r="D56" s="466">
        <v>19603</v>
      </c>
      <c r="E56" s="466">
        <v>866</v>
      </c>
      <c r="F56" s="466"/>
      <c r="G56" s="466"/>
      <c r="H56" s="466"/>
      <c r="I56" s="467"/>
      <c r="J56" s="467"/>
      <c r="K56" s="1694">
        <f>SUM(C56:J56)</f>
        <v>68748</v>
      </c>
      <c r="L56" s="466">
        <v>69231</v>
      </c>
    </row>
    <row r="57" spans="1:14" s="343" customFormat="1" ht="12.75" customHeight="1" thickBot="1" x14ac:dyDescent="0.25">
      <c r="A57" s="1690" t="s">
        <v>281</v>
      </c>
      <c r="B57" s="1695" t="s">
        <v>34</v>
      </c>
      <c r="C57" s="1696">
        <f>SUM(C55:C56)</f>
        <v>48279</v>
      </c>
      <c r="D57" s="1696">
        <f t="shared" ref="D57:K57" si="6">SUM(D55:D56)</f>
        <v>19603</v>
      </c>
      <c r="E57" s="1696">
        <f t="shared" si="6"/>
        <v>866</v>
      </c>
      <c r="F57" s="1696">
        <f t="shared" si="6"/>
        <v>0</v>
      </c>
      <c r="G57" s="1696">
        <f t="shared" si="6"/>
        <v>0</v>
      </c>
      <c r="H57" s="1696">
        <f t="shared" si="6"/>
        <v>0</v>
      </c>
      <c r="I57" s="1696">
        <f t="shared" si="6"/>
        <v>0</v>
      </c>
      <c r="J57" s="1696">
        <f t="shared" si="6"/>
        <v>0</v>
      </c>
      <c r="K57" s="1696">
        <f t="shared" si="6"/>
        <v>68748</v>
      </c>
      <c r="L57" s="1692">
        <f>SUM(L55:L56)</f>
        <v>69231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70297</v>
      </c>
      <c r="D60" s="466">
        <v>32651</v>
      </c>
      <c r="E60" s="466">
        <v>149</v>
      </c>
      <c r="F60" s="466"/>
      <c r="G60" s="466"/>
      <c r="H60" s="466"/>
      <c r="I60" s="467"/>
      <c r="J60" s="467"/>
      <c r="K60" s="1694">
        <f t="shared" si="7"/>
        <v>103097</v>
      </c>
      <c r="L60" s="466">
        <v>132490</v>
      </c>
      <c r="M60" s="610"/>
      <c r="N60" s="610"/>
    </row>
    <row r="61" spans="1:14" s="343" customFormat="1" x14ac:dyDescent="0.2">
      <c r="A61" s="1526" t="s">
        <v>206</v>
      </c>
      <c r="B61" s="615">
        <v>2540</v>
      </c>
      <c r="C61" s="466"/>
      <c r="D61" s="466"/>
      <c r="E61" s="466">
        <v>48371</v>
      </c>
      <c r="F61" s="466">
        <v>26412</v>
      </c>
      <c r="G61" s="466"/>
      <c r="H61" s="466"/>
      <c r="I61" s="467"/>
      <c r="J61" s="467"/>
      <c r="K61" s="1694">
        <f t="shared" si="7"/>
        <v>74783</v>
      </c>
      <c r="L61" s="466">
        <v>100079</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v>2009</v>
      </c>
      <c r="D64" s="481">
        <v>154</v>
      </c>
      <c r="E64" s="481">
        <v>1636</v>
      </c>
      <c r="F64" s="481"/>
      <c r="G64" s="481"/>
      <c r="H64" s="481"/>
      <c r="I64" s="467"/>
      <c r="J64" s="467"/>
      <c r="K64" s="1694">
        <f t="shared" si="7"/>
        <v>3799</v>
      </c>
      <c r="L64" s="481">
        <v>6406</v>
      </c>
    </row>
    <row r="65" spans="1:14" s="343" customFormat="1" ht="12.75" customHeight="1" thickBot="1" x14ac:dyDescent="0.25">
      <c r="A65" s="1690" t="s">
        <v>743</v>
      </c>
      <c r="B65" s="1691" t="s">
        <v>35</v>
      </c>
      <c r="C65" s="1692">
        <f>SUM(C59:C64)</f>
        <v>72306</v>
      </c>
      <c r="D65" s="1692">
        <f t="shared" ref="D65:L65" si="8">SUM(D59:D64)</f>
        <v>32805</v>
      </c>
      <c r="E65" s="1692">
        <f t="shared" si="8"/>
        <v>50156</v>
      </c>
      <c r="F65" s="1692">
        <f t="shared" si="8"/>
        <v>26412</v>
      </c>
      <c r="G65" s="1692">
        <f t="shared" si="8"/>
        <v>0</v>
      </c>
      <c r="H65" s="1692">
        <f t="shared" si="8"/>
        <v>0</v>
      </c>
      <c r="I65" s="1692">
        <f t="shared" si="8"/>
        <v>0</v>
      </c>
      <c r="J65" s="1692">
        <f t="shared" si="8"/>
        <v>0</v>
      </c>
      <c r="K65" s="1692">
        <f t="shared" si="8"/>
        <v>181679</v>
      </c>
      <c r="L65" s="1692">
        <f t="shared" si="8"/>
        <v>238975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6137</v>
      </c>
      <c r="F71" s="466"/>
      <c r="G71" s="466"/>
      <c r="H71" s="466"/>
      <c r="I71" s="467"/>
      <c r="J71" s="467"/>
      <c r="K71" s="1694">
        <f>SUM(C71:J71)</f>
        <v>6137</v>
      </c>
      <c r="L71" s="466">
        <v>23561</v>
      </c>
      <c r="M71" s="610"/>
      <c r="N71" s="610"/>
    </row>
    <row r="72" spans="1:14" s="343" customFormat="1" ht="12.75" customHeight="1" thickBot="1" x14ac:dyDescent="0.25">
      <c r="A72" s="1690" t="s">
        <v>37</v>
      </c>
      <c r="B72" s="1697" t="s">
        <v>36</v>
      </c>
      <c r="C72" s="1692">
        <f>SUM(C67:C71)</f>
        <v>0</v>
      </c>
      <c r="D72" s="1692">
        <f t="shared" ref="D72:K72" si="9">SUM(D67:D71)</f>
        <v>0</v>
      </c>
      <c r="E72" s="1692">
        <f t="shared" si="9"/>
        <v>6137</v>
      </c>
      <c r="F72" s="1692">
        <f t="shared" si="9"/>
        <v>0</v>
      </c>
      <c r="G72" s="1692">
        <f t="shared" si="9"/>
        <v>0</v>
      </c>
      <c r="H72" s="1692">
        <f t="shared" si="9"/>
        <v>0</v>
      </c>
      <c r="I72" s="1692">
        <f t="shared" si="9"/>
        <v>0</v>
      </c>
      <c r="J72" s="1692">
        <f t="shared" si="9"/>
        <v>0</v>
      </c>
      <c r="K72" s="1692">
        <f t="shared" si="9"/>
        <v>6137</v>
      </c>
      <c r="L72" s="1692">
        <f>SUM(L67:L71)</f>
        <v>23561</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2782068</v>
      </c>
      <c r="D74" s="1699">
        <f t="shared" ref="D74:K74" si="10">SUM(D42,D47,D53,D57,D65,D72,D73)</f>
        <v>1016438</v>
      </c>
      <c r="E74" s="1699">
        <f t="shared" si="10"/>
        <v>447213</v>
      </c>
      <c r="F74" s="1699">
        <f t="shared" si="10"/>
        <v>62157</v>
      </c>
      <c r="G74" s="1699">
        <f t="shared" si="10"/>
        <v>10624</v>
      </c>
      <c r="H74" s="1699">
        <f t="shared" si="10"/>
        <v>9212</v>
      </c>
      <c r="I74" s="1699">
        <f t="shared" si="10"/>
        <v>0</v>
      </c>
      <c r="J74" s="1699">
        <f t="shared" si="10"/>
        <v>0</v>
      </c>
      <c r="K74" s="1699">
        <f t="shared" si="10"/>
        <v>4327712</v>
      </c>
      <c r="L74" s="1699">
        <f>SUM(L42,L47,L53,L57,L65,L72,L73)</f>
        <v>4467579</v>
      </c>
    </row>
    <row r="75" spans="1:14" s="259" customFormat="1" ht="15.75" customHeight="1" thickTop="1" thickBot="1" x14ac:dyDescent="0.25">
      <c r="A75" s="1632" t="s">
        <v>49</v>
      </c>
      <c r="B75" s="1633" t="s">
        <v>596</v>
      </c>
      <c r="C75" s="573">
        <v>99383</v>
      </c>
      <c r="D75" s="573">
        <v>28469</v>
      </c>
      <c r="E75" s="573">
        <v>2531</v>
      </c>
      <c r="F75" s="573">
        <v>4814</v>
      </c>
      <c r="G75" s="573"/>
      <c r="H75" s="573"/>
      <c r="I75" s="531"/>
      <c r="J75" s="531"/>
      <c r="K75" s="1692">
        <f>SUM(C75:J75)</f>
        <v>135197</v>
      </c>
      <c r="L75" s="576">
        <v>360518</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159509</v>
      </c>
      <c r="I78" s="477"/>
      <c r="J78" s="477"/>
      <c r="K78" s="1693">
        <f t="shared" ref="K78:K83" si="11">SUM(C78:J78)</f>
        <v>159509</v>
      </c>
      <c r="L78" s="481"/>
    </row>
    <row r="79" spans="1:14" x14ac:dyDescent="0.2">
      <c r="A79" s="1526" t="s">
        <v>322</v>
      </c>
      <c r="B79" s="615">
        <v>4120</v>
      </c>
      <c r="C79" s="617"/>
      <c r="D79" s="617"/>
      <c r="E79" s="466"/>
      <c r="F79" s="617"/>
      <c r="G79" s="617"/>
      <c r="H79" s="466">
        <v>80158</v>
      </c>
      <c r="I79" s="477"/>
      <c r="J79" s="477"/>
      <c r="K79" s="1693">
        <f t="shared" si="11"/>
        <v>80158</v>
      </c>
      <c r="L79" s="466">
        <v>17054</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239667</v>
      </c>
      <c r="I84" s="477"/>
      <c r="J84" s="477"/>
      <c r="K84" s="1692">
        <f>SUM(K78:K83)</f>
        <v>239667</v>
      </c>
      <c r="L84" s="1692">
        <f>SUM(L78:L83)</f>
        <v>17054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239667</v>
      </c>
      <c r="I102" s="477"/>
      <c r="J102" s="477"/>
      <c r="K102" s="1699">
        <f>SUM(K84,K92,K100,K101)</f>
        <v>239667</v>
      </c>
      <c r="L102" s="1699">
        <f>SUM(L84,L92,L100,L101)</f>
        <v>17054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16885</v>
      </c>
      <c r="I105" s="468"/>
      <c r="J105" s="468"/>
      <c r="K105" s="1693">
        <f>H105</f>
        <v>16885</v>
      </c>
      <c r="L105" s="481">
        <v>20000</v>
      </c>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16885</v>
      </c>
      <c r="I110" s="468"/>
      <c r="J110" s="468"/>
      <c r="K110" s="1692">
        <f>SUM(K105:K109)</f>
        <v>16885</v>
      </c>
      <c r="L110" s="1692">
        <f>SUM(L105:L109)</f>
        <v>20000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16885</v>
      </c>
      <c r="I112" s="468"/>
      <c r="J112" s="468"/>
      <c r="K112" s="1692">
        <f>SUM(K110:K111)</f>
        <v>16885</v>
      </c>
      <c r="L112" s="1699">
        <f>SUM(L110,L111)</f>
        <v>20000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11877283</v>
      </c>
      <c r="D114" s="1692">
        <f t="shared" ref="D114:K114" si="13">SUM(D33,D74,D75,D102,D112,D113)</f>
        <v>4240294</v>
      </c>
      <c r="E114" s="1692">
        <f t="shared" si="13"/>
        <v>531433</v>
      </c>
      <c r="F114" s="1692">
        <f t="shared" si="13"/>
        <v>132733</v>
      </c>
      <c r="G114" s="1692">
        <f t="shared" si="13"/>
        <v>10624</v>
      </c>
      <c r="H114" s="1692">
        <f>SUM(H33,H74,H75,H102,H112,H113)</f>
        <v>670462</v>
      </c>
      <c r="I114" s="1692">
        <f t="shared" si="13"/>
        <v>0</v>
      </c>
      <c r="J114" s="1692">
        <f t="shared" si="13"/>
        <v>0</v>
      </c>
      <c r="K114" s="1692">
        <f t="shared" si="13"/>
        <v>17462829</v>
      </c>
      <c r="L114" s="1692">
        <f>SUM(L33,L74,L75,L102,L112,L113)</f>
        <v>17849258</v>
      </c>
    </row>
    <row r="115" spans="1:14" ht="13.5" thickTop="1" x14ac:dyDescent="0.2">
      <c r="A115" s="2246" t="s">
        <v>1053</v>
      </c>
      <c r="B115" s="2247"/>
      <c r="C115" s="619"/>
      <c r="D115" s="619"/>
      <c r="E115" s="619"/>
      <c r="F115" s="619"/>
      <c r="G115" s="619"/>
      <c r="H115" s="619"/>
      <c r="I115" s="619"/>
      <c r="J115" s="619"/>
      <c r="K115" s="1706">
        <f>'Revenues 9-14'!C275-'Expenditures 15-22'!K114</f>
        <v>172960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24" t="s">
        <v>314</v>
      </c>
      <c r="B117" s="222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2788</v>
      </c>
      <c r="F124" s="466"/>
      <c r="G124" s="466"/>
      <c r="H124" s="466"/>
      <c r="I124" s="467"/>
      <c r="J124" s="467"/>
      <c r="K124" s="1692">
        <f>SUM(C124:J124)</f>
        <v>2788</v>
      </c>
      <c r="L124" s="466">
        <v>20000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2788</v>
      </c>
      <c r="F127" s="1692">
        <f t="shared" si="14"/>
        <v>0</v>
      </c>
      <c r="G127" s="1692">
        <f t="shared" si="14"/>
        <v>0</v>
      </c>
      <c r="H127" s="1692">
        <f t="shared" si="14"/>
        <v>0</v>
      </c>
      <c r="I127" s="1692">
        <f t="shared" si="14"/>
        <v>0</v>
      </c>
      <c r="J127" s="1692">
        <f t="shared" si="14"/>
        <v>0</v>
      </c>
      <c r="K127" s="1692">
        <f t="shared" si="14"/>
        <v>2788</v>
      </c>
      <c r="L127" s="1692">
        <f t="shared" si="14"/>
        <v>20000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2788</v>
      </c>
      <c r="F129" s="1699">
        <f t="shared" si="15"/>
        <v>0</v>
      </c>
      <c r="G129" s="1699">
        <f t="shared" si="15"/>
        <v>0</v>
      </c>
      <c r="H129" s="1699">
        <f t="shared" si="15"/>
        <v>0</v>
      </c>
      <c r="I129" s="1699">
        <f t="shared" si="15"/>
        <v>0</v>
      </c>
      <c r="J129" s="1699">
        <f t="shared" si="15"/>
        <v>0</v>
      </c>
      <c r="K129" s="1699">
        <f t="shared" si="15"/>
        <v>2788</v>
      </c>
      <c r="L129" s="1699">
        <f t="shared" si="15"/>
        <v>20000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1952</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36" t="s">
        <v>641</v>
      </c>
      <c r="B151" s="2218"/>
      <c r="C151" s="1692">
        <f>SUM(C129,C130,C139,C149,C150)</f>
        <v>0</v>
      </c>
      <c r="D151" s="1692">
        <f t="shared" ref="D151:K151" si="16">SUM(D129,D130,D139,D149,D150)</f>
        <v>0</v>
      </c>
      <c r="E151" s="1692">
        <f t="shared" si="16"/>
        <v>2788</v>
      </c>
      <c r="F151" s="1692">
        <f t="shared" si="16"/>
        <v>0</v>
      </c>
      <c r="G151" s="1692">
        <f t="shared" si="16"/>
        <v>0</v>
      </c>
      <c r="H151" s="1692">
        <f t="shared" si="16"/>
        <v>0</v>
      </c>
      <c r="I151" s="1692">
        <f t="shared" si="16"/>
        <v>0</v>
      </c>
      <c r="J151" s="1692">
        <f t="shared" si="16"/>
        <v>0</v>
      </c>
      <c r="K151" s="1692">
        <f t="shared" si="16"/>
        <v>2788</v>
      </c>
      <c r="L151" s="1692">
        <f>SUM(L129,L130,L139,L149,L150)</f>
        <v>20000</v>
      </c>
    </row>
    <row r="152" spans="1:14" ht="12.75" customHeight="1" thickTop="1" x14ac:dyDescent="0.2">
      <c r="A152" s="2239" t="s">
        <v>1240</v>
      </c>
      <c r="B152" s="2240"/>
      <c r="C152" s="619"/>
      <c r="D152" s="619"/>
      <c r="E152" s="619"/>
      <c r="F152" s="619"/>
      <c r="G152" s="619"/>
      <c r="H152" s="619"/>
      <c r="I152" s="619"/>
      <c r="J152" s="617"/>
      <c r="K152" s="1706">
        <f>'Revenues 9-14'!D275-'Expenditures 15-22'!K151</f>
        <v>2212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24" t="s">
        <v>642</v>
      </c>
      <c r="B154" s="222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1953</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1952</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1954</v>
      </c>
      <c r="C158" s="617"/>
      <c r="D158" s="617"/>
      <c r="E158" s="617"/>
      <c r="F158" s="617"/>
      <c r="G158" s="617"/>
      <c r="H158" s="467"/>
      <c r="I158" s="617"/>
      <c r="J158" s="617"/>
      <c r="K158" s="1693">
        <f>H158</f>
        <v>0</v>
      </c>
      <c r="L158" s="467"/>
      <c r="M158" s="620"/>
      <c r="N158" s="620"/>
    </row>
    <row r="159" spans="1:14" s="621" customFormat="1" ht="12" x14ac:dyDescent="0.2">
      <c r="A159" s="1849" t="s">
        <v>1955</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1956</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1768</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246" t="s">
        <v>1053</v>
      </c>
      <c r="B175" s="2247"/>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1600816</v>
      </c>
      <c r="F182" s="466"/>
      <c r="G182" s="466"/>
      <c r="H182" s="466"/>
      <c r="I182" s="467"/>
      <c r="J182" s="467"/>
      <c r="K182" s="1693">
        <f>SUM(C182:J182)</f>
        <v>1600816</v>
      </c>
      <c r="L182" s="466">
        <v>1355598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1600816</v>
      </c>
      <c r="F184" s="1699">
        <f t="shared" si="17"/>
        <v>0</v>
      </c>
      <c r="G184" s="1699">
        <f t="shared" si="17"/>
        <v>0</v>
      </c>
      <c r="H184" s="1699">
        <f t="shared" si="17"/>
        <v>0</v>
      </c>
      <c r="I184" s="1699">
        <f t="shared" si="17"/>
        <v>0</v>
      </c>
      <c r="J184" s="1699">
        <f t="shared" si="17"/>
        <v>0</v>
      </c>
      <c r="K184" s="1699">
        <f>SUM(K180,K182,K183)</f>
        <v>1600816</v>
      </c>
      <c r="L184" s="1699">
        <f>SUM(L180, L182:L183)</f>
        <v>1355598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1566</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1600816</v>
      </c>
      <c r="F210" s="1692">
        <f>SUM(F184,F185)</f>
        <v>0</v>
      </c>
      <c r="G210" s="1692">
        <f>SUM(G184,G185)</f>
        <v>0</v>
      </c>
      <c r="H210" s="1692">
        <f>SUM(H184,H185,H196,H208,H209)</f>
        <v>0</v>
      </c>
      <c r="I210" s="1692">
        <f>SUM(I184,I185)</f>
        <v>0</v>
      </c>
      <c r="J210" s="1692">
        <f>SUM(J184,J185)</f>
        <v>0</v>
      </c>
      <c r="K210" s="1693">
        <f>SUM(K184,K185,K196,K208,K209)</f>
        <v>1600816</v>
      </c>
      <c r="L210" s="1692">
        <f>SUM(L184,L185,L196,L208,L209)</f>
        <v>1355598</v>
      </c>
    </row>
    <row r="211" spans="1:14" ht="13.5" thickTop="1" x14ac:dyDescent="0.2">
      <c r="A211" s="2246" t="s">
        <v>1053</v>
      </c>
      <c r="B211" s="2247"/>
      <c r="C211" s="619"/>
      <c r="D211" s="619"/>
      <c r="E211" s="619"/>
      <c r="F211" s="619"/>
      <c r="G211" s="619"/>
      <c r="H211" s="619"/>
      <c r="I211" s="617"/>
      <c r="J211" s="617"/>
      <c r="K211" s="1706">
        <f>'Revenues 9-14'!F275-'Expenditures 15-22'!K210</f>
        <v>-125523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41" t="s">
        <v>1022</v>
      </c>
      <c r="B213" s="224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1903</v>
      </c>
      <c r="B249" s="684" t="s">
        <v>300</v>
      </c>
      <c r="C249" s="617"/>
      <c r="D249" s="474"/>
      <c r="E249" s="617"/>
      <c r="F249" s="617"/>
      <c r="G249" s="617"/>
      <c r="H249" s="617"/>
      <c r="I249" s="617"/>
      <c r="J249" s="617"/>
      <c r="K249" s="1694">
        <f t="shared" si="21"/>
        <v>0</v>
      </c>
      <c r="L249" s="466"/>
    </row>
    <row r="250" spans="1:12" x14ac:dyDescent="0.2">
      <c r="A250" s="1527" t="s">
        <v>1904</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1902</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1952</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37" t="s">
        <v>526</v>
      </c>
      <c r="B295" s="2238"/>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246" t="s">
        <v>1053</v>
      </c>
      <c r="B296" s="2247"/>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29" t="s">
        <v>145</v>
      </c>
      <c r="B298" s="222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1957</v>
      </c>
      <c r="B306" s="691" t="s">
        <v>1952</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34" t="s">
        <v>295</v>
      </c>
      <c r="B312" s="2235"/>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230" t="s">
        <v>1053</v>
      </c>
      <c r="B313" s="2231"/>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43" t="s">
        <v>151</v>
      </c>
      <c r="B315" s="224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45" t="s">
        <v>954</v>
      </c>
      <c r="B317" s="224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1903</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1958</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1952</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1954</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1959</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232" t="s">
        <v>1053</v>
      </c>
      <c r="B343" s="2233"/>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22" t="s">
        <v>1023</v>
      </c>
      <c r="B345" s="222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1960</v>
      </c>
      <c r="B354" s="684" t="s">
        <v>1952</v>
      </c>
      <c r="C354" s="617"/>
      <c r="D354" s="617"/>
      <c r="E354" s="617"/>
      <c r="F354" s="617"/>
      <c r="G354" s="617"/>
      <c r="H354" s="474"/>
      <c r="I354" s="702"/>
      <c r="J354" s="617"/>
      <c r="K354" s="1721">
        <f>H354</f>
        <v>0</v>
      </c>
      <c r="L354" s="471"/>
    </row>
    <row r="355" spans="1:14" ht="12.75" customHeight="1" x14ac:dyDescent="0.2">
      <c r="A355" s="1535" t="s">
        <v>1961</v>
      </c>
      <c r="B355" s="691" t="s">
        <v>1954</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1566</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46" t="s">
        <v>1053</v>
      </c>
      <c r="B368" s="2247"/>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d21dc803-237d-4c68-8692-8d731fd29118"/>
    <ds:schemaRef ds:uri="http://purl.org/dc/elements/1.1/"/>
    <ds:schemaRef ds:uri="http://purl.org/dc/terms/"/>
    <ds:schemaRef ds:uri="http://purl.org/dc/dcmitype/"/>
    <ds:schemaRef ds:uri="4d435f69-8686-490b-bd6d-b153bf22ab50"/>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Sec-2-1</vt:lpstr>
      <vt:lpstr>SF&amp;QC Sec-2-2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2018-10-09T15:08:46Z</cp:lastPrinted>
  <dcterms:created xsi:type="dcterms:W3CDTF">2003-10-29T19:06:34Z</dcterms:created>
  <dcterms:modified xsi:type="dcterms:W3CDTF">2018-12-03T21:41:04Z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