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3040" windowHeight="94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SEFA-A'!$B$1:$M$46</definedName>
    <definedName name="_xlnm.Print_Area" localSheetId="30">' SEFA-B'!$B$1:$M$46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F17" i="181"/>
  <c r="G17" i="181" s="1"/>
  <c r="E17" i="181"/>
  <c r="F20" i="181"/>
  <c r="G20" i="181" s="1"/>
  <c r="E20" i="181"/>
  <c r="D21" i="181" l="1"/>
  <c r="D80" i="36" l="1"/>
  <c r="B7797" i="106"/>
  <c r="E21" i="181"/>
  <c r="E16" i="181"/>
  <c r="F16" i="181" s="1"/>
  <c r="G16" i="181" s="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83"/>
  <c r="B2" i="184"/>
  <c r="B2" i="179"/>
  <c r="B2" i="174"/>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B2805" i="106" s="1"/>
  <c r="D2805" i="106" s="1"/>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E28" i="108"/>
  <c r="F28" i="108"/>
  <c r="F31" i="108"/>
  <c r="F36" i="108"/>
  <c r="F37" i="108"/>
  <c r="G28"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13" i="7"/>
  <c r="B3726" i="106" s="1"/>
  <c r="D3726" i="106" s="1"/>
  <c r="F131" i="34"/>
  <c r="F128" i="34"/>
  <c r="F111" i="34"/>
  <c r="B5847" i="106"/>
  <c r="D5847" i="106" s="1"/>
  <c r="B5752" i="106"/>
  <c r="D5752" i="106" s="1"/>
  <c r="G4" i="4"/>
  <c r="B2603" i="106" s="1"/>
  <c r="D2603" i="106" s="1"/>
  <c r="H173" i="5"/>
  <c r="B5906" i="106" s="1"/>
  <c r="D5906" i="106" s="1"/>
  <c r="D109" i="5"/>
  <c r="B5356" i="106" s="1"/>
  <c r="D5356" i="106" s="1"/>
  <c r="H6" i="4"/>
  <c r="B2656" i="106" s="1"/>
  <c r="D2656" i="106" s="1"/>
  <c r="B1746" i="106"/>
  <c r="D1746" i="106" s="1"/>
  <c r="D12" i="7"/>
  <c r="B1769" i="106" s="1"/>
  <c r="D1769" i="106" s="1"/>
  <c r="D15" i="7"/>
  <c r="B1772" i="106" s="1"/>
  <c r="D1772" i="106" s="1"/>
  <c r="G173" i="5" l="1"/>
  <c r="B5778" i="106" s="1"/>
  <c r="D5778" i="106" s="1"/>
  <c r="B5770" i="106"/>
  <c r="D5770" i="106" s="1"/>
  <c r="B7041" i="106"/>
  <c r="D7041" i="106" s="1"/>
  <c r="D11" i="7"/>
  <c r="B1768" i="106" s="1"/>
  <c r="D1768" i="106" s="1"/>
  <c r="D17" i="7"/>
  <c r="B4104" i="106" s="1"/>
  <c r="D4104" i="106" s="1"/>
  <c r="D4" i="4"/>
  <c r="B2564" i="106" s="1"/>
  <c r="D2564" i="106" s="1"/>
  <c r="D7" i="7"/>
  <c r="B1763" i="106" s="1"/>
  <c r="D1763" i="106" s="1"/>
  <c r="H109" i="5"/>
  <c r="K274" i="5"/>
  <c r="F127" i="34"/>
  <c r="F130" i="34"/>
  <c r="F136" i="34"/>
  <c r="D9" i="7"/>
  <c r="B1767" i="106" s="1"/>
  <c r="D1767" i="106" s="1"/>
  <c r="D5" i="7"/>
  <c r="B1761" i="106" s="1"/>
  <c r="D1761" i="106" s="1"/>
  <c r="K28" i="118"/>
  <c r="O27" i="118" s="1"/>
  <c r="O29" i="118" s="1"/>
  <c r="D5" i="4"/>
  <c r="B3406" i="106" s="1"/>
  <c r="D3406" i="106" s="1"/>
  <c r="I274" i="5"/>
  <c r="E109" i="5"/>
  <c r="E4" i="4" s="1"/>
  <c r="B2630" i="106" s="1"/>
  <c r="D2630" i="106" s="1"/>
  <c r="L342" i="29"/>
  <c r="L312" i="29"/>
  <c r="F36" i="34"/>
  <c r="F34" i="34"/>
  <c r="D69" i="36"/>
  <c r="B7235" i="106"/>
  <c r="D7235" i="106" s="1"/>
  <c r="B3647" i="106"/>
  <c r="D3647" i="106" s="1"/>
  <c r="G352" i="29"/>
  <c r="B3619" i="106"/>
  <c r="D3619" i="106" s="1"/>
  <c r="C352" i="29"/>
  <c r="B3454" i="106"/>
  <c r="D3454" i="106" s="1"/>
  <c r="L15" i="11"/>
  <c r="B3459" i="106" s="1"/>
  <c r="D3459" i="106" s="1"/>
  <c r="H44" i="4"/>
  <c r="B6289" i="106"/>
  <c r="D6289" i="106" s="1"/>
  <c r="K184" i="29"/>
  <c r="F13" i="4" s="1"/>
  <c r="B2596" i="106" s="1"/>
  <c r="D2596" i="106" s="1"/>
  <c r="B4087" i="106"/>
  <c r="D4087" i="106" s="1"/>
  <c r="B1329" i="106"/>
  <c r="D1329" i="106" s="1"/>
  <c r="F61" i="34"/>
  <c r="B1223" i="106"/>
  <c r="D1223" i="106" s="1"/>
  <c r="C129" i="29"/>
  <c r="B3565" i="106"/>
  <c r="D3565" i="106" s="1"/>
  <c r="K41" i="3"/>
  <c r="B3170" i="106"/>
  <c r="D3170" i="106" s="1"/>
  <c r="H76" i="4"/>
  <c r="B3298" i="106" s="1"/>
  <c r="D3298" i="106" s="1"/>
  <c r="B1410" i="106"/>
  <c r="D1410" i="106" s="1"/>
  <c r="B1308" i="106"/>
  <c r="D1308" i="106" s="1"/>
  <c r="E174" i="29"/>
  <c r="B1309" i="106" s="1"/>
  <c r="D1309" i="106" s="1"/>
  <c r="G15" i="145"/>
  <c r="F15" i="145"/>
  <c r="F19" i="145" s="1"/>
  <c r="B1274" i="106"/>
  <c r="D1274" i="106" s="1"/>
  <c r="K24" i="12"/>
  <c r="G30" i="108"/>
  <c r="E30" i="108"/>
  <c r="E29" i="108"/>
  <c r="B2724" i="106"/>
  <c r="D2724" i="106" s="1"/>
  <c r="F106" i="34"/>
  <c r="C172" i="5"/>
  <c r="C109" i="5"/>
  <c r="B5121" i="106" s="1"/>
  <c r="D5121"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B6025" i="106" l="1"/>
  <c r="D6025" i="106" s="1"/>
  <c r="H4" i="4"/>
  <c r="B7733" i="106"/>
  <c r="D7733" i="106" s="1"/>
  <c r="K26" i="12"/>
  <c r="B7743" i="106" s="1"/>
  <c r="D7743" i="106" s="1"/>
  <c r="B3568" i="106"/>
  <c r="D3568" i="106" s="1"/>
  <c r="D52" i="36"/>
  <c r="B3621" i="106"/>
  <c r="D3621" i="106" s="1"/>
  <c r="C367" i="29"/>
  <c r="B3622" i="106" s="1"/>
  <c r="D3622" i="106" s="1"/>
  <c r="B3649" i="106"/>
  <c r="D3649" i="106" s="1"/>
  <c r="G367" i="29"/>
  <c r="B3650" i="106" s="1"/>
  <c r="D3650" i="106" s="1"/>
  <c r="H367" i="29"/>
  <c r="B3660" i="106" s="1"/>
  <c r="D3660" i="106" s="1"/>
  <c r="L16" i="11"/>
  <c r="B2061" i="106" s="1"/>
  <c r="D2061" i="106" s="1"/>
  <c r="C114" i="29"/>
  <c r="B757" i="106" s="1"/>
  <c r="D757" i="106" s="1"/>
  <c r="B5214" i="106"/>
  <c r="D5214" i="106" s="1"/>
  <c r="C173" i="5"/>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5" i="106" l="1"/>
  <c r="D2655" i="106" s="1"/>
  <c r="H8" i="4"/>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<sst xmlns="http://schemas.openxmlformats.org/spreadsheetml/2006/main" count="5191" uniqueCount="2104">
  <si>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</si>
  <si>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</si>
  <si>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</si>
  <si>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</si>
  <si>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</si>
  <si>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</si>
  <si>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</si>
  <si>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</si>
  <si>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</si>
  <si>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</si>
  <si>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</si>
  <si>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</si>
  <si>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</si>
  <si>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</si>
  <si>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</si>
  <si>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</si>
  <si>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</si>
  <si>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</si>
  <si>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</si>
  <si>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</si>
  <si>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</si>
  <si>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</si>
  <si>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</si>
  <si>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</si>
  <si>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</si>
  <si>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</si>
  <si>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</si>
  <si>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</si>
  <si>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</si>
  <si>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</si>
  <si>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</si>
  <si>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</si>
  <si>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</si>
  <si>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</si>
  <si>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</si>
  <si>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</si>
  <si>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</si>
  <si>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</si>
  <si>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</si>
  <si>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</si>
  <si>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</si>
  <si>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</si>
  <si>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</si>
  <si>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</si>
  <si>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</si>
  <si>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</si>
  <si>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</si>
  <si>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</si>
  <si>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</si>
  <si>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</si>
  <si>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</si>
  <si>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</si>
  <si>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</si>
  <si>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</si>
  <si>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</si>
  <si>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</si>
  <si>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</si>
  <si>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</si>
  <si>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</si>
  <si>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</si>
  <si>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</si>
  <si>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</si>
  <si>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</si>
  <si>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</si>
  <si>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</si>
  <si>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</si>
  <si>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</si>
  <si>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</si>
  <si>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</si>
  <si>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</si>
  <si>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</si>
  <si>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</si>
  <si>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</si>
  <si>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</si>
  <si>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</si>
  <si>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</si>
  <si>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</si>
  <si>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</si>
  <si>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</si>
  <si>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</si>
  <si>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</si>
  <si>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</si>
  <si>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</si>
  <si>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</si>
  <si>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</si>
  <si>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</si>
  <si>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</si>
  <si>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</si>
  <si>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</si>
  <si>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</si>
  <si>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</si>
  <si>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</si>
  <si>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</si>
  <si>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</si>
  <si>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</si>
  <si>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</si>
  <si>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</si>
  <si>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</si>
  <si>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</si>
  <si>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</si>
  <si>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</si>
  <si>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</si>
  <si>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</si>
  <si>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</si>
  <si>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</si>
  <si>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</si>
  <si>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</si>
  <si>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</si>
  <si>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</si>
  <si>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</si>
  <si>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</si>
  <si>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</si>
  <si>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</si>
  <si>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</si>
  <si>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</si>
  <si>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</si>
  <si>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</si>
  <si>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</si>
  <si>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</si>
  <si>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</si>
  <si>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</si>
  <si>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</si>
  <si>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</si>
  <si>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</si>
  <si>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</si>
  <si>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</si>
  <si>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</si>
  <si>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</si>
  <si>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</si>
  <si>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</si>
  <si>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</si>
  <si>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</si>
  <si>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</si>
  <si>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</si>
  <si>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</si>
  <si>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</si>
  <si>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</si>
  <si>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</si>
  <si>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</si>
  <si>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</si>
  <si>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</si>
  <si>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</si>
  <si>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</si>
  <si>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</si>
  <si>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</si>
  <si>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</si>
  <si>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</si>
  <si>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</si>
  <si>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</si>
  <si>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</si>
  <si>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</si>
  <si>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</si>
  <si>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</si>
  <si>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</si>
  <si>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</si>
  <si>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</si>
  <si>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</si>
  <si>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</si>
  <si>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</si>
  <si>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</si>
  <si>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</si>
  <si>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</si>
  <si>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</si>
  <si>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</si>
  <si>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</si>
  <si>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</si>
  <si>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</si>
  <si>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</si>
  <si>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</si>
  <si>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</si>
  <si>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</si>
  <si>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</si>
  <si>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</si>
  <si>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</si>
  <si>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</si>
  <si>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</si>
  <si>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</si>
  <si>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</si>
  <si>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</si>
  <si>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</si>
  <si>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</si>
  <si>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</si>
  <si>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</si>
  <si>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</si>
  <si>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</si>
  <si>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</si>
  <si>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</si>
  <si>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</si>
  <si>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</si>
  <si>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</si>
  <si>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</si>
  <si>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</si>
  <si>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</si>
  <si>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</si>
  <si>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</si>
  <si>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</si>
  <si>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</si>
  <si>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</si>
  <si>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</si>
  <si>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</si>
  <si>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</si>
  <si>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</si>
  <si>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</si>
  <si>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</si>
  <si>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</si>
  <si>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</si>
  <si>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</si>
  <si>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</si>
  <si>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</si>
  <si>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</si>
  <si>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</si>
  <si>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</si>
  <si>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</si>
  <si>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</si>
  <si>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</si>
  <si>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</si>
  <si>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</si>
  <si>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</si>
  <si>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</si>
  <si>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</si>
  <si>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</si>
  <si>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</si>
  <si>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</si>
  <si>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</si>
  <si>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</si>
  <si>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</si>
  <si>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</si>
  <si>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</si>
  <si>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</si>
  <si>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</si>
  <si>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</si>
  <si>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</si>
  <si>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</si>
  <si>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</si>
  <si>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</si>
  <si>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</si>
  <si>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</si>
  <si>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</si>
  <si>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</si>
  <si>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</si>
  <si>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</si>
  <si>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</si>
  <si>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</si>
  <si>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</si>
  <si>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</si>
  <si>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</si>
  <si>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</si>
  <si>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</si>
  <si>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</si>
  <si>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</si>
  <si>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</si>
  <si>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</si>
  <si>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</si>
  <si>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</si>
  <si>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</si>
  <si>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</si>
  <si>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</si>
  <si>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</si>
  <si>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</si>
  <si>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</si>
  <si>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</si>
  <si>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</si>
  <si>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</si>
  <si>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</si>
  <si>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</si>
  <si>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</si>
  <si>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</si>
  <si>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</si>
  <si>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</si>
  <si>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</si>
  <si>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</si>
  <si>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</si>
  <si>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</si>
  <si>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</si>
  <si>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</si>
  <si>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</si>
  <si>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</si>
  <si>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</si>
  <si>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</si>
  <si>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</si>
  <si>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</si>
  <si>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</si>
  <si>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</si>
  <si>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</si>
  <si>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</si>
  <si>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</si>
  <si>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</si>
  <si>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</si>
  <si>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</si>
  <si>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</si>
  <si>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</si>
  <si>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</si>
  <si>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</si>
  <si>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</si>
  <si>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</si>
  <si>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</si>
  <si>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</si>
  <si>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</si>
  <si>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</si>
  <si>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</si>
  <si>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</si>
  <si>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</si>
  <si>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</si>
  <si>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</si>
  <si>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</si>
  <si>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</si>
  <si>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</si>
  <si>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</si>
  <si>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</si>
  <si>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</si>
  <si>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</si>
  <si>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</si>
  <si>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</si>
  <si>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</si>
  <si>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</si>
  <si>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</si>
  <si>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</si>
  <si>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</si>
  <si>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</si>
  <si>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</si>
  <si>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</si>
  <si>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</si>
  <si>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</si>
  <si>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</si>
  <si>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</si>
  <si>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</si>
  <si>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</si>
  <si>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</si>
  <si>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</si>
  <si>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</si>
  <si>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</si>
  <si>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</si>
  <si>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</si>
  <si>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</si>
  <si>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</si>
  <si>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</si>
  <si>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</si>
  <si>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</si>
  <si>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</si>
  <si>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</si>
  <si>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</si>
  <si>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</si>
  <si>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</si>
  <si>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</si>
  <si>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</si>
  <si>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</si>
  <si>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</si>
  <si>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</si>
  <si>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</si>
  <si>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</si>
  <si>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</si>
  <si>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</si>
  <si>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</si>
  <si>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</si>
  <si>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</si>
  <si>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</si>
  <si>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</si>
  <si>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</si>
  <si>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</si>
  <si>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</si>
  <si>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</si>
  <si>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</si>
  <si>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</si>
  <si>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</si>
  <si>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</si>
  <si>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</si>
  <si>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</si>
  <si>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</si>
  <si>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</si>
  <si>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</si>
  <si>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</si>
  <si>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</si>
  <si>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</si>
  <si>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</si>
  <si>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</si>
  <si>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</si>
  <si>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</si>
  <si>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</si>
  <si>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</si>
  <si>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</si>
  <si>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</si>
  <si>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</si>
  <si>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</si>
  <si>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</si>
  <si>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</si>
  <si>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</si>
  <si>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</si>
  <si>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</si>
  <si>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</si>
  <si>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</si>
  <si>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</si>
  <si>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</si>
  <si>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</si>
  <si>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</si>
  <si>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</si>
  <si>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</si>
  <si>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</si>
  <si>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</si>
  <si>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</si>
  <si>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</si>
  <si>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</si>
  <si>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</si>
  <si>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</si>
  <si>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</si>
  <si>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</si>
  <si>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</si>
  <si>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</si>
  <si>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</si>
  <si>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</si>
  <si>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</si>
  <si>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</si>
  <si>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</si>
  <si>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</si>
  <si>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</si>
  <si>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</si>
  <si>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</si>
  <si>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</si>
  <si>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</si>
  <si>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</si>
  <si>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</si>
  <si>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</si>
  <si>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</si>
  <si>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</si>
  <si>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</si>
  <si>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</si>
  <si>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</si>
  <si>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</si>
  <si>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</si>
  <si>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</si>
  <si>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</si>
  <si>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</si>
  <si>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</si>
  <si>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</si>
  <si>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</si>
  <si>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</si>
  <si>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</si>
  <si>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</si>
  <si>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</si>
  <si>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</si>
  <si>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</si>
  <si>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</si>
  <si>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</si>
  <si>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</si>
  <si>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</si>
  <si>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</si>
  <si>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</si>
  <si>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</si>
  <si>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</si>
  <si>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</si>
  <si>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</si>
  <si>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</si>
  <si>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</si>
  <si>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</si>
  <si>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</si>
  <si>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</si>
  <si>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</si>
  <si>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</si>
  <si>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</si>
  <si>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</si>
  <si>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</si>
  <si>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</si>
  <si>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</si>
  <si>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</si>
  <si>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</si>
  <si>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</si>
  <si>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</si>
  <si>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</si>
  <si>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</si>
  <si>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</si>
  <si>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</si>
  <si>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</si>
  <si>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</si>
  <si>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</si>
  <si>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</si>
  <si>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</si>
  <si>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</si>
  <si>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</si>
  <si>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</si>
  <si>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</si>
  <si>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</si>
  <si>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</si>
  <si>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</si>
  <si>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</si>
  <si>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</si>
  <si>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</si>
  <si>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</si>
  <si>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</si>
  <si>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</si>
  <si>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</si>
  <si>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</si>
  <si>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</si>
  <si>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</si>
  <si>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</si>
  <si>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</si>
  <si>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</si>
  <si>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</si>
  <si>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</si>
  <si>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</si>
  <si>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</si>
  <si>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</si>
  <si>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</si>
  <si>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</si>
  <si>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</si>
  <si>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</si>
  <si>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</si>
  <si>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</si>
  <si>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</si>
  <si>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</si>
  <si>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</si>
  <si>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</si>
  <si>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</si>
  <si>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</si>
  <si>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</si>
  <si>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</si>
  <si>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</si>
  <si>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</si>
  <si>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</si>
  <si>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</si>
  <si>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</si>
  <si>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</si>
  <si>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</si>
  <si>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</si>
  <si>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</si>
  <si>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</si>
  <si>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</si>
  <si>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</si>
  <si>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</si>
  <si>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</si>
  <si>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</si>
  <si>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</si>
  <si>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</si>
  <si>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</si>
  <si>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</si>
  <si>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</si>
  <si>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</si>
  <si>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</si>
  <si>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</si>
  <si>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</si>
  <si>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</si>
  <si>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</si>
  <si>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</si>
  <si>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</si>
  <si>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</si>
  <si>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</si>
  <si>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</si>
  <si>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</si>
  <si>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</si>
  <si>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</si>
  <si>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</si>
  <si>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</si>
  <si>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</si>
  <si>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</si>
  <si>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</si>
  <si>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</si>
  <si>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</si>
  <si>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</si>
  <si>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</si>
  <si>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</si>
  <si>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</si>
  <si>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</si>
  <si>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</si>
  <si>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</si>
  <si>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</si>
  <si>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</si>
  <si>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</si>
  <si>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</si>
  <si>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</si>
  <si>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</si>
  <si>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</si>
  <si>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</si>
  <si>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</si>
  <si>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</si>
  <si>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</si>
  <si>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</si>
  <si>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</si>
  <si>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</si>
  <si>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</si>
  <si>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</si>
  <si>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</si>
  <si>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</si>
  <si>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</si>
  <si>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</si>
  <si>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</si>
  <si>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</si>
  <si>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</si>
  <si>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</si>
  <si>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</si>
  <si>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</si>
  <si>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</si>
  <si>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</si>
  <si>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</si>
  <si>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</si>
  <si>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</si>
  <si>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</si>
  <si>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</si>
  <si>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</si>
  <si>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</si>
  <si>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</si>
  <si>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</si>
  <si>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</si>
  <si>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</si>
  <si>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</si>
  <si>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</si>
  <si>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</si>
  <si>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</si>
  <si>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</si>
  <si>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</si>
  <si>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</si>
  <si>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</si>
  <si>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</si>
  <si>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</si>
  <si>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</si>
  <si>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</si>
  <si>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</si>
  <si>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</si>
  <si>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</si>
  <si>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</si>
  <si>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</si>
  <si>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</si>
  <si>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</si>
  <si>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</si>
  <si>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</si>
  <si>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</si>
  <si>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</si>
  <si>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</si>
  <si>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</si>
  <si>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</si>
  <si>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</si>
  <si>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</si>
  <si>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</si>
  <si>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</si>
  <si>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</si>
  <si>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</si>
  <si>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</si>
  <si>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</si>
  <si>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</si>
  <si>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</si>
  <si>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</si>
  <si>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</si>
  <si>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</si>
  <si>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</si>
  <si>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</si>
  <si>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</si>
  <si>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</si>
  <si>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</si>
  <si>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</si>
  <si>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</si>
  <si>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</si>
  <si>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</si>
  <si>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</si>
  <si>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</si>
  <si>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</si>
  <si>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</si>
  <si>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</si>
  <si>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</si>
  <si>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</si>
  <si>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</si>
  <si>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</si>
  <si>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</si>
  <si>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</si>
  <si>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</si>
  <si>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</si>
  <si>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</si>
  <si>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</si>
  <si>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</si>
  <si>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</si>
  <si>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</si>
  <si>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</si>
  <si>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</si>
  <si>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</si>
  <si>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</si>
  <si>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</si>
  <si>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</si>
  <si>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</si>
  <si>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</si>
  <si>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</si>
  <si>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</si>
  <si>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</si>
  <si>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</si>
  <si>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</si>
  <si>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</si>
  <si>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</si>
  <si>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</si>
  <si>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</si>
  <si>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</si>
  <si>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</si>
  <si>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</si>
  <si>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</si>
  <si>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</si>
  <si>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</si>
  <si>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</si>
  <si>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</si>
  <si>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</si>
  <si>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</si>
  <si>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</si>
  <si>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</si>
  <si>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</si>
  <si>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</si>
  <si>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</si>
  <si>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</si>
  <si>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</si>
  <si>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</si>
  <si>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</si>
  <si>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</si>
  <si>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</si>
  <si>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</si>
  <si>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</si>
  <si>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</si>
  <si>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</si>
  <si>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</si>
  <si>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</si>
  <si>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</si>
  <si>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</si>
  <si>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</si>
  <si>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</si>
  <si>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</si>
  <si>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</si>
  <si>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</si>
  <si>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</si>
  <si>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</si>
  <si>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</si>
  <si>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</si>
  <si>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</si>
  <si>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</si>
  <si>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</si>
  <si>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</si>
  <si>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</si>
  <si>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</si>
  <si>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</si>
  <si>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</si>
  <si>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</si>
  <si>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</si>
  <si>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</si>
  <si>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</si>
  <si>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</si>
  <si>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</si>
  <si>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</si>
  <si>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</si>
  <si>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</si>
  <si>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</si>
  <si>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</si>
  <si>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</si>
  <si>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</si>
  <si>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</si>
  <si>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</si>
  <si>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</si>
  <si>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</si>
  <si>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</si>
  <si>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</si>
  <si>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</si>
  <si>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</si>
  <si>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</si>
  <si>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</si>
  <si>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</si>
  <si>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</si>
  <si>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</si>
  <si>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</si>
  <si>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</si>
  <si>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</si>
  <si>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</si>
  <si>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</si>
  <si>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</si>
  <si>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</si>
  <si>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</si>
  <si>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</si>
  <si>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</si>
  <si>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</si>
  <si>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</si>
  <si>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</si>
  <si>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</si>
  <si>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</si>
  <si>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</si>
  <si>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</si>
  <si>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</si>
  <si>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</si>
  <si>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</si>
  <si>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</si>
  <si>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</si>
  <si>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</si>
  <si>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</si>
  <si>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</si>
  <si>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</si>
  <si>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</si>
  <si>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</si>
  <si>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</si>
  <si>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</si>
  <si>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</si>
  <si>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</si>
  <si>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</si>
  <si>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</si>
  <si>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</si>
  <si>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</si>
  <si>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</si>
  <si>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</si>
  <si>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</si>
  <si>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</si>
  <si>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</si>
  <si>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</si>
  <si>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</si>
  <si>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</si>
  <si>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</si>
  <si>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</si>
  <si>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</si>
  <si>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</si>
  <si>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</si>
  <si>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</si>
  <si>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</si>
  <si>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</si>
  <si>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</si>
  <si>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</si>
  <si>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</si>
  <si>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</si>
  <si>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</si>
  <si>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</si>
  <si>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</si>
  <si>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</si>
  <si>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</si>
  <si>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</si>
  <si>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</si>
  <si>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</si>
  <si>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</si>
  <si>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</si>
  <si>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</si>
  <si>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</si>
  <si>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</si>
  <si>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</si>
  <si>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</si>
  <si>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</si>
  <si>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</si>
  <si>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</si>
  <si>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</si>
  <si>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</si>
  <si>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</si>
  <si>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</si>
  <si>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</si>
  <si>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</si>
  <si>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</si>
  <si>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</si>
  <si>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</si>
  <si>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</si>
  <si>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</si>
  <si>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</si>
  <si>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</si>
  <si>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</si>
  <si>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</si>
  <si>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</si>
  <si>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</si>
  <si>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</si>
  <si>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</si>
  <si>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</si>
  <si>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</si>
  <si>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</si>
  <si>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</si>
  <si>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</si>
  <si>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</si>
  <si>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</si>
  <si>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</si>
  <si>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</si>
  <si>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</si>
  <si>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</si>
  <si>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</si>
  <si>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</si>
  <si>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</si>
  <si>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</si>
  <si>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</si>
  <si>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</si>
  <si>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</si>
  <si>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</si>
  <si>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</si>
  <si>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</si>
  <si>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</si>
  <si>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</si>
  <si>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</si>
  <si>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</si>
  <si>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</si>
  <si>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</si>
  <si>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</si>
  <si>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</si>
  <si>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</si>
  <si>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</si>
  <si>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</si>
  <si>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</si>
  <si>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</si>
  <si>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</si>
  <si>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</si>
  <si>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</si>
  <si>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</si>
  <si>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</si>
  <si>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</si>
  <si>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</si>
  <si>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</si>
  <si>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</si>
  <si>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</si>
  <si>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</si>
  <si>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</si>
  <si>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</si>
  <si>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</si>
  <si>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</si>
  <si>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</si>
  <si>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</si>
  <si>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</si>
  <si>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</si>
  <si>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</si>
  <si>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</si>
  <si>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</si>
  <si>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</si>
  <si>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</si>
  <si>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</si>
  <si>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</si>
  <si>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</si>
  <si>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</si>
  <si>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</si>
  <si>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</si>
  <si>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</si>
  <si>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</si>
  <si>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</si>
  <si>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</si>
  <si>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</si>
  <si>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</si>
  <si>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</si>
  <si>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</si>
  <si>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</si>
  <si>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</si>
  <si>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</si>
  <si>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</si>
  <si>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</si>
  <si>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</si>
  <si>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</si>
  <si>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</si>
  <si>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</si>
  <si>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</si>
  <si>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</si>
  <si>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</si>
  <si>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</si>
  <si>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</si>
  <si>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</si>
  <si>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</si>
  <si>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</si>
  <si>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</si>
  <si>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</si>
  <si>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</si>
  <si>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</si>
  <si>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</si>
  <si>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</si>
  <si>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</si>
  <si>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</si>
  <si>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</si>
  <si>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</si>
  <si>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</si>
  <si>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</si>
  <si>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</si>
  <si>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</si>
  <si>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</si>
  <si>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</si>
  <si>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</si>
  <si>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</si>
  <si>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</si>
  <si>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</si>
  <si>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</si>
  <si>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</si>
  <si>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</si>
  <si>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</si>
  <si>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</si>
  <si>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</si>
  <si>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</si>
  <si>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</si>
  <si>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</si>
  <si>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</si>
  <si>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</si>
  <si>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</si>
  <si>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</si>
  <si>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</si>
  <si>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</si>
  <si>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</si>
  <si>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</si>
  <si>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</si>
  <si>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</si>
  <si>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</si>
  <si>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</si>
  <si>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</si>
  <si>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</si>
  <si>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</si>
  <si>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</si>
  <si>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</si>
  <si>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</si>
  <si>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</si>
  <si>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</si>
  <si>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</si>
  <si>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</si>
  <si>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</si>
  <si>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</si>
  <si>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</si>
  <si>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</si>
  <si>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</si>
  <si>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</si>
  <si>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</si>
  <si>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</si>
  <si>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</si>
  <si>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</si>
  <si>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</si>
  <si>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</si>
  <si>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</si>
  <si>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</si>
  <si>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</si>
  <si>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</si>
  <si>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</si>
  <si>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</si>
  <si>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</si>
  <si>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</si>
  <si>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</si>
  <si>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</si>
  <si>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</si>
  <si>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</si>
  <si>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</si>
  <si>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</si>
  <si>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</si>
  <si>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</si>
  <si>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</si>
  <si>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</si>
  <si>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</si>
  <si>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</si>
  <si>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</si>
  <si>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</si>
  <si>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</si>
  <si>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</si>
  <si>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</si>
  <si>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</si>
  <si>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</si>
  <si>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</si>
  <si>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</si>
  <si>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</si>
  <si>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</si>
  <si>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</si>
  <si>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</si>
  <si>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</si>
  <si>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</si>
  <si>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</si>
  <si>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</si>
  <si>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</si>
  <si>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</si>
  <si>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</si>
  <si>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</si>
  <si>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</si>
  <si>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</si>
  <si>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</si>
  <si>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</si>
  <si>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</si>
  <si>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</si>
  <si>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</si>
  <si>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</si>
  <si>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</si>
  <si>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</si>
  <si>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</si>
  <si>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</si>
  <si>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</si>
  <si>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</si>
  <si>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</si>
  <si>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</si>
  <si>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</si>
  <si>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</si>
  <si>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</si>
  <si>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</si>
  <si>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</si>
  <si>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</si>
  <si>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</si>
  <si>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</si>
  <si>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</si>
  <si>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</si>
  <si>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</si>
  <si>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</si>
  <si>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</si>
  <si>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</si>
  <si>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</si>
  <si>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</si>
  <si>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</si>
  <si>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</si>
  <si>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</si>
  <si>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</si>
  <si>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</si>
  <si>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</si>
  <si>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</si>
  <si>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</si>
  <si>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</si>
  <si>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</si>
  <si>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</si>
  <si>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</si>
  <si>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</si>
  <si>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</si>
  <si>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</si>
  <si>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</si>
  <si>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</si>
  <si>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</si>
  <si>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</si>
  <si>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</si>
  <si>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</si>
  <si>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</si>
  <si>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</si>
  <si>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</si>
  <si>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</si>
  <si>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</si>
  <si>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</si>
  <si>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</si>
  <si>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</si>
  <si>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</si>
  <si>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</si>
  <si>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</si>
  <si>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</si>
  <si>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</si>
  <si>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</si>
  <si>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</si>
  <si>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</si>
  <si>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</si>
  <si>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</si>
  <si>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</si>
  <si>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</si>
  <si>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</si>
  <si>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</si>
  <si>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</si>
  <si>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</si>
  <si>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</si>
  <si>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</si>
  <si>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</si>
  <si>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</si>
  <si>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</si>
  <si>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</si>
  <si>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</si>
  <si>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</si>
  <si>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</si>
  <si>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</si>
  <si>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</si>
  <si>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</si>
  <si>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</si>
  <si>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</si>
  <si>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</si>
  <si>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</si>
  <si>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</si>
  <si>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</si>
  <si>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</si>
  <si>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</si>
  <si>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</si>
  <si>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</si>
  <si>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</si>
  <si>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</si>
  <si>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</si>
  <si>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</si>
  <si>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</si>
  <si>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</si>
  <si>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</si>
  <si>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</si>
  <si>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</si>
  <si>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</si>
  <si>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</si>
  <si>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</si>
  <si>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</si>
  <si>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</si>
  <si>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</si>
  <si>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</si>
  <si>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</si>
  <si>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</si>
  <si>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</si>
  <si>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</si>
  <si>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</si>
  <si>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</si>
  <si>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</si>
  <si>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</si>
  <si>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</si>
  <si>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</si>
  <si>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</si>
  <si>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</si>
  <si>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</si>
  <si>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</si>
  <si>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</si>
  <si>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</si>
  <si>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</si>
  <si>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</si>
  <si>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</si>
  <si>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</si>
  <si>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</si>
  <si>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</si>
  <si>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</si>
  <si>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</si>
  <si>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</si>
  <si>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</si>
  <si>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</si>
  <si>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</si>
  <si>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</si>
  <si>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</si>
  <si>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</si>
  <si>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</si>
  <si>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</si>
  <si>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</si>
  <si>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</si>
  <si>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</si>
  <si>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</si>
  <si>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</si>
  <si>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</si>
  <si>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</si>
  <si>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</si>
  <si>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</si>
  <si>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</si>
  <si>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</si>
  <si>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</si>
  <si>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</si>
  <si>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</si>
  <si>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</si>
  <si>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</si>
  <si>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</si>
  <si>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</si>
  <si>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</si>
  <si>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</si>
  <si>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</si>
  <si>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</si>
  <si>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</si>
  <si>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</si>
  <si>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</si>
  <si>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</si>
  <si>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</si>
  <si>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</si>
  <si>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</si>
  <si>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</si>
  <si>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</si>
  <si>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</si>
  <si>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</si>
  <si>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</si>
  <si>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</si>
  <si>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</si>
  <si>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</si>
  <si>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</si>
  <si>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</si>
  <si>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</si>
  <si>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</si>
  <si>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</si>
  <si>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</si>
  <si>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</si>
  <si>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</si>
  <si>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</si>
  <si>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</si>
  <si>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</si>
  <si>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</si>
  <si>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</si>
  <si>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</si>
  <si>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</si>
  <si>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</si>
  <si>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</si>
  <si>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</si>
  <si>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</si>
  <si>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</si>
  <si>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</si>
  <si>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</si>
  <si>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</si>
  <si>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</si>
  <si>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</si>
  <si>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</si>
  <si>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</si>
  <si>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</si>
  <si>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</si>
  <si>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</si>
  <si>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</si>
  <si>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</si>
  <si>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</si>
  <si>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</si>
  <si>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</si>
  <si>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</si>
  <si>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</si>
  <si>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</si>
  <si>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</si>
  <si>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</si>
  <si>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</si>
  <si>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</si>
  <si>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</si>
  <si>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</si>
  <si>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</si>
  <si>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</si>
  <si>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</si>
  <si>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</si>
  <si>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</si>
  <si>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</si>
  <si>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</si>
  <si>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</si>
  <si>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</si>
  <si>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</si>
  <si>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</si>
  <si>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</si>
  <si>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</si>
  <si>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</si>
  <si>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</si>
  <si>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</si>
  <si>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</si>
  <si>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</si>
  <si>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</si>
  <si>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</si>
  <si>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</si>
  <si>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</si>
  <si>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</si>
  <si>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</si>
  <si>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</si>
  <si>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</si>
  <si>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</si>
  <si>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</si>
  <si>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</si>
  <si>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</si>
  <si>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</si>
  <si>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</si>
  <si>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</si>
  <si>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</si>
  <si>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</si>
  <si>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</si>
  <si>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</si>
  <si>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</si>
  <si>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</si>
  <si>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</si>
  <si>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</si>
  <si>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</si>
  <si>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</si>
  <si>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</si>
  <si>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</si>
  <si>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</si>
  <si>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</si>
  <si>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</si>
  <si>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</si>
  <si>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</si>
  <si>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</si>
  <si>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</si>
  <si>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</si>
  <si>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</si>
  <si>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</si>
  <si>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</si>
  <si>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</si>
  <si>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</si>
  <si>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</si>
  <si>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</si>
  <si>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</si>
  <si>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</si>
  <si>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</si>
  <si>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</si>
  <si>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</si>
  <si>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</si>
  <si>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</si>
  <si>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</si>
  <si>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</si>
  <si>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</si>
  <si>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</si>
  <si>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</si>
  <si>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</si>
  <si>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</si>
  <si>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</si>
  <si>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</si>
  <si>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</si>
  <si>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</si>
  <si>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</si>
  <si>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</si>
  <si>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</si>
  <si>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</si>
  <si>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</si>
  <si>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</si>
  <si>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</si>
  <si>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</si>
  <si>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</si>
  <si>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</si>
  <si>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</si>
  <si>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</si>
  <si>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</si>
  <si>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</si>
  <si>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</si>
  <si>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</si>
  <si>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</si>
  <si>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</si>
  <si>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</si>
  <si>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</si>
  <si>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</si>
  <si>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</si>
  <si>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</si>
  <si>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</si>
  <si>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</si>
  <si>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</si>
  <si>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</si>
  <si>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</si>
  <si>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</si>
  <si>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</si>
  <si>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</si>
  <si>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</si>
  <si>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</si>
  <si>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</si>
  <si>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</si>
  <si>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</si>
  <si>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</si>
  <si>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</si>
  <si>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</si>
  <si>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</si>
  <si>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</si>
  <si>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</si>
  <si>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</si>
  <si>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</si>
  <si>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</si>
  <si>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</si>
  <si>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</si>
  <si>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</si>
  <si>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</si>
  <si>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</si>
  <si>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</si>
  <si>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</si>
  <si>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</si>
  <si>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</si>
  <si>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</si>
  <si>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</si>
  <si>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</si>
  <si>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</si>
  <si>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</si>
  <si>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</si>
  <si>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</si>
  <si>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</si>
  <si>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</si>
  <si>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</si>
  <si>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</si>
  <si>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</si>
  <si>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</si>
  <si>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</si>
  <si>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</si>
  <si>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</si>
  <si>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</si>
  <si>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</si>
  <si>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</si>
  <si>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</si>
  <si>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</si>
  <si>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</si>
  <si>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</si>
  <si>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</si>
  <si>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</si>
  <si>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</si>
  <si>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</si>
  <si>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</si>
  <si>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</si>
  <si>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</si>
  <si>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</si>
  <si>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</si>
  <si>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</si>
  <si>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</si>
  <si>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</si>
  <si>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</si>
  <si>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</si>
  <si>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</si>
  <si>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</si>
  <si>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</si>
  <si>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</si>
  <si>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</si>
  <si>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</si>
  <si>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</si>
  <si>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</si>
  <si>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</si>
  <si>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</si>
  <si>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</si>
  <si>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</si>
  <si>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</si>
  <si>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</si>
  <si>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</si>
  <si>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</si>
  <si>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</si>
  <si>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</si>
  <si>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</si>
  <si>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</si>
  <si>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</si>
  <si>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</si>
  <si>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</si>
  <si>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</si>
  <si>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</si>
  <si>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</si>
  <si>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</si>
  <si>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</si>
  <si>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</si>
  <si>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</si>
  <si>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</si>
  <si>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</si>
  <si>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</si>
  <si>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</si>
  <si>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</si>
  <si>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</si>
  <si>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</si>
  <si>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</si>
  <si>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</si>
  <si>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</si>
  <si>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</si>
  <si>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</si>
  <si>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</si>
  <si>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</si>
  <si>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</si>
  <si>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</si>
  <si>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</si>
  <si>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</si>
  <si>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</si>
  <si>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</si>
  <si>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</si>
  <si>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</si>
  <si>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</si>
  <si>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</si>
  <si>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</si>
  <si>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</si>
  <si>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</si>
  <si>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</si>
  <si>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</si>
  <si>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</si>
  <si>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</si>
  <si>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</si>
  <si>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</si>
  <si>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</si>
  <si>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</si>
  <si>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</si>
  <si>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</si>
  <si>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</si>
  <si>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</si>
  <si>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</si>
  <si>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</si>
  <si>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</si>
  <si>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</si>
  <si>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</si>
  <si>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</si>
  <si>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</si>
  <si>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</si>
  <si>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</si>
  <si>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</si>
  <si>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</si>
  <si>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</si>
  <si>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</si>
  <si>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</si>
  <si>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</si>
  <si>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</si>
  <si>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</si>
  <si>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</si>
  <si>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</si>
  <si>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</si>
  <si>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</si>
  <si>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</si>
  <si>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</si>
  <si>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</si>
  <si>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</si>
  <si>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</si>
  <si>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</si>
  <si>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</si>
  <si>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</si>
  <si>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</si>
  <si>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</si>
  <si>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</si>
  <si>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</si>
  <si>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</si>
  <si>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</si>
  <si>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</si>
  <si>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</si>
  <si>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</si>
  <si>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</si>
  <si>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</si>
  <si>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</si>
  <si>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</si>
  <si>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</si>
  <si>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</si>
  <si>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</si>
  <si>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</si>
  <si>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</si>
  <si>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</si>
  <si>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</si>
  <si>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</si>
  <si>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</si>
  <si>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</si>
  <si>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</si>
  <si>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</si>
  <si>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</si>
  <si>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</si>
  <si>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</si>
  <si>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</si>
  <si>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</si>
  <si>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</si>
  <si>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</si>
  <si>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</si>
  <si>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</si>
  <si>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</si>
  <si>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</si>
  <si>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</si>
  <si>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</si>
  <si>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</si>
  <si>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</si>
  <si>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</si>
  <si>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</si>
  <si>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</si>
  <si>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</si>
  <si>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</si>
  <si>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</si>
  <si>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</si>
  <si>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</si>
  <si>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</si>
  <si>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</si>
  <si>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</si>
  <si>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</si>
  <si>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</si>
  <si>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</si>
  <si>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</si>
  <si>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</si>
  <si>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</si>
  <si>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</si>
  <si>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</si>
  <si>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</si>
  <si>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</si>
  <si>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</si>
  <si>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</si>
  <si>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</si>
  <si>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</si>
  <si>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</si>
  <si>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</si>
  <si>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</si>
  <si>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</si>
  <si>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</si>
  <si>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</si>
  <si>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</si>
  <si>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</si>
  <si>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</si>
  <si>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</si>
  <si>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</si>
  <si>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</si>
  <si>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</si>
  <si>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</si>
  <si>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</si>
  <si>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</si>
  <si>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</si>
  <si>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</si>
  <si>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</si>
  <si>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</si>
  <si>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</si>
  <si>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</si>
  <si>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</si>
  <si>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</si>
  <si>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</si>
  <si>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</si>
  <si>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</si>
  <si>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</si>
  <si>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</si>
  <si>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</si>
  <si>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</si>
  <si>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</si>
  <si>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</si>
  <si>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</si>
  <si>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</si>
  <si>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</si>
  <si>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</si>
  <si>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</si>
  <si>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</si>
  <si>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</si>
  <si>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</si>
  <si>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</si>
  <si>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</si>
  <si>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</si>
  <si>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</si>
  <si>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</si>
  <si>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</si>
  <si>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</si>
  <si>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</si>
  <si>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</si>
  <si>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</si>
  <si>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</si>
  <si>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</si>
  <si>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</si>
  <si>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</si>
  <si>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</si>
  <si>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</si>
  <si>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</si>
  <si>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</si>
  <si>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</si>
  <si>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</si>
  <si>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</si>
  <si>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</si>
  <si>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</si>
  <si>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</si>
  <si>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</si>
  <si>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</si>
  <si>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</si>
  <si>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</si>
  <si>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</si>
  <si>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</si>
  <si>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</si>
  <si>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</si>
  <si>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</si>
  <si>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</si>
  <si>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</si>
  <si>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</si>
  <si>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</si>
  <si>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</si>
  <si>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</si>
  <si>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</si>
  <si>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</si>
  <si>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</si>
  <si>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</si>
  <si>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</si>
  <si>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</si>
  <si>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</si>
  <si>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</si>
  <si>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</si>
  <si>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</si>
  <si>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</si>
  <si>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</si>
  <si>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</si>
  <si>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</si>
  <si>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</si>
  <si>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</si>
  <si>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</si>
  <si>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</si>
  <si>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</si>
  <si>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</si>
  <si>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</si>
  <si>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</si>
  <si>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</si>
  <si>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</si>
  <si>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</si>
  <si>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</si>
  <si>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</si>
  <si>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</si>
  <si>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</si>
  <si>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</si>
  <si>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</si>
  <si>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</si>
  <si>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</si>
  <si>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</si>
  <si>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</si>
  <si>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</si>
  <si>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</si>
  <si>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</si>
  <si>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</si>
  <si>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</si>
  <si>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</si>
  <si>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</si>
  <si>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</si>
  <si>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</si>
  <si>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</si>
  <si>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</si>
  <si>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</si>
  <si>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</si>
  <si>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</si>
  <si>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</si>
  <si>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</si>
  <si>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</si>
  <si>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</si>
  <si>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</si>
  <si>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</si>
  <si>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</si>
  <si>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</si>
  <si>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</si>
  <si>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</si>
  <si>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</si>
  <si>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</si>
  <si>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</si>
  <si>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</si>
  <si>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</si>
  <si>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</si>
  <si>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</si>
  <si>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</si>
  <si>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</si>
  <si>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</si>
  <si>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</si>
  <si>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</si>
  <si>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</si>
  <si>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</si>
  <si>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</si>
  <si>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</si>
  <si>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</si>
  <si>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</si>
  <si>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</si>
  <si>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</si>
  <si>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</si>
  <si>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</si>
  <si>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</si>
  <si>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</si>
  <si>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</si>
  <si>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</si>
  <si>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</si>
  <si>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</si>
  <si>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</si>
  <si>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</si>
  <si>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</si>
  <si>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</si>
  <si>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</si>
  <si>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</si>
  <si>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</si>
  <si>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</si>
  <si>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</si>
  <si>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</si>
  <si>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</si>
  <si>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</si>
  <si>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</si>
  <si>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</si>
  <si>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</si>
  <si>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</si>
  <si>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</si>
  <si>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</si>
  <si>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</si>
  <si>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</si>
  <si>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</si>
  <si>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</si>
  <si>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</si>
  <si>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</si>
  <si>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</si>
  <si>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</si>
  <si>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</si>
  <si>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</si>
  <si>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</si>
  <si>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</si>
  <si>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</si>
  <si>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</si>
  <si>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</si>
  <si>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</si>
  <si>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</si>
  <si>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</si>
  <si>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</si>
  <si>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</si>
  <si>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</si>
  <si>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</si>
  <si>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</si>
  <si>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</si>
  <si>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</si>
  <si>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</si>
  <si>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</si>
  <si>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</si>
  <si>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</si>
  <si>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</si>
  <si>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</si>
  <si>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</si>
  <si>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</si>
  <si>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</si>
  <si>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</si>
  <si>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</si>
  <si>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</si>
  <si>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</si>
  <si>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</si>
  <si>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</si>
  <si>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</si>
  <si>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</si>
  <si>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</si>
  <si>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</si>
  <si>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</si>
  <si>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</si>
  <si>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</si>
  <si>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</si>
  <si>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</si>
  <si>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</si>
  <si>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</si>
  <si>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</si>
  <si>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</si>
  <si>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</si>
  <si>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</si>
  <si>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</si>
  <si>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</si>
  <si>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</si>
  <si>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</si>
  <si>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</si>
  <si>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</si>
  <si>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</si>
  <si>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</si>
  <si>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</si>
  <si>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</si>
  <si>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</si>
  <si>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</si>
  <si>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</si>
  <si>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</si>
  <si>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</si>
  <si>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</si>
  <si>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</si>
  <si>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</si>
  <si>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</si>
  <si>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</si>
  <si>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</si>
  <si>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</si>
  <si>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</si>
  <si>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</si>
  <si>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</si>
  <si>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</si>
  <si>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</si>
  <si>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</si>
  <si>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</si>
  <si>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</si>
  <si>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</si>
  <si>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</si>
  <si>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</si>
  <si>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</si>
  <si>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</si>
  <si>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</si>
  <si>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</si>
  <si>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</si>
  <si>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</si>
  <si>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</si>
  <si>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</si>
  <si>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</si>
  <si>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</si>
  <si>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</si>
  <si>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</si>
  <si>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</si>
  <si>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</si>
  <si>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</si>
  <si>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</si>
  <si>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</si>
  <si>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</si>
  <si>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</si>
  <si>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</si>
  <si>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</si>
  <si>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</si>
  <si>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</si>
  <si>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</si>
  <si>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</si>
  <si>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</si>
  <si>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</si>
  <si>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</si>
  <si>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</si>
  <si>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</si>
  <si>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</si>
  <si>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</si>
  <si>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</si>
  <si>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</si>
  <si>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</si>
  <si>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</si>
  <si>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</si>
  <si>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</si>
  <si>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</si>
  <si>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</si>
  <si>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</si>
  <si>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</si>
  <si>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</si>
  <si>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</si>
  <si>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</si>
  <si>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</si>
  <si>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</si>
  <si>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</si>
  <si>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</si>
  <si>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</si>
  <si>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</si>
  <si>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</si>
  <si>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</si>
  <si>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</si>
  <si>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</si>
  <si>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</si>
  <si>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</si>
  <si>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</si>
  <si>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</si>
  <si>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</si>
  <si>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</si>
  <si>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</si>
  <si>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</si>
  <si>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</si>
  <si>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</si>
  <si>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</si>
  <si>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</si>
  <si>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</si>
  <si>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</si>
  <si>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</si>
  <si>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</si>
  <si>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</si>
  <si>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</si>
  <si>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</si>
  <si>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</si>
  <si>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</si>
  <si>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</si>
  <si>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</si>
  <si>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</si>
  <si>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</si>
  <si>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</si>
  <si>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</si>
  <si>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</si>
  <si>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</si>
  <si>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</si>
  <si>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</si>
  <si>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</si>
  <si>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</si>
  <si>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</si>
  <si>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</si>
  <si>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</si>
  <si>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</si>
  <si>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</si>
  <si>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</si>
  <si>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</si>
  <si>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</si>
  <si>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</si>
  <si>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</si>
  <si>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</si>
  <si>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</si>
  <si>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</si>
  <si>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</si>
  <si>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</si>
  <si>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</si>
  <si>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</si>
  <si>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</si>
  <si>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</si>
  <si>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</si>
  <si>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</si>
  <si>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</si>
  <si>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</si>
  <si>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</si>
  <si>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</si>
  <si>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</si>
  <si>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</si>
  <si>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</si>
  <si>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</si>
  <si>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</si>
  <si>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</si>
  <si>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</si>
  <si>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</si>
  <si>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</si>
  <si>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</si>
  <si>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</si>
  <si>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</si>
  <si>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</si>
  <si>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</si>
  <si>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</si>
  <si>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</si>
  <si>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</si>
  <si>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</si>
  <si>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</si>
  <si>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</si>
  <si>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</si>
  <si>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</si>
  <si>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</si>
  <si>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</si>
  <si>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</si>
  <si>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</si>
  <si>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</si>
  <si>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</si>
  <si>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</si>
  <si>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</si>
  <si>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</si>
  <si>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</si>
  <si>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</si>
  <si>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</si>
  <si>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</si>
  <si>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</si>
  <si>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</si>
  <si>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</si>
  <si>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</si>
  <si>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</si>
  <si>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</si>
  <si>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</si>
  <si>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</si>
  <si>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</si>
  <si>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</si>
  <si>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</si>
  <si>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</si>
  <si>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</si>
  <si>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</si>
  <si>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</si>
  <si>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</si>
  <si>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</si>
  <si>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</si>
  <si>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</si>
  <si>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</si>
  <si>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</si>
  <si>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</si>
  <si>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</si>
  <si>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</si>
  <si>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</si>
  <si>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</si>
  <si>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</si>
  <si>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</si>
  <si>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</si>
  <si>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</si>
  <si>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</si>
  <si>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</si>
  <si>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</si>
  <si>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</si>
  <si>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</si>
  <si>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</si>
  <si>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</si>
  <si>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</si>
  <si>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</si>
  <si>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</si>
  <si>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</si>
  <si>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</si>
  <si>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</si>
  <si>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</si>
  <si>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</si>
  <si>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</si>
  <si>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</si>
  <si>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</si>
  <si>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</si>
  <si>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</si>
  <si>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</si>
  <si>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</si>
  <si>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</si>
  <si>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</si>
  <si>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</si>
  <si>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</si>
  <si>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</si>
  <si>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</si>
  <si>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</si>
  <si>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</si>
  <si>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</si>
  <si>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</si>
  <si>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</si>
  <si>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</si>
  <si>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LOGAN</t>
  </si>
  <si>
    <t>1000 RAILER WAY</t>
  </si>
  <si>
    <t>mpuckett@lchsrailers.org</t>
  </si>
  <si>
    <t>066-005243</t>
  </si>
  <si>
    <t>MARK JONTRY</t>
  </si>
  <si>
    <t>jontrym@roe17.org</t>
  </si>
  <si>
    <t>309-888-5120</t>
  </si>
  <si>
    <t>309-862-0420</t>
  </si>
  <si>
    <t>R. MATTHEW PUCKETT</t>
  </si>
  <si>
    <t>217-732-4131</t>
  </si>
  <si>
    <t>217-735-3963</t>
  </si>
  <si>
    <t>LINCOLNLAND REGIONAL DELIVERY SYSTEM</t>
  </si>
  <si>
    <t>NONE</t>
  </si>
  <si>
    <t>PAGE 29,  LINCONLAND TECHNICAL EDUCATION CENTER HAD NO CONTRACTS OF $25,000 OR MORE.</t>
  </si>
  <si>
    <t>PAGE 11, LINE 81, OTHER DISTRICT ACTIVITY INCOME - HEALTH OCCUPATION FEES $2,400.</t>
  </si>
  <si>
    <t>Lincoland Technical Ed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</si>
</sst>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49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1</xdr:col>
          <xdr:colOff>3971925</xdr:colOff>
          <xdr:row>4</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B7" sqref="B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c r="C5" s="26" t="s">
        <v>966</v>
      </c>
      <c r="D5" s="84"/>
      <c r="E5" s="84"/>
      <c r="H5" s="38"/>
      <c r="I5" s="2035" t="s">
        <v>701</v>
      </c>
      <c r="J5" s="1980"/>
      <c r="K5" s="1980"/>
      <c r="L5" s="1980"/>
      <c r="M5" s="1980"/>
      <c r="N5" s="1980"/>
      <c r="O5" s="1980"/>
      <c r="P5" s="1980"/>
      <c r="Q5" s="1980"/>
      <c r="R5" s="1980"/>
      <c r="S5" s="1980"/>
    </row>
    <row r="6" spans="1:28" ht="14.1" customHeight="1" x14ac:dyDescent="0.2">
      <c r="B6" s="104" t="s">
        <v>2076</v>
      </c>
      <c r="C6" s="26" t="s">
        <v>967</v>
      </c>
      <c r="D6" s="84"/>
      <c r="E6" s="84"/>
      <c r="I6" s="2034" t="s">
        <v>938</v>
      </c>
      <c r="J6" s="1980"/>
      <c r="K6" s="1980"/>
      <c r="L6" s="1980"/>
      <c r="M6" s="1980"/>
      <c r="N6" s="1980"/>
      <c r="O6" s="1980"/>
      <c r="P6" s="1980"/>
      <c r="Q6" s="1980"/>
      <c r="R6" s="1980"/>
      <c r="S6" s="1980"/>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1976" t="s">
        <v>554</v>
      </c>
      <c r="U9" s="1977"/>
      <c r="V9" s="1977"/>
      <c r="W9" s="1977"/>
      <c r="X9" s="1977"/>
      <c r="Y9" s="1977"/>
      <c r="Z9" s="1977"/>
      <c r="AA9" s="1978"/>
    </row>
    <row r="10" spans="1:28" ht="13.5" customHeight="1" x14ac:dyDescent="0.2">
      <c r="A10" s="1985" t="s">
        <v>696</v>
      </c>
      <c r="B10" s="1986"/>
      <c r="C10" s="1986"/>
      <c r="D10" s="1986"/>
      <c r="E10" s="1986"/>
      <c r="F10" s="1986"/>
      <c r="G10" s="1986"/>
      <c r="H10" s="1987"/>
      <c r="I10" s="29"/>
      <c r="J10" s="30"/>
      <c r="K10" s="28"/>
      <c r="R10" s="30"/>
      <c r="S10" s="30"/>
      <c r="T10" s="1979"/>
      <c r="U10" s="1980"/>
      <c r="V10" s="1980"/>
      <c r="W10" s="1980"/>
      <c r="X10" s="1980"/>
      <c r="Y10" s="1980"/>
      <c r="Z10" s="1980"/>
      <c r="AA10" s="1981"/>
    </row>
    <row r="11" spans="1:28" ht="14.25" customHeight="1" x14ac:dyDescent="0.2">
      <c r="A11" s="1988" t="s">
        <v>1012</v>
      </c>
      <c r="B11" s="1989"/>
      <c r="C11" s="1989"/>
      <c r="D11" s="1989"/>
      <c r="E11" s="1989"/>
      <c r="F11" s="1989"/>
      <c r="G11" s="1989"/>
      <c r="H11" s="1990"/>
      <c r="I11" s="27"/>
      <c r="J11" s="74"/>
      <c r="K11" s="27"/>
      <c r="O11" s="148" t="s">
        <v>2076</v>
      </c>
      <c r="P11" s="100" t="s">
        <v>210</v>
      </c>
      <c r="Q11" s="30"/>
      <c r="R11" s="28"/>
      <c r="S11" s="27"/>
      <c r="T11" s="1982"/>
      <c r="U11" s="1983"/>
      <c r="V11" s="1983"/>
      <c r="W11" s="1983"/>
      <c r="X11" s="1983"/>
      <c r="Y11" s="1983"/>
      <c r="Z11" s="1983"/>
      <c r="AA11" s="198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6">
        <v>17054404041</v>
      </c>
      <c r="B13" s="1997"/>
      <c r="C13" s="1997"/>
      <c r="D13" s="1997"/>
      <c r="E13" s="1997"/>
      <c r="F13" s="1997"/>
      <c r="G13" s="1997"/>
      <c r="H13" s="1998"/>
      <c r="I13" s="31"/>
      <c r="J13" s="30"/>
      <c r="K13" s="28"/>
      <c r="L13" s="30"/>
      <c r="M13" s="30"/>
      <c r="N13" s="30"/>
      <c r="O13" s="30"/>
      <c r="P13" s="30"/>
      <c r="Q13" s="30"/>
      <c r="R13" s="30"/>
      <c r="S13" s="30"/>
      <c r="T13" s="2001" t="s">
        <v>2077</v>
      </c>
      <c r="U13" s="2002"/>
      <c r="V13" s="2002"/>
      <c r="W13" s="2002"/>
      <c r="X13" s="2002"/>
      <c r="Y13" s="2003"/>
      <c r="Z13" s="2003"/>
      <c r="AA13" s="200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4" t="s">
        <v>2088</v>
      </c>
      <c r="B15" s="1999"/>
      <c r="C15" s="1999"/>
      <c r="D15" s="1999"/>
      <c r="E15" s="1999"/>
      <c r="F15" s="1999"/>
      <c r="G15" s="1999"/>
      <c r="H15" s="2000"/>
      <c r="T15" s="1962" t="s">
        <v>2078</v>
      </c>
      <c r="U15" s="1963"/>
      <c r="V15" s="1963"/>
      <c r="W15" s="1963"/>
      <c r="X15" s="1963"/>
      <c r="Y15" s="2005"/>
      <c r="Z15" s="2005"/>
      <c r="AA15" s="200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4" t="s">
        <v>2103</v>
      </c>
      <c r="B17" s="2024"/>
      <c r="C17" s="2024"/>
      <c r="D17" s="2024"/>
      <c r="E17" s="2024"/>
      <c r="F17" s="2024"/>
      <c r="G17" s="2024"/>
      <c r="H17" s="2025"/>
      <c r="T17" s="2011" t="s">
        <v>2079</v>
      </c>
      <c r="U17" s="2012"/>
      <c r="V17" s="2012"/>
      <c r="W17" s="2012"/>
      <c r="X17" s="2012"/>
      <c r="Y17" s="2012"/>
      <c r="Z17" s="2012"/>
      <c r="AA17" s="2013"/>
    </row>
    <row r="18" spans="1:27" ht="13.5" customHeight="1" x14ac:dyDescent="0.2">
      <c r="A18" s="85" t="s">
        <v>551</v>
      </c>
      <c r="B18" s="76"/>
      <c r="C18" s="72"/>
      <c r="D18" s="76"/>
      <c r="E18" s="76"/>
      <c r="F18" s="76"/>
      <c r="G18" s="76"/>
      <c r="H18" s="56"/>
      <c r="I18" s="2021" t="s">
        <v>697</v>
      </c>
      <c r="J18" s="2022"/>
      <c r="K18" s="2022"/>
      <c r="L18" s="2022"/>
      <c r="M18" s="2022"/>
      <c r="N18" s="2022"/>
      <c r="O18" s="2022"/>
      <c r="P18" s="2022"/>
      <c r="Q18" s="2022"/>
      <c r="R18" s="2022"/>
      <c r="S18" s="2023"/>
      <c r="T18" s="85" t="s">
        <v>735</v>
      </c>
      <c r="U18" s="51"/>
      <c r="V18" s="72"/>
      <c r="W18" s="50"/>
      <c r="X18" s="85" t="s">
        <v>284</v>
      </c>
      <c r="Y18" s="81"/>
      <c r="Z18" s="159" t="s">
        <v>698</v>
      </c>
      <c r="AA18" s="46"/>
    </row>
    <row r="19" spans="1:27" ht="13.5" customHeight="1" x14ac:dyDescent="0.2">
      <c r="A19" s="1994" t="s">
        <v>2089</v>
      </c>
      <c r="B19" s="1995"/>
      <c r="C19" s="1995"/>
      <c r="D19" s="1995"/>
      <c r="E19" s="1995"/>
      <c r="F19" s="1995"/>
      <c r="G19" s="1995"/>
      <c r="H19" s="1993"/>
      <c r="I19" s="30"/>
      <c r="J19" s="99"/>
      <c r="K19" s="40"/>
      <c r="L19" s="38"/>
      <c r="M19" s="112" t="s">
        <v>333</v>
      </c>
      <c r="P19" s="27"/>
      <c r="Q19" s="27"/>
      <c r="R19" s="27"/>
      <c r="S19" s="31"/>
      <c r="T19" s="1994" t="s">
        <v>2080</v>
      </c>
      <c r="U19" s="1992"/>
      <c r="V19" s="1992"/>
      <c r="W19" s="1993"/>
      <c r="X19" s="2009" t="s">
        <v>2081</v>
      </c>
      <c r="Y19" s="2010"/>
      <c r="Z19" s="2007">
        <v>62656</v>
      </c>
      <c r="AA19" s="200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1" t="s">
        <v>2080</v>
      </c>
      <c r="B21" s="1992"/>
      <c r="C21" s="1992"/>
      <c r="D21" s="1992"/>
      <c r="E21" s="1992"/>
      <c r="F21" s="1992"/>
      <c r="G21" s="1992"/>
      <c r="H21" s="1993"/>
      <c r="I21" s="2017" t="s">
        <v>699</v>
      </c>
      <c r="J21" s="1980"/>
      <c r="K21" s="1980"/>
      <c r="L21" s="1980"/>
      <c r="M21" s="1980"/>
      <c r="N21" s="1980"/>
      <c r="O21" s="1980"/>
      <c r="P21" s="1980"/>
      <c r="Q21" s="1980"/>
      <c r="R21" s="1980"/>
      <c r="S21" s="1981"/>
      <c r="T21" s="1959" t="s">
        <v>2082</v>
      </c>
      <c r="U21" s="1960"/>
      <c r="V21" s="1960"/>
      <c r="W21" s="1960"/>
      <c r="X21" s="1973" t="s">
        <v>2083</v>
      </c>
      <c r="Y21" s="1974"/>
      <c r="Z21" s="1974"/>
      <c r="AA21" s="1975"/>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4" t="s">
        <v>2090</v>
      </c>
      <c r="B23" s="2015"/>
      <c r="C23" s="2015"/>
      <c r="D23" s="2015"/>
      <c r="E23" s="2015"/>
      <c r="F23" s="2015"/>
      <c r="G23" s="2015"/>
      <c r="H23" s="2016"/>
      <c r="T23" s="1954" t="s">
        <v>2091</v>
      </c>
      <c r="U23" s="1955"/>
      <c r="V23" s="1955"/>
      <c r="W23" s="1955"/>
      <c r="X23" s="1970">
        <v>43434</v>
      </c>
      <c r="Y23" s="1971"/>
      <c r="Z23" s="1971"/>
      <c r="AA23" s="1972"/>
    </row>
    <row r="24" spans="1:27" ht="14.1" customHeight="1" x14ac:dyDescent="0.2">
      <c r="A24" s="88" t="s">
        <v>698</v>
      </c>
      <c r="B24" s="49"/>
      <c r="C24" s="49"/>
      <c r="D24" s="49"/>
      <c r="E24" s="49"/>
      <c r="F24" s="49"/>
      <c r="G24" s="49"/>
      <c r="H24" s="61"/>
      <c r="J24" s="2056" t="str">
        <f>IF(B5="x",IF(AUDITCHECK!D29="AFR form Incomplete.","",IF(AUDITCHECK!D29="Deficit reduction plan is required.","School District must complete a deficit reduction plan in the 2018-2019 Budget",)),"")</f>
        <v/>
      </c>
      <c r="K24" s="2056"/>
      <c r="L24" s="2056"/>
      <c r="M24" s="2056"/>
      <c r="N24" s="2056"/>
      <c r="O24" s="2056"/>
      <c r="P24" s="2056"/>
      <c r="Q24" s="2056"/>
      <c r="R24" s="2056"/>
      <c r="S24" s="2057"/>
      <c r="T24" s="105" t="s">
        <v>552</v>
      </c>
      <c r="U24" s="106"/>
      <c r="V24" s="106"/>
      <c r="W24" s="106"/>
      <c r="X24" s="107"/>
      <c r="Y24" s="107"/>
      <c r="Z24" s="107"/>
      <c r="AA24" s="108"/>
    </row>
    <row r="25" spans="1:27" ht="14.1" customHeight="1" x14ac:dyDescent="0.2">
      <c r="A25" s="1991">
        <v>62656</v>
      </c>
      <c r="B25" s="1992"/>
      <c r="C25" s="1992"/>
      <c r="D25" s="1992"/>
      <c r="E25" s="1992"/>
      <c r="F25" s="1992"/>
      <c r="G25" s="1992"/>
      <c r="H25" s="1993"/>
      <c r="I25" s="113"/>
      <c r="J25" s="2058"/>
      <c r="K25" s="2058"/>
      <c r="L25" s="2058"/>
      <c r="M25" s="2058"/>
      <c r="N25" s="2058"/>
      <c r="O25" s="2058"/>
      <c r="P25" s="2058"/>
      <c r="Q25" s="2058"/>
      <c r="R25" s="2058"/>
      <c r="S25" s="2059"/>
      <c r="T25" s="1951" t="s">
        <v>2084</v>
      </c>
      <c r="U25" s="1952"/>
      <c r="V25" s="1952"/>
      <c r="W25" s="1952"/>
      <c r="X25" s="1952"/>
      <c r="Y25" s="1952"/>
      <c r="Z25" s="1952"/>
      <c r="AA25" s="19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49" t="s">
        <v>1591</v>
      </c>
      <c r="J27" s="2022"/>
      <c r="K27" s="2022"/>
      <c r="L27" s="2022"/>
      <c r="M27" s="2022"/>
      <c r="N27" s="2022"/>
      <c r="O27" s="2022"/>
      <c r="P27" s="2022"/>
      <c r="Q27" s="2022"/>
      <c r="R27" s="2022"/>
      <c r="S27" s="202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48" t="s">
        <v>2076</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5"/>
      <c r="Q35" s="1992"/>
      <c r="R35" s="19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4" t="s">
        <v>2096</v>
      </c>
      <c r="B38" s="2024"/>
      <c r="C38" s="2024"/>
      <c r="D38" s="2024"/>
      <c r="E38" s="2024"/>
      <c r="F38" s="1992"/>
      <c r="G38" s="1992"/>
      <c r="H38" s="1993"/>
      <c r="I38" s="2043"/>
      <c r="J38" s="1963"/>
      <c r="K38" s="1963"/>
      <c r="L38" s="1963"/>
      <c r="M38" s="1963"/>
      <c r="N38" s="1963"/>
      <c r="O38" s="1963"/>
      <c r="P38" s="1964"/>
      <c r="Q38" s="1964"/>
      <c r="R38" s="1964"/>
      <c r="S38" s="1965"/>
      <c r="T38" s="1962" t="s">
        <v>2092</v>
      </c>
      <c r="U38" s="1963"/>
      <c r="V38" s="1963"/>
      <c r="W38" s="1963"/>
      <c r="X38" s="1964"/>
      <c r="Y38" s="1964"/>
      <c r="Z38" s="1964"/>
      <c r="AA38" s="1965"/>
    </row>
    <row r="39" spans="1:27" ht="12" customHeight="1" x14ac:dyDescent="0.2">
      <c r="A39" s="2047" t="s">
        <v>552</v>
      </c>
      <c r="B39" s="2048"/>
      <c r="C39" s="72"/>
      <c r="D39" s="69"/>
      <c r="E39" s="69"/>
      <c r="F39" s="79"/>
      <c r="G39" s="69"/>
      <c r="H39" s="56"/>
      <c r="I39" s="2047" t="s">
        <v>552</v>
      </c>
      <c r="J39" s="2048"/>
      <c r="K39" s="2048"/>
      <c r="L39" s="2048"/>
      <c r="M39" s="2048"/>
      <c r="N39" s="67"/>
      <c r="O39" s="72"/>
      <c r="P39" s="72"/>
      <c r="Q39" s="78"/>
      <c r="R39" s="72"/>
      <c r="S39" s="56"/>
      <c r="T39" s="72" t="s">
        <v>552</v>
      </c>
      <c r="U39" s="51"/>
      <c r="V39" s="72"/>
      <c r="W39" s="50"/>
      <c r="X39" s="78"/>
      <c r="Y39" s="45"/>
      <c r="Z39" s="45"/>
      <c r="AA39" s="46"/>
    </row>
    <row r="40" spans="1:27" ht="13.5" customHeight="1" x14ac:dyDescent="0.2">
      <c r="A40" s="2050" t="s">
        <v>2090</v>
      </c>
      <c r="B40" s="2051"/>
      <c r="C40" s="2052"/>
      <c r="D40" s="2052"/>
      <c r="E40" s="2052"/>
      <c r="F40" s="2053"/>
      <c r="G40" s="2053"/>
      <c r="H40" s="2054"/>
      <c r="I40" s="1966"/>
      <c r="J40" s="1968"/>
      <c r="K40" s="1968"/>
      <c r="L40" s="1968"/>
      <c r="M40" s="1968"/>
      <c r="N40" s="1968"/>
      <c r="O40" s="1968"/>
      <c r="P40" s="1968"/>
      <c r="Q40" s="1968"/>
      <c r="R40" s="1968"/>
      <c r="S40" s="1969"/>
      <c r="T40" s="1966" t="s">
        <v>2093</v>
      </c>
      <c r="U40" s="1967"/>
      <c r="V40" s="1968"/>
      <c r="W40" s="1968"/>
      <c r="X40" s="1968"/>
      <c r="Y40" s="1968"/>
      <c r="Z40" s="1968"/>
      <c r="AA40" s="196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0" t="s">
        <v>2097</v>
      </c>
      <c r="B42" s="2041"/>
      <c r="C42" s="2042"/>
      <c r="D42" s="2055" t="s">
        <v>2098</v>
      </c>
      <c r="E42" s="2041"/>
      <c r="F42" s="2041"/>
      <c r="G42" s="2041"/>
      <c r="H42" s="2042"/>
      <c r="I42" s="1961"/>
      <c r="J42" s="1957"/>
      <c r="K42" s="1957"/>
      <c r="L42" s="1957"/>
      <c r="M42" s="1957"/>
      <c r="N42" s="1957"/>
      <c r="O42" s="1958"/>
      <c r="P42" s="1956"/>
      <c r="Q42" s="1957"/>
      <c r="R42" s="1957"/>
      <c r="S42" s="1958"/>
      <c r="T42" s="1961" t="s">
        <v>2094</v>
      </c>
      <c r="U42" s="1957"/>
      <c r="V42" s="1957"/>
      <c r="W42" s="1958"/>
      <c r="X42" s="1956" t="s">
        <v>2095</v>
      </c>
      <c r="Y42" s="1957"/>
      <c r="Z42" s="1957"/>
      <c r="AA42" s="195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4"/>
      <c r="B44" s="2045"/>
      <c r="C44" s="2045"/>
      <c r="D44" s="2045"/>
      <c r="E44" s="2045"/>
      <c r="F44" s="2045"/>
      <c r="G44" s="2045"/>
      <c r="H44" s="2046"/>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4000000000000001"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7" sqref="G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193" t="s">
        <v>1904</v>
      </c>
      <c r="B2" s="1550" t="s">
        <v>2036</v>
      </c>
      <c r="C2" s="715" t="s">
        <v>1909</v>
      </c>
      <c r="D2" s="715" t="s">
        <v>1910</v>
      </c>
      <c r="E2" s="715" t="s">
        <v>1911</v>
      </c>
      <c r="F2" s="715" t="s">
        <v>1912</v>
      </c>
    </row>
    <row r="3" spans="1:6" ht="12" customHeight="1" x14ac:dyDescent="0.2">
      <c r="A3" s="2194"/>
      <c r="B3" s="1547"/>
      <c r="C3" s="1548"/>
      <c r="D3" s="1549" t="s">
        <v>274</v>
      </c>
      <c r="E3" s="1548"/>
      <c r="F3" s="1549" t="s">
        <v>275</v>
      </c>
    </row>
    <row r="4" spans="1:6" ht="13.7" customHeight="1" x14ac:dyDescent="0.2">
      <c r="A4" s="716" t="s">
        <v>1217</v>
      </c>
      <c r="B4" s="1768">
        <f>'Revenues 9-14'!C5</f>
        <v>0</v>
      </c>
      <c r="C4" s="1546"/>
      <c r="D4" s="1771">
        <f>B4-C4</f>
        <v>0</v>
      </c>
      <c r="E4" s="1546"/>
      <c r="F4" s="1771">
        <f>E4-C4</f>
        <v>0</v>
      </c>
    </row>
    <row r="5" spans="1:6" ht="13.7" customHeight="1" x14ac:dyDescent="0.2">
      <c r="A5" s="716" t="s">
        <v>925</v>
      </c>
      <c r="B5" s="1769">
        <f>'Revenues 9-14'!D5</f>
        <v>0</v>
      </c>
      <c r="C5" s="585"/>
      <c r="D5" s="1772">
        <f t="shared" ref="D5:D18" si="0">B5-C5</f>
        <v>0</v>
      </c>
      <c r="E5" s="585"/>
      <c r="F5" s="1772">
        <f>E5-C5</f>
        <v>0</v>
      </c>
    </row>
    <row r="6" spans="1:6" ht="13.7" customHeight="1" x14ac:dyDescent="0.2">
      <c r="A6" s="716" t="s">
        <v>431</v>
      </c>
      <c r="B6" s="1769">
        <f>'Revenues 9-14'!E5</f>
        <v>0</v>
      </c>
      <c r="C6" s="585"/>
      <c r="D6" s="1772">
        <f t="shared" si="0"/>
        <v>0</v>
      </c>
      <c r="E6" s="585"/>
      <c r="F6" s="1772">
        <f t="shared" ref="F6:F18" si="1">E6-C6</f>
        <v>0</v>
      </c>
    </row>
    <row r="7" spans="1:6" ht="13.7" customHeight="1" x14ac:dyDescent="0.2">
      <c r="A7" s="716" t="s">
        <v>157</v>
      </c>
      <c r="B7" s="1769">
        <f>'Revenues 9-14'!F5</f>
        <v>0</v>
      </c>
      <c r="C7" s="585"/>
      <c r="D7" s="1772">
        <f t="shared" si="0"/>
        <v>0</v>
      </c>
      <c r="E7" s="585"/>
      <c r="F7" s="1772">
        <f t="shared" si="1"/>
        <v>0</v>
      </c>
    </row>
    <row r="8" spans="1:6" ht="13.7" customHeight="1" x14ac:dyDescent="0.2">
      <c r="A8" s="716" t="s">
        <v>1241</v>
      </c>
      <c r="B8" s="1769">
        <f>'Revenues 9-14'!G5</f>
        <v>0</v>
      </c>
      <c r="C8" s="585"/>
      <c r="D8" s="1772">
        <f t="shared" si="0"/>
        <v>0</v>
      </c>
      <c r="E8" s="585"/>
      <c r="F8" s="1772">
        <f t="shared" si="1"/>
        <v>0</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0</v>
      </c>
      <c r="C10" s="585"/>
      <c r="D10" s="1772">
        <f t="shared" si="0"/>
        <v>0</v>
      </c>
      <c r="E10" s="585"/>
      <c r="F10" s="1772">
        <f t="shared" si="1"/>
        <v>0</v>
      </c>
    </row>
    <row r="11" spans="1:6" x14ac:dyDescent="0.2">
      <c r="A11" s="716" t="s">
        <v>429</v>
      </c>
      <c r="B11" s="1769">
        <f>'Revenues 9-14'!J5</f>
        <v>0</v>
      </c>
      <c r="C11" s="585"/>
      <c r="D11" s="1772">
        <f t="shared" si="0"/>
        <v>0</v>
      </c>
      <c r="E11" s="585"/>
      <c r="F11" s="1772">
        <f t="shared" si="1"/>
        <v>0</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0</v>
      </c>
      <c r="C14" s="585"/>
      <c r="D14" s="1772">
        <f t="shared" si="0"/>
        <v>0</v>
      </c>
      <c r="E14" s="585"/>
      <c r="F14" s="1772">
        <f t="shared" si="1"/>
        <v>0</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0</v>
      </c>
      <c r="C16" s="585"/>
      <c r="D16" s="1772">
        <f t="shared" si="0"/>
        <v>0</v>
      </c>
      <c r="E16" s="585"/>
      <c r="F16" s="1772">
        <f t="shared" si="1"/>
        <v>0</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0</v>
      </c>
      <c r="C19" s="1770">
        <f>SUM(C4:C18)</f>
        <v>0</v>
      </c>
      <c r="D19" s="1770">
        <f>SUM(D4:D18)</f>
        <v>0</v>
      </c>
      <c r="E19" s="1770">
        <f>SUM(E4:E18)</f>
        <v>0</v>
      </c>
      <c r="F19" s="1770">
        <f>SUM(F4:F18)</f>
        <v>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4" colorId="8" zoomScale="110" zoomScaleNormal="110" workbookViewId="0">
      <selection activeCell="G7" sqref="G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650</v>
      </c>
      <c r="B1" s="2200"/>
      <c r="C1" s="722"/>
    </row>
    <row r="2" spans="1:7" ht="33.75" x14ac:dyDescent="0.2">
      <c r="A2" s="2208" t="s">
        <v>1904</v>
      </c>
      <c r="B2" s="2209"/>
      <c r="C2" s="1903" t="s">
        <v>2037</v>
      </c>
      <c r="D2" s="724" t="s">
        <v>2044</v>
      </c>
      <c r="E2" s="724" t="s">
        <v>2045</v>
      </c>
      <c r="F2" s="1903" t="s">
        <v>2038</v>
      </c>
    </row>
    <row r="3" spans="1:7" ht="15.75" customHeight="1" x14ac:dyDescent="0.2">
      <c r="A3" s="2212" t="s">
        <v>1176</v>
      </c>
      <c r="B3" s="2213"/>
      <c r="C3" s="2201"/>
      <c r="D3" s="2202"/>
      <c r="E3" s="2202"/>
      <c r="F3" s="2203"/>
    </row>
    <row r="4" spans="1:7" ht="12.75" customHeight="1" thickBot="1" x14ac:dyDescent="0.25">
      <c r="A4" s="2210" t="s">
        <v>651</v>
      </c>
      <c r="B4" s="2211"/>
      <c r="C4" s="581"/>
      <c r="D4" s="581"/>
      <c r="E4" s="581"/>
      <c r="F4" s="1774">
        <f>SUM(C4+D4)-E4</f>
        <v>0</v>
      </c>
    </row>
    <row r="5" spans="1:7" ht="15.75" customHeight="1" thickTop="1" x14ac:dyDescent="0.2">
      <c r="A5" s="2195" t="s">
        <v>1172</v>
      </c>
      <c r="B5" s="2196"/>
      <c r="C5" s="2204"/>
      <c r="D5" s="2205"/>
      <c r="E5" s="2205"/>
      <c r="F5" s="2206"/>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197" t="s">
        <v>652</v>
      </c>
      <c r="B15" s="2198"/>
      <c r="C15" s="1774">
        <f>SUM(C6:C14)</f>
        <v>0</v>
      </c>
      <c r="D15" s="1774">
        <f>SUM(D6:D14)</f>
        <v>0</v>
      </c>
      <c r="E15" s="1774">
        <f>SUM(E6:E14)</f>
        <v>0</v>
      </c>
      <c r="F15" s="1774">
        <f>SUM(F6:F14)</f>
        <v>0</v>
      </c>
      <c r="G15" s="552"/>
    </row>
    <row r="16" spans="1:7" s="202" customFormat="1" ht="15.75" customHeight="1" thickTop="1" x14ac:dyDescent="0.2">
      <c r="A16" s="2207" t="s">
        <v>1173</v>
      </c>
      <c r="B16" s="2196"/>
      <c r="C16" s="2204"/>
      <c r="D16" s="2205"/>
      <c r="E16" s="2205"/>
      <c r="F16" s="2206"/>
    </row>
    <row r="17" spans="1:11" ht="12.75" customHeight="1" thickBot="1" x14ac:dyDescent="0.25">
      <c r="A17" s="2220" t="s">
        <v>66</v>
      </c>
      <c r="B17" s="2221"/>
      <c r="C17" s="727"/>
      <c r="D17" s="585"/>
      <c r="E17" s="727"/>
      <c r="F17" s="1774">
        <f>SUM(C17+D17)-E17</f>
        <v>0</v>
      </c>
    </row>
    <row r="18" spans="1:11" ht="12.75" customHeight="1" thickTop="1" thickBot="1" x14ac:dyDescent="0.25">
      <c r="A18" s="2220" t="s">
        <v>6</v>
      </c>
      <c r="B18" s="2221"/>
      <c r="C18" s="727"/>
      <c r="D18" s="585"/>
      <c r="E18" s="727"/>
      <c r="F18" s="1774">
        <f>SUM(C18+D18)-E18</f>
        <v>0</v>
      </c>
    </row>
    <row r="19" spans="1:11" ht="12.75" customHeight="1" thickTop="1" thickBot="1" x14ac:dyDescent="0.25">
      <c r="A19" s="2220" t="s">
        <v>406</v>
      </c>
      <c r="B19" s="2221"/>
      <c r="C19" s="727"/>
      <c r="D19" s="585"/>
      <c r="E19" s="727"/>
      <c r="F19" s="1774">
        <f>SUM(C19+D19)-E19</f>
        <v>0</v>
      </c>
    </row>
    <row r="20" spans="1:11" ht="12.75" customHeight="1" thickTop="1" thickBot="1" x14ac:dyDescent="0.25">
      <c r="A20" s="2220" t="s">
        <v>468</v>
      </c>
      <c r="B20" s="2221"/>
      <c r="C20" s="727"/>
      <c r="D20" s="585"/>
      <c r="E20" s="727"/>
      <c r="F20" s="1774">
        <f>SUM(C20+D20)-E20</f>
        <v>0</v>
      </c>
    </row>
    <row r="21" spans="1:11" ht="14.25" thickTop="1" thickBot="1" x14ac:dyDescent="0.25">
      <c r="A21" s="2197" t="s">
        <v>653</v>
      </c>
      <c r="B21" s="2198"/>
      <c r="C21" s="1774">
        <f>SUM(C17:C20)</f>
        <v>0</v>
      </c>
      <c r="D21" s="1774">
        <f>SUM(D17:D20)</f>
        <v>0</v>
      </c>
      <c r="E21" s="1774">
        <f>SUM(E17:E20)</f>
        <v>0</v>
      </c>
      <c r="F21" s="1774">
        <f>SUM(F17:F20)</f>
        <v>0</v>
      </c>
      <c r="G21" s="552"/>
    </row>
    <row r="22" spans="1:11" ht="15.75" customHeight="1" thickTop="1" x14ac:dyDescent="0.2">
      <c r="A22" s="2222" t="s">
        <v>1174</v>
      </c>
      <c r="B22" s="2196"/>
      <c r="C22" s="2204"/>
      <c r="D22" s="2205"/>
      <c r="E22" s="2205"/>
      <c r="F22" s="2206"/>
    </row>
    <row r="23" spans="1:11" ht="13.5" thickBot="1" x14ac:dyDescent="0.25">
      <c r="A23" s="2210" t="s">
        <v>654</v>
      </c>
      <c r="B23" s="2211"/>
      <c r="C23" s="581"/>
      <c r="D23" s="581"/>
      <c r="E23" s="581"/>
      <c r="F23" s="1774">
        <f>SUM(C23+D23)-E23</f>
        <v>0</v>
      </c>
      <c r="G23" s="552"/>
    </row>
    <row r="24" spans="1:11" ht="15.75" customHeight="1" thickTop="1" x14ac:dyDescent="0.2">
      <c r="A24" s="2222" t="s">
        <v>1175</v>
      </c>
      <c r="B24" s="2196"/>
      <c r="C24" s="2204"/>
      <c r="D24" s="2205"/>
      <c r="E24" s="2205"/>
      <c r="F24" s="2206"/>
    </row>
    <row r="25" spans="1:11" ht="13.5" thickBot="1" x14ac:dyDescent="0.25">
      <c r="A25" s="2210" t="s">
        <v>655</v>
      </c>
      <c r="B25" s="2211"/>
      <c r="C25" s="581"/>
      <c r="D25" s="581"/>
      <c r="E25" s="581"/>
      <c r="F25" s="1774">
        <f>SUM(C25+D25)-E25</f>
        <v>0</v>
      </c>
      <c r="G25" s="552"/>
    </row>
    <row r="26" spans="1:11" ht="15.75" customHeight="1" thickTop="1" x14ac:dyDescent="0.2">
      <c r="A26" s="2195" t="s">
        <v>678</v>
      </c>
      <c r="B26" s="2196"/>
      <c r="C26" s="728"/>
      <c r="D26" s="728"/>
      <c r="E26" s="728"/>
      <c r="F26" s="729"/>
    </row>
    <row r="27" spans="1:11" ht="13.5" thickBot="1" x14ac:dyDescent="0.25">
      <c r="A27" s="2197" t="s">
        <v>1130</v>
      </c>
      <c r="B27" s="2198"/>
      <c r="C27" s="585"/>
      <c r="D27" s="585"/>
      <c r="E27" s="585"/>
      <c r="F27" s="1774">
        <f>SUM(C27+D27)-E27</f>
        <v>0</v>
      </c>
      <c r="G27" s="552"/>
    </row>
    <row r="28" spans="1:11" ht="7.5" customHeight="1" thickTop="1" x14ac:dyDescent="0.2">
      <c r="A28" s="594"/>
    </row>
    <row r="29" spans="1:11" ht="23.25" customHeight="1" x14ac:dyDescent="0.2">
      <c r="A29" s="2223" t="s">
        <v>603</v>
      </c>
      <c r="B29" s="2200"/>
      <c r="C29" s="730"/>
      <c r="D29" s="730"/>
      <c r="E29" s="730"/>
      <c r="F29" s="730"/>
      <c r="G29" s="730"/>
      <c r="H29" s="730"/>
      <c r="I29" s="730"/>
      <c r="J29" s="730"/>
    </row>
    <row r="30" spans="1:11" ht="33.75" x14ac:dyDescent="0.2">
      <c r="A30" s="1551" t="s">
        <v>1131</v>
      </c>
      <c r="B30" s="731" t="s">
        <v>1186</v>
      </c>
      <c r="C30" s="1904" t="s">
        <v>604</v>
      </c>
      <c r="D30" s="1904" t="s">
        <v>1772</v>
      </c>
      <c r="E30" s="1904" t="s">
        <v>2039</v>
      </c>
      <c r="F30" s="1904" t="s">
        <v>2040</v>
      </c>
      <c r="G30" s="1904" t="s">
        <v>2043</v>
      </c>
      <c r="H30" s="1904" t="s">
        <v>2041</v>
      </c>
      <c r="I30" s="1904" t="s">
        <v>2042</v>
      </c>
      <c r="J30" s="1905" t="s">
        <v>2</v>
      </c>
      <c r="K30" s="732"/>
    </row>
    <row r="31" spans="1:11" ht="12" customHeight="1" x14ac:dyDescent="0.2">
      <c r="A31" s="733"/>
      <c r="B31" s="734"/>
      <c r="C31" s="735"/>
      <c r="D31" s="736"/>
      <c r="E31" s="735"/>
      <c r="F31" s="735"/>
      <c r="G31" s="735"/>
      <c r="H31" s="735"/>
      <c r="I31" s="1775">
        <f>((E31+F31)-H31)+G31</f>
        <v>0</v>
      </c>
      <c r="J31" s="735"/>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0</v>
      </c>
      <c r="D49" s="746"/>
      <c r="E49" s="1775">
        <f t="shared" ref="E49:J49" si="2">SUM(E31:E48)</f>
        <v>0</v>
      </c>
      <c r="F49" s="1775">
        <f t="shared" si="2"/>
        <v>0</v>
      </c>
      <c r="G49" s="1775">
        <f t="shared" si="2"/>
        <v>0</v>
      </c>
      <c r="H49" s="1775">
        <f t="shared" si="2"/>
        <v>0</v>
      </c>
      <c r="I49" s="1775">
        <f t="shared" si="2"/>
        <v>0</v>
      </c>
      <c r="J49" s="1775">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0.5" header="0.5" footer="0.7"/>
  <pageSetup scale="68"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G7" sqref="G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911</v>
      </c>
      <c r="B1" s="2249"/>
      <c r="C1" s="2249"/>
      <c r="D1" s="2249"/>
      <c r="E1" s="2249"/>
      <c r="F1" s="2249"/>
      <c r="G1" s="2250"/>
      <c r="H1" s="1552"/>
      <c r="I1" s="761"/>
      <c r="J1" s="433"/>
    </row>
    <row r="2" spans="1:11" ht="26.25" x14ac:dyDescent="0.2">
      <c r="A2" s="2227" t="s">
        <v>1776</v>
      </c>
      <c r="B2" s="2228"/>
      <c r="C2" s="2228"/>
      <c r="D2" s="2228"/>
      <c r="E2" s="2229"/>
      <c r="F2" s="762" t="s">
        <v>960</v>
      </c>
      <c r="G2" s="763" t="s">
        <v>1773</v>
      </c>
      <c r="H2" s="763" t="s">
        <v>430</v>
      </c>
      <c r="I2" s="763" t="s">
        <v>1220</v>
      </c>
      <c r="J2" s="763" t="s">
        <v>1918</v>
      </c>
      <c r="K2" s="763" t="s">
        <v>140</v>
      </c>
    </row>
    <row r="3" spans="1:11" x14ac:dyDescent="0.2">
      <c r="A3" s="2230" t="s">
        <v>1698</v>
      </c>
      <c r="B3" s="2231"/>
      <c r="C3" s="2231"/>
      <c r="D3" s="2231"/>
      <c r="E3" s="2232"/>
      <c r="F3" s="764"/>
      <c r="G3" s="765"/>
      <c r="H3" s="765"/>
      <c r="I3" s="765"/>
      <c r="J3" s="766"/>
      <c r="K3" s="766"/>
    </row>
    <row r="4" spans="1:11" x14ac:dyDescent="0.2">
      <c r="A4" s="2233" t="s">
        <v>387</v>
      </c>
      <c r="B4" s="2234"/>
      <c r="C4" s="2234"/>
      <c r="D4" s="2234"/>
      <c r="E4" s="2215"/>
      <c r="F4" s="767"/>
      <c r="G4" s="768"/>
      <c r="H4" s="769"/>
      <c r="I4" s="768"/>
      <c r="J4" s="770"/>
      <c r="K4" s="770"/>
    </row>
    <row r="5" spans="1:11" x14ac:dyDescent="0.2">
      <c r="A5" s="2251" t="s">
        <v>1129</v>
      </c>
      <c r="B5" s="2224"/>
      <c r="C5" s="2224"/>
      <c r="D5" s="2224"/>
      <c r="E5" s="225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1" t="s">
        <v>1919</v>
      </c>
      <c r="B10" s="2224"/>
      <c r="C10" s="2224"/>
      <c r="D10" s="2224"/>
      <c r="E10" s="2253"/>
      <c r="F10" s="784" t="s">
        <v>917</v>
      </c>
      <c r="G10" s="783"/>
      <c r="H10" s="785"/>
      <c r="I10" s="765"/>
      <c r="J10" s="766"/>
      <c r="K10" s="766"/>
    </row>
    <row r="11" spans="1:11" x14ac:dyDescent="0.2">
      <c r="A11" s="2251" t="s">
        <v>162</v>
      </c>
      <c r="B11" s="2224"/>
      <c r="C11" s="2224"/>
      <c r="D11" s="2224"/>
      <c r="E11" s="2252"/>
      <c r="F11" s="771" t="s">
        <v>907</v>
      </c>
      <c r="G11" s="772"/>
      <c r="H11" s="765"/>
      <c r="I11" s="765"/>
      <c r="J11" s="766"/>
      <c r="K11" s="774"/>
    </row>
    <row r="12" spans="1:11" ht="13.5" thickBot="1" x14ac:dyDescent="0.25">
      <c r="A12" s="2241" t="s">
        <v>961</v>
      </c>
      <c r="B12" s="2242"/>
      <c r="C12" s="2242"/>
      <c r="D12" s="2242"/>
      <c r="E12" s="2243"/>
      <c r="F12" s="1776"/>
      <c r="G12" s="1777">
        <f>SUM(G5:G11)</f>
        <v>0</v>
      </c>
      <c r="H12" s="1777">
        <f>SUM(H5:H11)</f>
        <v>0</v>
      </c>
      <c r="I12" s="1777">
        <f>SUM(I5:I11)</f>
        <v>0</v>
      </c>
      <c r="J12" s="1777">
        <f>SUM(J5:J11)</f>
        <v>0</v>
      </c>
      <c r="K12" s="1777">
        <f>SUM(K5:K11)</f>
        <v>0</v>
      </c>
    </row>
    <row r="13" spans="1:11" ht="13.5" thickTop="1" x14ac:dyDescent="0.2">
      <c r="A13" s="2235" t="s">
        <v>388</v>
      </c>
      <c r="B13" s="2236"/>
      <c r="C13" s="2236"/>
      <c r="D13" s="2236"/>
      <c r="E13" s="2237"/>
      <c r="F13" s="786"/>
      <c r="G13" s="787"/>
      <c r="H13" s="788"/>
      <c r="I13" s="789"/>
      <c r="J13" s="789"/>
      <c r="K13" s="789"/>
    </row>
    <row r="14" spans="1:11" x14ac:dyDescent="0.2">
      <c r="A14" s="2257" t="s">
        <v>476</v>
      </c>
      <c r="B14" s="2257"/>
      <c r="C14" s="2257"/>
      <c r="D14" s="2257"/>
      <c r="E14" s="2258"/>
      <c r="F14" s="790" t="s">
        <v>909</v>
      </c>
      <c r="G14" s="783"/>
      <c r="H14" s="765"/>
      <c r="I14" s="772"/>
      <c r="J14" s="774"/>
      <c r="K14" s="766"/>
    </row>
    <row r="15" spans="1:11" x14ac:dyDescent="0.2">
      <c r="A15" s="2224" t="s">
        <v>4</v>
      </c>
      <c r="B15" s="2224"/>
      <c r="C15" s="2224"/>
      <c r="D15" s="2224"/>
      <c r="E15" s="2252"/>
      <c r="F15" s="790" t="s">
        <v>910</v>
      </c>
      <c r="G15" s="772"/>
      <c r="H15" s="765"/>
      <c r="I15" s="765"/>
      <c r="J15" s="766"/>
      <c r="K15" s="766"/>
    </row>
    <row r="16" spans="1:11" x14ac:dyDescent="0.2">
      <c r="A16" s="2224" t="s">
        <v>316</v>
      </c>
      <c r="B16" s="2224"/>
      <c r="C16" s="2224"/>
      <c r="D16" s="2224"/>
      <c r="E16" s="2252"/>
      <c r="F16" s="790" t="s">
        <v>980</v>
      </c>
      <c r="G16" s="773"/>
      <c r="H16" s="768"/>
      <c r="I16" s="768"/>
      <c r="J16" s="770"/>
      <c r="K16" s="770"/>
    </row>
    <row r="17" spans="1:11" x14ac:dyDescent="0.2">
      <c r="A17" s="2246" t="s">
        <v>992</v>
      </c>
      <c r="B17" s="2246"/>
      <c r="C17" s="2246"/>
      <c r="D17" s="2246"/>
      <c r="E17" s="2247"/>
      <c r="F17" s="791"/>
      <c r="G17" s="792"/>
      <c r="H17" s="793"/>
      <c r="I17" s="793"/>
      <c r="J17" s="794"/>
      <c r="K17" s="795"/>
    </row>
    <row r="18" spans="1:11" x14ac:dyDescent="0.2">
      <c r="A18" s="2238" t="s">
        <v>386</v>
      </c>
      <c r="B18" s="2239"/>
      <c r="C18" s="2239"/>
      <c r="D18" s="2239"/>
      <c r="E18" s="2240"/>
      <c r="F18" s="790" t="s">
        <v>989</v>
      </c>
      <c r="G18" s="783"/>
      <c r="H18" s="783"/>
      <c r="I18" s="783"/>
      <c r="J18" s="766"/>
      <c r="K18" s="796"/>
    </row>
    <row r="19" spans="1:11" ht="21.75" customHeight="1" x14ac:dyDescent="0.2">
      <c r="A19" s="2259" t="s">
        <v>1915</v>
      </c>
      <c r="B19" s="2259"/>
      <c r="C19" s="2259"/>
      <c r="D19" s="2259"/>
      <c r="E19" s="2260"/>
      <c r="F19" s="790" t="s">
        <v>990</v>
      </c>
      <c r="G19" s="783"/>
      <c r="H19" s="783"/>
      <c r="I19" s="783"/>
      <c r="J19" s="766"/>
      <c r="K19" s="796"/>
    </row>
    <row r="20" spans="1:11" x14ac:dyDescent="0.2">
      <c r="A20" s="2238" t="s">
        <v>1920</v>
      </c>
      <c r="B20" s="2239"/>
      <c r="C20" s="2239"/>
      <c r="D20" s="2239"/>
      <c r="E20" s="2240"/>
      <c r="F20" s="790" t="s">
        <v>991</v>
      </c>
      <c r="G20" s="783"/>
      <c r="H20" s="783"/>
      <c r="I20" s="783"/>
      <c r="J20" s="766"/>
      <c r="K20" s="796"/>
    </row>
    <row r="21" spans="1:11" ht="13.5" thickBot="1" x14ac:dyDescent="0.25">
      <c r="A21" s="2244" t="s">
        <v>659</v>
      </c>
      <c r="B21" s="2244"/>
      <c r="C21" s="2244"/>
      <c r="D21" s="2244"/>
      <c r="E21" s="2244"/>
      <c r="F21" s="1778"/>
      <c r="G21" s="793"/>
      <c r="H21" s="797"/>
      <c r="I21" s="797"/>
      <c r="J21" s="1779">
        <f>SUM(J18:J20)</f>
        <v>0</v>
      </c>
      <c r="K21" s="794"/>
    </row>
    <row r="22" spans="1:11" ht="13.5" thickTop="1" x14ac:dyDescent="0.2">
      <c r="A22" s="2224" t="s">
        <v>1921</v>
      </c>
      <c r="B22" s="2224"/>
      <c r="C22" s="2224"/>
      <c r="D22" s="2224"/>
      <c r="E22" s="2252"/>
      <c r="F22" s="790" t="s">
        <v>917</v>
      </c>
      <c r="G22" s="783"/>
      <c r="H22" s="765"/>
      <c r="I22" s="765"/>
      <c r="J22" s="798"/>
      <c r="K22" s="766"/>
    </row>
    <row r="23" spans="1:11" ht="13.5" thickBot="1" x14ac:dyDescent="0.25">
      <c r="A23" s="2245" t="s">
        <v>962</v>
      </c>
      <c r="B23" s="2244"/>
      <c r="C23" s="2244"/>
      <c r="D23" s="2244"/>
      <c r="E23" s="2244"/>
      <c r="F23" s="1780"/>
      <c r="G23" s="1777">
        <f>SUM(G14:G16,G21,G22)</f>
        <v>0</v>
      </c>
      <c r="H23" s="1777">
        <f>SUM(H14:H16,H21,H22)</f>
        <v>0</v>
      </c>
      <c r="I23" s="1777">
        <f>SUM(I14:I16,I21,I22)</f>
        <v>0</v>
      </c>
      <c r="J23" s="1777">
        <f>SUM(J14:J16,J21,J22)</f>
        <v>0</v>
      </c>
      <c r="K23" s="1777">
        <f>SUM(K14:K16,K21,K22)</f>
        <v>0</v>
      </c>
    </row>
    <row r="24" spans="1:11" ht="14.25" thickTop="1" thickBot="1" x14ac:dyDescent="0.25">
      <c r="A24" s="2245" t="s">
        <v>2025</v>
      </c>
      <c r="B24" s="2244"/>
      <c r="C24" s="2244"/>
      <c r="D24" s="2244"/>
      <c r="E24" s="2244"/>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2035</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4"/>
      <c r="I31" s="2255"/>
      <c r="J31" s="2255"/>
      <c r="K31" s="2255"/>
    </row>
    <row r="32" spans="1:11" x14ac:dyDescent="0.2">
      <c r="A32" s="810"/>
      <c r="B32" s="237"/>
      <c r="C32" s="237"/>
      <c r="D32" s="237"/>
      <c r="E32" s="806"/>
      <c r="F32" s="812" t="s">
        <v>561</v>
      </c>
      <c r="G32" s="765"/>
      <c r="H32" s="2256"/>
      <c r="I32" s="2255"/>
      <c r="J32" s="2255"/>
      <c r="K32" s="2255"/>
    </row>
    <row r="33" spans="1:11" ht="1.5" customHeight="1" x14ac:dyDescent="0.2">
      <c r="A33" s="813" t="s">
        <v>1231</v>
      </c>
      <c r="B33" s="364"/>
      <c r="C33" s="364"/>
      <c r="D33" s="364"/>
      <c r="E33" s="364"/>
      <c r="F33" s="364"/>
      <c r="G33" s="814"/>
      <c r="H33" s="2256"/>
      <c r="I33" s="2255"/>
      <c r="J33" s="2255"/>
      <c r="K33" s="2255"/>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4" t="s">
        <v>562</v>
      </c>
      <c r="B41" s="2225"/>
      <c r="C41" s="2225"/>
      <c r="D41" s="2225"/>
      <c r="E41" s="2225"/>
      <c r="F41" s="222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topLeftCell="A7" colorId="8" zoomScale="110" zoomScaleNormal="110" workbookViewId="0">
      <selection activeCell="G7" sqref="G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2034</v>
      </c>
      <c r="B1" s="2264"/>
      <c r="C1" s="2265"/>
      <c r="D1" s="827"/>
      <c r="E1" s="828"/>
      <c r="F1" s="828"/>
      <c r="G1" s="829"/>
      <c r="H1" s="830"/>
      <c r="I1" s="831"/>
      <c r="J1" s="2261"/>
      <c r="K1" s="2262"/>
      <c r="L1" s="2262"/>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79">
        <f>(C5+D5)-E5</f>
        <v>0</v>
      </c>
      <c r="G5" s="838"/>
      <c r="H5" s="843"/>
      <c r="I5" s="843"/>
      <c r="J5" s="843"/>
      <c r="K5" s="794"/>
      <c r="L5" s="1788">
        <f>F5-K5</f>
        <v>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15589</v>
      </c>
      <c r="D8" s="845"/>
      <c r="E8" s="845"/>
      <c r="F8" s="1779">
        <f>(C8+D8)-E8</f>
        <v>15589</v>
      </c>
      <c r="G8" s="844">
        <v>50</v>
      </c>
      <c r="H8" s="766">
        <v>12472</v>
      </c>
      <c r="I8" s="766">
        <v>312</v>
      </c>
      <c r="J8" s="766"/>
      <c r="K8" s="1788">
        <f>(H8+I8)-J8</f>
        <v>12784</v>
      </c>
      <c r="L8" s="1788">
        <f>F8-K8</f>
        <v>2805</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c r="D10" s="847"/>
      <c r="E10" s="847"/>
      <c r="F10" s="1783">
        <f>(C10+D10)-E10</f>
        <v>0</v>
      </c>
      <c r="G10" s="844">
        <v>20</v>
      </c>
      <c r="H10" s="848"/>
      <c r="I10" s="848"/>
      <c r="J10" s="848"/>
      <c r="K10" s="1788">
        <f>(H10+I10)-J10</f>
        <v>0</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350321</v>
      </c>
      <c r="D12" s="845"/>
      <c r="E12" s="845"/>
      <c r="F12" s="1779">
        <f>(C12+D12)-E12</f>
        <v>350321</v>
      </c>
      <c r="G12" s="844">
        <v>10</v>
      </c>
      <c r="H12" s="766">
        <v>333720</v>
      </c>
      <c r="I12" s="766">
        <v>3153</v>
      </c>
      <c r="J12" s="766"/>
      <c r="K12" s="1788">
        <f>(H12+I12)-J12</f>
        <v>336873</v>
      </c>
      <c r="L12" s="1788">
        <f>F12-K12</f>
        <v>13448</v>
      </c>
    </row>
    <row r="13" spans="1:14" ht="14.25" thickTop="1" thickBot="1" x14ac:dyDescent="0.25">
      <c r="A13" s="849" t="s">
        <v>1184</v>
      </c>
      <c r="B13" s="841">
        <v>252</v>
      </c>
      <c r="C13" s="845"/>
      <c r="D13" s="845"/>
      <c r="E13" s="845"/>
      <c r="F13" s="1779">
        <f>(C13+D13)-E13</f>
        <v>0</v>
      </c>
      <c r="G13" s="844">
        <v>5</v>
      </c>
      <c r="H13" s="766"/>
      <c r="I13" s="766"/>
      <c r="J13" s="766"/>
      <c r="K13" s="1788">
        <f>(H13+I13)-J13</f>
        <v>0</v>
      </c>
      <c r="L13" s="1788">
        <f>F13-K13</f>
        <v>0</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365910</v>
      </c>
      <c r="D16" s="1779">
        <f>SUM(D3,D5:D6,D8:D10,D12:D15)</f>
        <v>0</v>
      </c>
      <c r="E16" s="1779">
        <f>SUM(E3,E5:E6,E8:E10,E12:E15)</f>
        <v>0</v>
      </c>
      <c r="F16" s="1779">
        <f>SUM(F3,F5:F6,F8:F10,F12:F15)</f>
        <v>365910</v>
      </c>
      <c r="G16" s="844"/>
      <c r="H16" s="1779">
        <f>SUM(H3,H6,H8:H10,H12:H14,)</f>
        <v>346192</v>
      </c>
      <c r="I16" s="1779">
        <f>SUM(I3,I6,I8:I10,I12:I14,)</f>
        <v>3465</v>
      </c>
      <c r="J16" s="1779">
        <f>SUM(J3,J6,J8:J10,J12:J14,)</f>
        <v>0</v>
      </c>
      <c r="K16" s="1779">
        <f>(H16+I16)-J16</f>
        <v>349657</v>
      </c>
      <c r="L16" s="1779">
        <f>F16-K16</f>
        <v>16253</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3465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G7" sqref="G7"/>
      <selection pane="bottomLeft" activeCell="G7" sqref="G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9" t="s">
        <v>1699</v>
      </c>
      <c r="B1" s="2270"/>
      <c r="C1" s="2270"/>
      <c r="D1" s="2270"/>
      <c r="E1" s="2270"/>
      <c r="F1" s="2271"/>
      <c r="G1" s="856"/>
    </row>
    <row r="2" spans="1:7" ht="15" customHeight="1" thickBot="1" x14ac:dyDescent="0.25">
      <c r="A2" s="2272" t="s">
        <v>498</v>
      </c>
      <c r="B2" s="2273"/>
      <c r="C2" s="2273"/>
      <c r="D2" s="2273"/>
      <c r="E2" s="2273"/>
      <c r="F2" s="227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5"/>
      <c r="B5" s="2276"/>
      <c r="C5" s="2276"/>
      <c r="D5" s="2276"/>
      <c r="E5" s="2276"/>
      <c r="F5" s="2276"/>
    </row>
    <row r="6" spans="1:7" ht="13.5" customHeight="1" thickBot="1" x14ac:dyDescent="0.25">
      <c r="A6" s="2266" t="s">
        <v>1166</v>
      </c>
      <c r="B6" s="2267"/>
      <c r="C6" s="2267"/>
      <c r="D6" s="2267"/>
      <c r="E6" s="2267"/>
      <c r="F6" s="226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334682</v>
      </c>
      <c r="G8" s="866"/>
    </row>
    <row r="9" spans="1:7" x14ac:dyDescent="0.2">
      <c r="A9" s="870" t="s">
        <v>480</v>
      </c>
      <c r="B9" s="871" t="s">
        <v>1988</v>
      </c>
      <c r="C9" s="872"/>
      <c r="D9" s="870" t="s">
        <v>522</v>
      </c>
      <c r="E9" s="869"/>
      <c r="F9" s="1929">
        <f>'Expenditures 15-22'!K151</f>
        <v>0</v>
      </c>
      <c r="G9" s="873"/>
    </row>
    <row r="10" spans="1:7" x14ac:dyDescent="0.2">
      <c r="A10" s="870" t="s">
        <v>520</v>
      </c>
      <c r="B10" s="871" t="s">
        <v>1989</v>
      </c>
      <c r="C10" s="872"/>
      <c r="D10" s="870" t="s">
        <v>522</v>
      </c>
      <c r="E10" s="869"/>
      <c r="F10" s="1929">
        <f>'Expenditures 15-22'!K174</f>
        <v>0</v>
      </c>
      <c r="G10" s="873"/>
    </row>
    <row r="11" spans="1:7" x14ac:dyDescent="0.2">
      <c r="A11" s="870" t="s">
        <v>481</v>
      </c>
      <c r="B11" s="871" t="s">
        <v>1990</v>
      </c>
      <c r="C11" s="872"/>
      <c r="D11" s="870" t="s">
        <v>522</v>
      </c>
      <c r="E11" s="869"/>
      <c r="F11" s="1929">
        <f>'Expenditures 15-22'!K210</f>
        <v>0</v>
      </c>
      <c r="G11" s="873"/>
    </row>
    <row r="12" spans="1:7" x14ac:dyDescent="0.2">
      <c r="A12" s="870" t="s">
        <v>482</v>
      </c>
      <c r="B12" s="871" t="s">
        <v>1991</v>
      </c>
      <c r="C12" s="872"/>
      <c r="D12" s="870" t="s">
        <v>522</v>
      </c>
      <c r="E12" s="869"/>
      <c r="F12" s="1929">
        <f>'Expenditures 15-22'!K295</f>
        <v>0</v>
      </c>
      <c r="G12" s="873"/>
    </row>
    <row r="13" spans="1:7" x14ac:dyDescent="0.2">
      <c r="A13" s="870" t="s">
        <v>108</v>
      </c>
      <c r="B13" s="871" t="s">
        <v>1992</v>
      </c>
      <c r="C13" s="872"/>
      <c r="D13" s="870" t="s">
        <v>522</v>
      </c>
      <c r="E13" s="869"/>
      <c r="F13" s="1929">
        <f>'Expenditures 15-22'!K342</f>
        <v>0</v>
      </c>
      <c r="G13" s="874"/>
    </row>
    <row r="14" spans="1:7" ht="12" customHeight="1" thickBot="1" x14ac:dyDescent="0.25">
      <c r="A14" s="1789"/>
      <c r="B14" s="1790"/>
      <c r="C14" s="1791"/>
      <c r="D14" s="1792" t="s">
        <v>522</v>
      </c>
      <c r="E14" s="1793" t="s">
        <v>1015</v>
      </c>
      <c r="F14" s="1794">
        <f>SUM(F8:F13)</f>
        <v>334682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0</v>
      </c>
      <c r="G53" s="866"/>
    </row>
    <row r="54" spans="1:7" x14ac:dyDescent="0.2">
      <c r="A54" s="870" t="s">
        <v>479</v>
      </c>
      <c r="B54" s="870" t="s">
        <v>1552</v>
      </c>
      <c r="C54" s="890" t="s">
        <v>1039</v>
      </c>
      <c r="D54" s="886" t="s">
        <v>1157</v>
      </c>
      <c r="E54" s="869"/>
      <c r="F54" s="1933">
        <f>'Expenditures 15-22'!G114</f>
        <v>0</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0</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0</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0</v>
      </c>
      <c r="G76" s="866"/>
    </row>
    <row r="77" spans="1:8" s="894" customFormat="1" ht="12" customHeight="1" thickTop="1" thickBot="1" x14ac:dyDescent="0.25">
      <c r="A77" s="1798"/>
      <c r="B77" s="1795"/>
      <c r="C77" s="1791"/>
      <c r="D77" s="1796" t="s">
        <v>2011</v>
      </c>
      <c r="E77" s="1793"/>
      <c r="F77" s="1799">
        <f>(F14-F76)</f>
        <v>334682</v>
      </c>
      <c r="G77" s="870"/>
    </row>
    <row r="78" spans="1:8" s="894" customFormat="1" ht="12" customHeight="1" thickTop="1" x14ac:dyDescent="0.2">
      <c r="A78" s="1800"/>
      <c r="B78" s="1795"/>
      <c r="C78" s="1791"/>
      <c r="D78" s="1796" t="s">
        <v>2058</v>
      </c>
      <c r="E78" s="1793"/>
      <c r="F78" s="899">
        <v>0</v>
      </c>
      <c r="G78" s="900"/>
      <c r="H78" s="870"/>
    </row>
    <row r="79" spans="1:8" s="894" customFormat="1" ht="12" customHeight="1" thickBot="1" x14ac:dyDescent="0.25">
      <c r="A79" s="1801"/>
      <c r="B79" s="1795"/>
      <c r="C79" s="1791"/>
      <c r="D79" s="1796" t="s">
        <v>2012</v>
      </c>
      <c r="E79" s="1793" t="s">
        <v>1015</v>
      </c>
      <c r="F79" s="1802"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6" t="s">
        <v>1167</v>
      </c>
      <c r="B81" s="2267"/>
      <c r="C81" s="2267"/>
      <c r="D81" s="2267"/>
      <c r="E81" s="2267"/>
      <c r="F81" s="226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0</v>
      </c>
      <c r="G94" s="913"/>
    </row>
    <row r="95" spans="1:7" x14ac:dyDescent="0.2">
      <c r="A95" s="909" t="s">
        <v>142</v>
      </c>
      <c r="B95" s="909" t="s">
        <v>177</v>
      </c>
      <c r="C95" s="911">
        <v>1700</v>
      </c>
      <c r="D95" s="919" t="str">
        <f>'Revenues 9-14'!A82</f>
        <v>Total District/School Activity Income</v>
      </c>
      <c r="E95" s="907"/>
      <c r="F95" s="1808">
        <f>SUM('Revenues 9-14'!C82,'Revenues 9-14'!D82)</f>
        <v>2400</v>
      </c>
      <c r="G95" s="913"/>
    </row>
    <row r="96" spans="1:7" x14ac:dyDescent="0.2">
      <c r="A96" s="909" t="s">
        <v>479</v>
      </c>
      <c r="B96" s="909" t="s">
        <v>178</v>
      </c>
      <c r="C96" s="911">
        <f>'Revenues 9-14'!B84</f>
        <v>1811</v>
      </c>
      <c r="D96" s="912" t="str">
        <f>'Revenues 9-14'!A84</f>
        <v>Rentals - Regular Textbooks</v>
      </c>
      <c r="E96" s="907"/>
      <c r="F96" s="1808">
        <f>'Revenues 9-14'!C84</f>
        <v>0</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0</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222017</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2249</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0</v>
      </c>
      <c r="G129" s="931"/>
    </row>
    <row r="130" spans="1:7" x14ac:dyDescent="0.2">
      <c r="A130" s="928" t="s">
        <v>689</v>
      </c>
      <c r="B130" s="928" t="s">
        <v>804</v>
      </c>
      <c r="C130" s="933">
        <v>4300</v>
      </c>
      <c r="D130" s="934" t="str">
        <f>'Revenues 9-14'!A211</f>
        <v>Total Title I</v>
      </c>
      <c r="E130" s="907"/>
      <c r="F130" s="1808">
        <f>SUM('Revenues 9-14'!C211,'Revenues 9-14'!D211,'Revenues 9-14'!F211,'Revenues 9-14'!G211)</f>
        <v>0</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2057</v>
      </c>
      <c r="C175" s="1940">
        <v>3100</v>
      </c>
      <c r="D175" s="1941" t="s">
        <v>2060</v>
      </c>
      <c r="E175" s="907"/>
      <c r="F175" s="1925"/>
      <c r="G175" s="928"/>
    </row>
    <row r="176" spans="1:7" x14ac:dyDescent="0.2">
      <c r="A176" s="1938" t="s">
        <v>685</v>
      </c>
      <c r="B176" s="1939" t="s">
        <v>2057</v>
      </c>
      <c r="C176" s="1940">
        <v>3300</v>
      </c>
      <c r="D176" s="1941" t="s">
        <v>2061</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226666</v>
      </c>
    </row>
    <row r="179" spans="1:7" ht="12" customHeight="1" x14ac:dyDescent="0.2">
      <c r="A179" s="1789"/>
      <c r="B179" s="1803"/>
      <c r="C179" s="1804"/>
      <c r="D179" s="1805" t="s">
        <v>2014</v>
      </c>
      <c r="E179" s="1806"/>
      <c r="F179" s="1808">
        <f>'PCTC-OEPP 27-28'!F77-F178</f>
        <v>108016</v>
      </c>
    </row>
    <row r="180" spans="1:7" ht="12" customHeight="1" x14ac:dyDescent="0.2">
      <c r="A180" s="1789"/>
      <c r="B180" s="1803"/>
      <c r="C180" s="1804"/>
      <c r="D180" s="1805" t="s">
        <v>1923</v>
      </c>
      <c r="E180" s="1806"/>
      <c r="F180" s="1808">
        <f>'Cap Outlay Deprec 26'!I18</f>
        <v>3465</v>
      </c>
    </row>
    <row r="181" spans="1:7" ht="12" customHeight="1" x14ac:dyDescent="0.2">
      <c r="A181" s="1789"/>
      <c r="B181" s="1803"/>
      <c r="C181" s="1804"/>
      <c r="D181" s="1805" t="s">
        <v>2015</v>
      </c>
      <c r="E181" s="1806"/>
      <c r="F181" s="1808">
        <f>F179+F180</f>
        <v>111481</v>
      </c>
    </row>
    <row r="182" spans="1:7" ht="12" customHeight="1" x14ac:dyDescent="0.2">
      <c r="A182" s="1789"/>
      <c r="B182" s="1809"/>
      <c r="C182" s="1804"/>
      <c r="D182" s="1805" t="str">
        <f>D78</f>
        <v>9 Month ADA from District Average Daily Attendance/Prior General State Aid Inquiry 2017-2018</v>
      </c>
      <c r="E182" s="1806"/>
      <c r="F182" s="1810">
        <f>'PCTC-OEPP 27-28'!F78</f>
        <v>0</v>
      </c>
      <c r="G182" s="931"/>
    </row>
    <row r="183" spans="1:7" ht="12" customHeight="1" thickBot="1" x14ac:dyDescent="0.25">
      <c r="A183" s="1789"/>
      <c r="B183" s="1809"/>
      <c r="C183" s="1804"/>
      <c r="D183" s="1805" t="s">
        <v>2016</v>
      </c>
      <c r="E183" s="1806" t="s">
        <v>1626</v>
      </c>
      <c r="F183" s="1811" t="e">
        <f>F181/F182</f>
        <v>#DIV/0!</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2" customFormat="1" ht="12.2" customHeight="1" x14ac:dyDescent="0.2">
      <c r="A186" s="1942" t="s">
        <v>2064</v>
      </c>
      <c r="B186" s="1943"/>
      <c r="C186" s="1944"/>
      <c r="D186" s="1943"/>
      <c r="E186" s="1944"/>
      <c r="F186" s="1943"/>
      <c r="G186" s="1943"/>
    </row>
    <row r="187" spans="1:7" s="1942" customFormat="1" ht="12.2" customHeight="1" x14ac:dyDescent="0.2">
      <c r="A187" s="1945" t="s">
        <v>2065</v>
      </c>
      <c r="C187" s="1944"/>
      <c r="D187" s="1943"/>
      <c r="E187" s="1944"/>
      <c r="F187" s="1943"/>
      <c r="G187" s="1943"/>
    </row>
    <row r="188" spans="1:7" ht="12" customHeight="1" x14ac:dyDescent="0.2">
      <c r="C188" s="950"/>
      <c r="D188" s="931"/>
      <c r="E188" s="950"/>
      <c r="F188" s="931"/>
      <c r="G188" s="931"/>
    </row>
    <row r="189" spans="1:7" x14ac:dyDescent="0.2">
      <c r="A189" s="1946" t="s">
        <v>2063</v>
      </c>
      <c r="B189" s="1947"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activeCell="G7" sqref="G7"/>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80" t="s">
        <v>1924</v>
      </c>
      <c r="B4" s="2281"/>
      <c r="C4" s="2281"/>
      <c r="D4" s="2281"/>
      <c r="E4" s="2281"/>
      <c r="F4" s="2281"/>
      <c r="G4" s="2282"/>
    </row>
    <row r="5" spans="1:7" x14ac:dyDescent="0.25">
      <c r="A5" s="2283"/>
      <c r="B5" s="2284"/>
      <c r="C5" s="2284"/>
      <c r="D5" s="2284"/>
      <c r="E5" s="2284"/>
      <c r="F5" s="2284"/>
      <c r="G5" s="2285"/>
    </row>
    <row r="6" spans="1:7" ht="18.75" x14ac:dyDescent="0.25">
      <c r="A6" s="1556" t="s">
        <v>1925</v>
      </c>
      <c r="B6" s="1557"/>
      <c r="C6" s="1557"/>
      <c r="D6" s="1557"/>
      <c r="E6" s="1557"/>
      <c r="F6" s="1557"/>
      <c r="G6" s="1558"/>
    </row>
    <row r="7" spans="1:7" ht="30.75" customHeight="1" x14ac:dyDescent="0.25">
      <c r="A7" s="2286" t="s">
        <v>2074</v>
      </c>
      <c r="B7" s="2287"/>
      <c r="C7" s="2287"/>
      <c r="D7" s="2287"/>
      <c r="E7" s="2287"/>
      <c r="F7" s="2287"/>
      <c r="G7" s="2288"/>
    </row>
    <row r="8" spans="1:7" ht="15.75" customHeight="1" x14ac:dyDescent="0.25">
      <c r="A8" s="2289" t="s">
        <v>2023</v>
      </c>
      <c r="B8" s="2290"/>
      <c r="C8" s="2290"/>
      <c r="D8" s="2290"/>
      <c r="E8" s="2290"/>
      <c r="F8" s="2290"/>
      <c r="G8" s="2291"/>
    </row>
    <row r="9" spans="1:7" ht="35.25" customHeight="1" x14ac:dyDescent="0.25">
      <c r="A9" s="2286" t="s">
        <v>2022</v>
      </c>
      <c r="B9" s="2287"/>
      <c r="C9" s="2287"/>
      <c r="D9" s="2287"/>
      <c r="E9" s="2287"/>
      <c r="F9" s="2287"/>
      <c r="G9" s="2288"/>
    </row>
    <row r="10" spans="1:7" ht="15" customHeight="1" x14ac:dyDescent="0.25">
      <c r="A10" s="1559" t="s">
        <v>1926</v>
      </c>
      <c r="B10" s="1560"/>
      <c r="C10" s="1560"/>
      <c r="D10" s="1560"/>
      <c r="E10" s="1560"/>
      <c r="F10" s="1560"/>
      <c r="G10" s="1561"/>
    </row>
    <row r="11" spans="1:7" ht="17.25" customHeight="1" x14ac:dyDescent="0.25">
      <c r="A11" s="2286" t="s">
        <v>1940</v>
      </c>
      <c r="B11" s="2287"/>
      <c r="C11" s="2287"/>
      <c r="D11" s="2287"/>
      <c r="E11" s="2287"/>
      <c r="F11" s="2287"/>
      <c r="G11" s="2288"/>
    </row>
    <row r="12" spans="1:7" ht="15" customHeight="1" x14ac:dyDescent="0.25">
      <c r="A12" s="1559" t="s">
        <v>1931</v>
      </c>
      <c r="B12" s="1560"/>
      <c r="C12" s="1560"/>
      <c r="D12" s="1560"/>
      <c r="E12" s="1560"/>
      <c r="F12" s="1560"/>
      <c r="G12" s="1561"/>
    </row>
    <row r="13" spans="1:7" ht="32.25" customHeight="1" x14ac:dyDescent="0.25">
      <c r="A13" s="2277" t="s">
        <v>1932</v>
      </c>
      <c r="B13" s="2278"/>
      <c r="C13" s="2278"/>
      <c r="D13" s="2278"/>
      <c r="E13" s="2278"/>
      <c r="F13" s="2278"/>
      <c r="G13" s="2279"/>
    </row>
    <row r="14" spans="1:7" x14ac:dyDescent="0.25">
      <c r="A14" s="1680" t="s">
        <v>1941</v>
      </c>
      <c r="B14" s="1681"/>
      <c r="C14" s="1681"/>
      <c r="D14" s="1681"/>
      <c r="E14" s="1681"/>
      <c r="F14" s="1681"/>
      <c r="G14" s="1682"/>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69" t="s">
        <v>1942</v>
      </c>
      <c r="B16" s="1670" t="s">
        <v>1930</v>
      </c>
      <c r="C16" s="1671" t="s">
        <v>1928</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950" t="s">
        <v>2100</v>
      </c>
      <c r="B17" s="1686"/>
      <c r="C17" s="1675"/>
      <c r="D17" s="1863"/>
      <c r="E17" s="1562">
        <f t="shared" ref="E17:E19" si="1">IF(D17&lt;=25000,D17,IF(D17&gt;25000,25000,0))</f>
        <v>0</v>
      </c>
      <c r="F17" s="1812">
        <f t="shared" ref="F17:F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3">
        <f t="shared" ref="G17:G19" si="3">IF(F17=0,0,D17-F17)</f>
        <v>0</v>
      </c>
    </row>
    <row r="18" spans="1:7" x14ac:dyDescent="0.25">
      <c r="A18" s="1674"/>
      <c r="B18" s="1686"/>
      <c r="C18" s="1675"/>
      <c r="D18" s="1863"/>
      <c r="E18" s="1562">
        <f t="shared" si="1"/>
        <v>0</v>
      </c>
      <c r="F18" s="1812">
        <f t="shared" si="2"/>
        <v>0</v>
      </c>
      <c r="G18" s="1813">
        <f t="shared" si="3"/>
        <v>0</v>
      </c>
    </row>
    <row r="19" spans="1:7" x14ac:dyDescent="0.25">
      <c r="A19" s="1674"/>
      <c r="B19" s="1686"/>
      <c r="C19" s="1675"/>
      <c r="D19" s="1863"/>
      <c r="E19" s="1562">
        <f t="shared" si="1"/>
        <v>0</v>
      </c>
      <c r="F19" s="1812">
        <f t="shared" si="2"/>
        <v>0</v>
      </c>
      <c r="G19" s="1813">
        <f t="shared" si="3"/>
        <v>0</v>
      </c>
    </row>
    <row r="20" spans="1:7" x14ac:dyDescent="0.25">
      <c r="A20" s="1674"/>
      <c r="B20" s="1685"/>
      <c r="C20" s="1675"/>
      <c r="D20" s="1863"/>
      <c r="E20" s="1562">
        <f t="shared" ref="E20" si="4">IF(D20&lt;=25000,D20,IF(D20&gt;25000,25000,0))</f>
        <v>0</v>
      </c>
      <c r="F20" s="1812">
        <f t="shared" ref="F20" si="5">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3">
        <f t="shared" ref="G20" si="6">IF(F20=0,0,D20-F20)</f>
        <v>0</v>
      </c>
    </row>
    <row r="21" spans="1:7" x14ac:dyDescent="0.25">
      <c r="A21" s="1816" t="s">
        <v>158</v>
      </c>
      <c r="B21" s="1817"/>
      <c r="C21" s="1818"/>
      <c r="D21" s="1814">
        <f>SUM(D17:D20)</f>
        <v>0</v>
      </c>
      <c r="E21" s="1563">
        <f t="shared" ref="E21" si="7">IF(D21&lt;=25000,D21,IF(D21&gt;25000,25000,0))</f>
        <v>0</v>
      </c>
      <c r="F21" s="1814">
        <f>SUM(F17:F20)</f>
        <v>0</v>
      </c>
      <c r="G21" s="1815">
        <f>SUM(G17:G20)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22" colorId="8" zoomScale="110" zoomScaleNormal="110" workbookViewId="0">
      <selection activeCell="G7" sqref="G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2" t="s">
        <v>1778</v>
      </c>
      <c r="B5" s="2293"/>
      <c r="C5" s="2293"/>
      <c r="D5" s="2293"/>
      <c r="E5" s="2293"/>
      <c r="F5" s="2293"/>
      <c r="G5" s="229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297" t="s">
        <v>1944</v>
      </c>
      <c r="B11" s="2298"/>
      <c r="C11" s="2298"/>
      <c r="D11" s="229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266527</v>
      </c>
      <c r="F19" s="1819"/>
      <c r="G19" s="1821">
        <f>'Expenditures 15-22'!K33-SUM('Expenditures 15-22'!G33,'Expenditures 15-22'!I33)+'Expenditures 15-22'!D229</f>
        <v>266527</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0</v>
      </c>
      <c r="F21" s="1822"/>
      <c r="G21" s="1825">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2"/>
      <c r="E22" s="1824">
        <f>'Expenditures 15-22'!K47-SUM('Expenditures 15-22'!G47,'Expenditures 15-22'!I47)+'Expenditures 15-22'!D243</f>
        <v>0</v>
      </c>
      <c r="F22" s="1822"/>
      <c r="G22" s="1825">
        <f>'Expenditures 15-22'!K47-SUM('Expenditures 15-22'!G47,'Expenditures 15-22'!I47)+'Expenditures 15-22'!D243</f>
        <v>0</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51184</v>
      </c>
      <c r="F23" s="1822"/>
      <c r="G23" s="1824">
        <f>'Expenditures 15-22'!K53-SUM('Expenditures 15-22'!G53,'Expenditures 15-22'!I53)+'Expenditures 15-22'!D257+'Expenditures 15-22'!K330-SUM('Expenditures 15-22'!G330,'Expenditures 15-22'!I330)</f>
        <v>51184</v>
      </c>
      <c r="H23" s="988"/>
      <c r="I23" s="162"/>
    </row>
    <row r="24" spans="1:9" s="669" customFormat="1" ht="12" customHeight="1" x14ac:dyDescent="0.2">
      <c r="A24" s="995" t="s">
        <v>587</v>
      </c>
      <c r="B24" s="996"/>
      <c r="C24" s="994">
        <v>2400</v>
      </c>
      <c r="D24" s="1822"/>
      <c r="E24" s="1824">
        <f>'Expenditures 15-22'!K57-SUM('Expenditures 15-22'!G57,'Expenditures 15-22'!I57)+'Expenditures 15-22'!D261</f>
        <v>0</v>
      </c>
      <c r="F24" s="1822"/>
      <c r="G24" s="1825">
        <f>'Expenditures 15-22'!K57-SUM('Expenditures 15-22'!G57,'Expenditures 15-22'!I57)+'Expenditures 15-22'!D261</f>
        <v>0</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0</v>
      </c>
      <c r="E27" s="1824">
        <f>E8</f>
        <v>0</v>
      </c>
      <c r="F27" s="1824">
        <f>'Expenditures 15-22'!K60-SUM('Expenditures 15-22'!G60,'Expenditures 15-22'!I60)+'Expenditures 15-22'!D264-E8</f>
        <v>0</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4353</v>
      </c>
      <c r="F28" s="1826">
        <f>'Expenditures 15-22'!K61-SUM('Expenditures 15-22'!G61,'Expenditures 15-22'!I61)+'Expenditures 15-22'!K124-SUM('Expenditures 15-22'!G124,'Expenditures 15-22'!I124)+'Expenditures 15-22'!D266-E9</f>
        <v>4353</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353</v>
      </c>
      <c r="F29" s="1822"/>
      <c r="G29" s="1825">
        <f>'Expenditures 15-22'!K62-SUM('Expenditures 15-22'!G62,'Expenditures 15-22'!I62)+'Expenditures 15-22'!K125-SUM('Expenditures 15-22'!G125,'Expenditures 15-22'!I125)+'Expenditures 15-22'!K182-SUM('Expenditures 15-22'!G182,'Expenditures 15-22'!I182)+'Expenditures 15-22'!D267</f>
        <v>353</v>
      </c>
      <c r="H29" s="986"/>
    </row>
    <row r="30" spans="1:9" ht="12" customHeight="1" x14ac:dyDescent="0.2">
      <c r="A30" s="995" t="s">
        <v>102</v>
      </c>
      <c r="B30" s="998"/>
      <c r="C30" s="994">
        <v>2560</v>
      </c>
      <c r="D30" s="1822"/>
      <c r="E30" s="1824">
        <f>'Expenditures 15-22'!K63-SUM('Expenditures 15-22'!G63,'Expenditures 15-22'!I63)+'Expenditures 15-22'!D268-E10</f>
        <v>0</v>
      </c>
      <c r="F30" s="1822"/>
      <c r="G30" s="1824">
        <f>'Expenditures 15-22'!K63-SUM('Expenditures 15-22'!G63,'Expenditures 15-22'!I63)+'Expenditures 15-22'!D268-E10</f>
        <v>0</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12265</v>
      </c>
      <c r="F35" s="1822"/>
      <c r="G35" s="1824">
        <f>'Expenditures 15-22'!K69-SUM('Expenditures 15-22'!G69,'Expenditures 15-22'!I69)+'Expenditures 15-22'!D274</f>
        <v>12265</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2"/>
      <c r="E40" s="1826">
        <f>-'Contracts Paid in CY 29'!G21</f>
        <v>0</v>
      </c>
      <c r="F40" s="1822"/>
      <c r="G40" s="1826">
        <f>-'Contracts Paid in CY 29'!G21</f>
        <v>0</v>
      </c>
    </row>
    <row r="41" spans="1:7" ht="12" customHeight="1" x14ac:dyDescent="0.2">
      <c r="A41" s="999" t="s">
        <v>158</v>
      </c>
      <c r="B41" s="1000"/>
      <c r="C41" s="1001"/>
      <c r="D41" s="1826">
        <f>SUM(D19:D39)</f>
        <v>0</v>
      </c>
      <c r="E41" s="1826">
        <f>SUM(E19:E40)</f>
        <v>334682</v>
      </c>
      <c r="F41" s="1826">
        <f>SUM(F19:F39)</f>
        <v>4353</v>
      </c>
      <c r="G41" s="1826">
        <f>SUM(G19:G40)</f>
        <v>330329</v>
      </c>
    </row>
    <row r="42" spans="1:7" x14ac:dyDescent="0.2">
      <c r="A42" s="988"/>
      <c r="B42" s="162"/>
      <c r="C42" s="1002"/>
      <c r="D42" s="2295" t="s">
        <v>543</v>
      </c>
      <c r="E42" s="2296"/>
      <c r="F42" s="1003" t="s">
        <v>544</v>
      </c>
      <c r="G42" s="1004"/>
    </row>
    <row r="43" spans="1:7" ht="12" customHeight="1" x14ac:dyDescent="0.2">
      <c r="A43" s="988"/>
      <c r="B43" s="162"/>
      <c r="C43" s="1002"/>
      <c r="D43" s="1827" t="s">
        <v>493</v>
      </c>
      <c r="E43" s="1828">
        <f>D41</f>
        <v>0</v>
      </c>
      <c r="F43" s="1827" t="s">
        <v>495</v>
      </c>
      <c r="G43" s="1828">
        <f>F41</f>
        <v>4353</v>
      </c>
    </row>
    <row r="44" spans="1:7" ht="12" customHeight="1" x14ac:dyDescent="0.2">
      <c r="A44" s="988"/>
      <c r="B44" s="162"/>
      <c r="C44" s="1002"/>
      <c r="D44" s="1827" t="s">
        <v>494</v>
      </c>
      <c r="E44" s="1828">
        <f>E41</f>
        <v>334682</v>
      </c>
      <c r="F44" s="1827" t="s">
        <v>494</v>
      </c>
      <c r="G44" s="1828">
        <f>G41</f>
        <v>330329</v>
      </c>
    </row>
    <row r="45" spans="1:7" ht="12" customHeight="1" x14ac:dyDescent="0.2">
      <c r="A45" s="988"/>
      <c r="B45" s="162"/>
      <c r="C45" s="162"/>
      <c r="D45" s="1829" t="s">
        <v>1063</v>
      </c>
      <c r="E45" s="1830">
        <f>(E43/E44)</f>
        <v>0</v>
      </c>
      <c r="F45" s="1829" t="s">
        <v>1063</v>
      </c>
      <c r="G45" s="1830">
        <f>(G43/G44)</f>
        <v>1.3177771252296952E-2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7" sqref="G7"/>
      <selection pane="bottomLeft" activeCell="A5" sqref="A5:F5"/>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03" t="s">
        <v>1446</v>
      </c>
      <c r="B1" s="2303"/>
      <c r="C1" s="2303"/>
      <c r="D1" s="2303"/>
      <c r="E1" s="2303"/>
      <c r="F1" s="2303"/>
    </row>
    <row r="2" spans="1:10" x14ac:dyDescent="0.2">
      <c r="A2" s="1906" t="s">
        <v>2047</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04" t="s">
        <v>1627</v>
      </c>
      <c r="B5" s="2305"/>
      <c r="C5" s="2306"/>
      <c r="D5" s="2306"/>
      <c r="E5" s="2306"/>
      <c r="F5" s="2306"/>
    </row>
    <row r="6" spans="1:10" ht="12" customHeight="1" x14ac:dyDescent="0.25">
      <c r="A6" s="1869"/>
      <c r="B6" s="1870"/>
      <c r="C6" s="2307" t="str">
        <f>COVER!A17</f>
        <v>Lincoland Technical Ed Ctr</v>
      </c>
      <c r="D6" s="2307"/>
      <c r="E6" s="2307"/>
      <c r="F6" s="1871"/>
    </row>
    <row r="7" spans="1:10" ht="11.25" customHeight="1" thickBot="1" x14ac:dyDescent="0.3">
      <c r="A7" s="1869"/>
      <c r="B7" s="1870"/>
      <c r="C7" s="2308">
        <f>COVER!A13</f>
        <v>17054404041</v>
      </c>
      <c r="D7" s="2308"/>
      <c r="E7" s="2308"/>
      <c r="F7" s="1871"/>
    </row>
    <row r="8" spans="1:10" ht="25.5" customHeight="1" thickBot="1" x14ac:dyDescent="0.25">
      <c r="A8" s="1912" t="s">
        <v>2024</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t="s">
        <v>2087</v>
      </c>
      <c r="D25" s="1884" t="s">
        <v>2087</v>
      </c>
      <c r="E25" s="1887"/>
      <c r="F25" s="1886" t="s">
        <v>2099</v>
      </c>
      <c r="H25" s="1897">
        <f t="shared" si="0"/>
        <v>5</v>
      </c>
      <c r="I25" s="1897">
        <f t="shared" si="1"/>
        <v>5</v>
      </c>
      <c r="J25" s="1897">
        <f t="shared" si="2"/>
        <v>0</v>
      </c>
    </row>
    <row r="26" spans="1:12" ht="12" customHeight="1" x14ac:dyDescent="0.2">
      <c r="A26" s="1882" t="s">
        <v>1615</v>
      </c>
      <c r="B26" s="1883"/>
      <c r="C26" s="1884"/>
      <c r="D26" s="1884"/>
      <c r="E26" s="1887"/>
      <c r="F26" s="1886"/>
      <c r="H26" s="1897">
        <f t="shared" si="0"/>
        <v>0</v>
      </c>
      <c r="I26" s="1897">
        <f t="shared" si="1"/>
        <v>0</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0</v>
      </c>
      <c r="K34" s="1897">
        <f>SUM(H34:J34)</f>
        <v>10</v>
      </c>
    </row>
    <row r="35" spans="1:11" ht="12" customHeight="1" x14ac:dyDescent="0.2">
      <c r="A35" s="1890" t="s">
        <v>1459</v>
      </c>
      <c r="B35" s="1891"/>
      <c r="C35" s="2309"/>
      <c r="D35" s="2309"/>
      <c r="E35" s="2309"/>
      <c r="F35" s="2310"/>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14"/>
      <c r="B38" s="2315"/>
      <c r="C38" s="2315"/>
      <c r="D38" s="2315"/>
      <c r="E38" s="2315"/>
      <c r="F38" s="2316"/>
    </row>
    <row r="39" spans="1:11" ht="4.5" hidden="1" customHeight="1" x14ac:dyDescent="0.2">
      <c r="A39" s="1892"/>
      <c r="B39" s="1892"/>
      <c r="C39" s="1892"/>
      <c r="D39" s="1892"/>
      <c r="E39" s="1892"/>
      <c r="F39" s="1892"/>
    </row>
    <row r="40" spans="1:11" s="1889" customFormat="1" ht="12" customHeight="1" x14ac:dyDescent="0.25">
      <c r="A40" s="1893" t="s">
        <v>1458</v>
      </c>
      <c r="B40" s="1894"/>
      <c r="C40" s="2317"/>
      <c r="D40" s="2317"/>
      <c r="E40" s="2317"/>
      <c r="F40" s="2318"/>
      <c r="H40" s="1898"/>
      <c r="I40" s="1898"/>
      <c r="J40" s="1898"/>
      <c r="K40" s="1898"/>
    </row>
    <row r="41" spans="1:11" s="1889" customFormat="1" ht="12" customHeight="1" x14ac:dyDescent="0.25">
      <c r="A41" s="2319"/>
      <c r="B41" s="2320"/>
      <c r="C41" s="2320"/>
      <c r="D41" s="2320"/>
      <c r="E41" s="2320"/>
      <c r="F41" s="2321"/>
      <c r="H41" s="1898"/>
      <c r="I41" s="1898"/>
      <c r="J41" s="1898"/>
      <c r="K41" s="1898"/>
    </row>
    <row r="42" spans="1:11" s="1889" customFormat="1" ht="12" customHeight="1" x14ac:dyDescent="0.25">
      <c r="A42" s="2319"/>
      <c r="B42" s="2320"/>
      <c r="C42" s="2320"/>
      <c r="D42" s="2320"/>
      <c r="E42" s="2320"/>
      <c r="F42" s="2321"/>
      <c r="H42" s="1898"/>
      <c r="I42" s="1898"/>
      <c r="J42" s="1898"/>
      <c r="K42" s="1898"/>
    </row>
    <row r="43" spans="1:11" s="1889" customFormat="1" ht="15" x14ac:dyDescent="0.25">
      <c r="A43" s="2311"/>
      <c r="B43" s="2312"/>
      <c r="C43" s="2312"/>
      <c r="D43" s="2312"/>
      <c r="E43" s="2312"/>
      <c r="F43" s="2313"/>
      <c r="H43" s="1898"/>
      <c r="I43" s="1898"/>
      <c r="J43" s="1898"/>
      <c r="K43" s="1898"/>
    </row>
    <row r="44" spans="1:11" s="1889" customFormat="1" ht="12" hidden="1" customHeight="1" x14ac:dyDescent="0.25">
      <c r="A44" s="2311"/>
      <c r="B44" s="2312"/>
      <c r="C44" s="2312"/>
      <c r="D44" s="2312"/>
      <c r="E44" s="2312"/>
      <c r="F44" s="231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7" sqref="G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27" t="str">
        <f>COVER!A17</f>
        <v>Lincoland Technical Ed Ctr</v>
      </c>
      <c r="J6" s="2328"/>
      <c r="Q6" s="1683"/>
    </row>
    <row r="7" spans="1:17" x14ac:dyDescent="0.2">
      <c r="A7" s="2329" t="s">
        <v>924</v>
      </c>
      <c r="B7" s="2330"/>
      <c r="C7" s="2330"/>
      <c r="D7" s="2330"/>
      <c r="E7" s="2331"/>
      <c r="F7" s="1018"/>
      <c r="G7" s="1010"/>
      <c r="H7" s="1017" t="s">
        <v>390</v>
      </c>
      <c r="I7" s="2332">
        <f>COVER!A13</f>
        <v>17054404041</v>
      </c>
      <c r="J7" s="233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3" t="s">
        <v>502</v>
      </c>
      <c r="B11" s="2334"/>
      <c r="C11" s="233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0</v>
      </c>
      <c r="F12" s="1040"/>
      <c r="G12" s="1831">
        <f t="shared" ref="G12:G18" si="0">SUM(E12:F12)</f>
        <v>0</v>
      </c>
      <c r="H12" s="1041"/>
      <c r="I12" s="1040"/>
      <c r="J12" s="1831">
        <f t="shared" ref="J12:J18" si="1">SUM(H12:I12)</f>
        <v>0</v>
      </c>
    </row>
    <row r="13" spans="1:17" ht="15" customHeight="1" x14ac:dyDescent="0.2">
      <c r="A13" s="1036">
        <v>2</v>
      </c>
      <c r="B13" s="1037" t="s">
        <v>44</v>
      </c>
      <c r="C13" s="1038"/>
      <c r="D13" s="1039">
        <v>2330</v>
      </c>
      <c r="E13" s="1831">
        <f>'Expenditures 15-22'!K51</f>
        <v>50999</v>
      </c>
      <c r="F13" s="1040"/>
      <c r="G13" s="1831">
        <f t="shared" si="0"/>
        <v>50999</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36" t="s">
        <v>7</v>
      </c>
      <c r="C18" s="2337"/>
      <c r="D18" s="2338"/>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50999</v>
      </c>
      <c r="F19" s="1833">
        <f t="shared" si="2"/>
        <v>0</v>
      </c>
      <c r="G19" s="1833">
        <f t="shared" si="2"/>
        <v>50999</v>
      </c>
      <c r="H19" s="1833">
        <f t="shared" si="2"/>
        <v>0</v>
      </c>
      <c r="I19" s="1833">
        <f t="shared" si="2"/>
        <v>0</v>
      </c>
      <c r="J19" s="1833">
        <f t="shared" si="2"/>
        <v>0</v>
      </c>
    </row>
    <row r="20" spans="1:10" ht="13.5" thickTop="1" x14ac:dyDescent="0.2">
      <c r="A20" s="1036">
        <v>9</v>
      </c>
      <c r="B20" s="2339" t="s">
        <v>1703</v>
      </c>
      <c r="C20" s="2339"/>
      <c r="D20" s="2340"/>
      <c r="E20" s="1047"/>
      <c r="F20" s="1047"/>
      <c r="G20" s="1047"/>
      <c r="H20" s="1047"/>
      <c r="I20" s="1047"/>
      <c r="J20" s="1834"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5"/>
      <c r="D26" s="2345"/>
      <c r="E26" s="1051"/>
      <c r="F26" s="2344"/>
      <c r="G26" s="2344"/>
    </row>
    <row r="27" spans="1:10" x14ac:dyDescent="0.2">
      <c r="B27" s="1048"/>
      <c r="C27" s="1052" t="s">
        <v>1093</v>
      </c>
      <c r="D27" s="1053"/>
      <c r="E27" s="1054"/>
      <c r="F27" s="2341" t="s">
        <v>1589</v>
      </c>
      <c r="G27" s="2341"/>
    </row>
    <row r="28" spans="1:10" ht="28.5" customHeight="1" x14ac:dyDescent="0.2">
      <c r="B28" s="1048"/>
      <c r="C28" s="2343"/>
      <c r="D28" s="2343"/>
      <c r="E28" s="1055"/>
      <c r="F28" s="2343"/>
      <c r="G28" s="2343"/>
    </row>
    <row r="29" spans="1:10" x14ac:dyDescent="0.2">
      <c r="B29" s="1048"/>
      <c r="C29" s="1056" t="s">
        <v>1642</v>
      </c>
      <c r="E29" s="1057"/>
      <c r="F29" s="2342" t="s">
        <v>1590</v>
      </c>
      <c r="G29" s="234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4" t="s">
        <v>134</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3"/>
    </row>
    <row r="36" spans="1:10" ht="13.5" customHeight="1" x14ac:dyDescent="0.2">
      <c r="B36" s="1062"/>
      <c r="C36" s="2326" t="s">
        <v>1943</v>
      </c>
      <c r="D36" s="2325"/>
      <c r="E36" s="2325"/>
      <c r="F36" s="2325"/>
      <c r="G36" s="2325"/>
      <c r="H36" s="2325"/>
      <c r="I36" s="2325"/>
      <c r="J36" s="1064"/>
    </row>
    <row r="37" spans="1:10" ht="22.5" customHeight="1" x14ac:dyDescent="0.2">
      <c r="C37" s="2325"/>
      <c r="D37" s="2325"/>
      <c r="E37" s="2325"/>
      <c r="F37" s="2325"/>
      <c r="G37" s="2325"/>
      <c r="H37" s="2325"/>
      <c r="I37" s="2325"/>
      <c r="J37" s="1064"/>
    </row>
    <row r="38" spans="1:10" ht="7.5" customHeight="1" x14ac:dyDescent="0.2">
      <c r="C38" s="1063"/>
      <c r="D38" s="1065"/>
      <c r="E38" s="1066"/>
      <c r="F38" s="1067"/>
      <c r="G38" s="1066"/>
    </row>
    <row r="39" spans="1:10" ht="13.5" customHeight="1" x14ac:dyDescent="0.2">
      <c r="B39" s="1062"/>
      <c r="C39" s="2322" t="s">
        <v>937</v>
      </c>
      <c r="D39" s="2323"/>
      <c r="E39" s="2323"/>
      <c r="F39" s="2323"/>
      <c r="G39" s="2323"/>
      <c r="H39" s="2323"/>
      <c r="I39" s="232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G7" sqref="G7"/>
    </sheetView>
  </sheetViews>
  <sheetFormatPr defaultColWidth="9.140625" defaultRowHeight="12.75" x14ac:dyDescent="0.2"/>
  <cols>
    <col min="1" max="1" width="3" style="329" customWidth="1"/>
    <col min="2" max="2" width="2.7109375" style="329" customWidth="1"/>
    <col min="3" max="3" width="64.5703125" style="329" customWidth="1"/>
    <col min="4" max="5" width="12.42578125" style="329" customWidth="1"/>
    <col min="6" max="16384" width="9.140625" style="329"/>
  </cols>
  <sheetData>
    <row r="2" spans="1:3" x14ac:dyDescent="0.2">
      <c r="A2" s="389" t="s">
        <v>276</v>
      </c>
    </row>
    <row r="3" spans="1:3" x14ac:dyDescent="0.2">
      <c r="A3" s="329" t="s">
        <v>277</v>
      </c>
    </row>
    <row r="5" spans="1:3" x14ac:dyDescent="0.2">
      <c r="A5" s="1069">
        <v>1</v>
      </c>
      <c r="C5" s="329" t="s">
        <v>2102</v>
      </c>
    </row>
    <row r="6" spans="1:3" x14ac:dyDescent="0.2">
      <c r="A6" s="1069">
        <v>2</v>
      </c>
      <c r="C6" s="329" t="s">
        <v>2101</v>
      </c>
    </row>
    <row r="7" spans="1:3" x14ac:dyDescent="0.2">
      <c r="A7" s="1069">
        <v>3</v>
      </c>
    </row>
    <row r="8" spans="1:3" x14ac:dyDescent="0.2">
      <c r="A8" s="1069">
        <v>4</v>
      </c>
    </row>
    <row r="9" spans="1:3" x14ac:dyDescent="0.2">
      <c r="A9" s="1070"/>
    </row>
    <row r="10" spans="1:3" x14ac:dyDescent="0.2">
      <c r="A10" s="1070"/>
    </row>
    <row r="11" spans="1:3" x14ac:dyDescent="0.2">
      <c r="A11" s="1070"/>
    </row>
    <row r="12" spans="1:3" x14ac:dyDescent="0.2">
      <c r="A12" s="1070"/>
    </row>
    <row r="13" spans="1:3" x14ac:dyDescent="0.2">
      <c r="A13" s="1070"/>
    </row>
    <row r="14" spans="1:3" x14ac:dyDescent="0.2">
      <c r="A14" s="1070"/>
    </row>
    <row r="15" spans="1:3" x14ac:dyDescent="0.2">
      <c r="A15" s="1070"/>
    </row>
    <row r="16" spans="1:3"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Lincoland Technical Ed Ctr</v>
      </c>
    </row>
    <row r="65" spans="2:2" x14ac:dyDescent="0.2">
      <c r="B65" s="1071">
        <f>COVER!A13</f>
        <v>17054404041</v>
      </c>
    </row>
  </sheetData>
  <phoneticPr fontId="12"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7" sqref="G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3" t="s">
        <v>1125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715</v>
      </c>
      <c r="B40" s="2060"/>
      <c r="C40" s="2060"/>
      <c r="D40" s="2060"/>
      <c r="E40" s="2060"/>
    </row>
    <row r="41" spans="1:5" x14ac:dyDescent="0.2">
      <c r="A41" s="2061" t="s">
        <v>1706</v>
      </c>
      <c r="B41" s="2061"/>
      <c r="C41" s="2061"/>
      <c r="D41" s="2061"/>
      <c r="E41" s="2061"/>
    </row>
    <row r="42" spans="1:5" ht="12.75" customHeight="1" x14ac:dyDescent="0.2">
      <c r="A42" s="2062" t="s">
        <v>1080</v>
      </c>
      <c r="B42" s="2062"/>
      <c r="C42" s="2062"/>
      <c r="D42" s="2062"/>
      <c r="E42" s="2062"/>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election activeCell="G7" sqref="G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6" right="0.2" top="1" bottom="1" header="0.5" footer="0.5"/>
  <pageSetup scale="85"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6" t="s">
        <v>1784</v>
      </c>
      <c r="B18" s="2346"/>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3057525</xdr:colOff>
                <xdr:row>0</xdr:row>
                <xdr:rowOff>0</xdr:rowOff>
              </from>
              <to>
                <xdr:col>1</xdr:col>
                <xdr:colOff>3971925</xdr:colOff>
                <xdr:row>4</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1790</v>
      </c>
      <c r="B1" s="2348"/>
      <c r="C1" s="2348"/>
      <c r="D1" s="2348"/>
      <c r="E1" s="2348"/>
      <c r="F1" s="2349"/>
    </row>
    <row r="2" spans="1:8" ht="45" customHeight="1" x14ac:dyDescent="0.2">
      <c r="A2" s="2357" t="s">
        <v>1791</v>
      </c>
      <c r="B2" s="2358"/>
      <c r="C2" s="2358"/>
      <c r="D2" s="2358"/>
      <c r="E2" s="2358"/>
      <c r="F2" s="2359"/>
      <c r="G2" s="1075"/>
      <c r="H2" s="1075"/>
    </row>
    <row r="3" spans="1:8" ht="57" customHeight="1" x14ac:dyDescent="0.2">
      <c r="A3" s="2360" t="s">
        <v>1786</v>
      </c>
      <c r="B3" s="2361"/>
      <c r="C3" s="2361"/>
      <c r="D3" s="2361"/>
      <c r="E3" s="2361"/>
      <c r="F3" s="2362"/>
      <c r="G3" s="1075"/>
      <c r="H3" s="1075"/>
    </row>
    <row r="4" spans="1:8" ht="14.25" customHeight="1" x14ac:dyDescent="0.2">
      <c r="A4" s="2366" t="s">
        <v>2055</v>
      </c>
      <c r="B4" s="2367"/>
      <c r="C4" s="2367"/>
      <c r="D4" s="2367"/>
      <c r="E4" s="2367"/>
      <c r="F4" s="2368"/>
      <c r="G4" s="1075"/>
      <c r="H4" s="1075"/>
    </row>
    <row r="5" spans="1:8" ht="14.25" customHeight="1" x14ac:dyDescent="0.2">
      <c r="A5" s="2369" t="s">
        <v>2056</v>
      </c>
      <c r="B5" s="2370"/>
      <c r="C5" s="2370"/>
      <c r="D5" s="2370"/>
      <c r="E5" s="2370"/>
      <c r="F5" s="2371"/>
      <c r="G5" s="1075"/>
      <c r="H5" s="1075"/>
    </row>
    <row r="6" spans="1:8" s="1076" customFormat="1" ht="41.25" customHeight="1" x14ac:dyDescent="0.2">
      <c r="A6" s="2363" t="s">
        <v>1792</v>
      </c>
      <c r="B6" s="2364"/>
      <c r="C6" s="2364"/>
      <c r="D6" s="2364"/>
      <c r="E6" s="2364"/>
      <c r="F6" s="236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502523</v>
      </c>
      <c r="C8" s="1835">
        <f>'Acct Summary 7-8'!D8</f>
        <v>0</v>
      </c>
      <c r="D8" s="1835">
        <f>'Acct Summary 7-8'!F8</f>
        <v>0</v>
      </c>
      <c r="E8" s="1835">
        <f>'Acct Summary 7-8'!I8</f>
        <v>0</v>
      </c>
      <c r="F8" s="1835">
        <f>SUM(B8:E8)</f>
        <v>502523</v>
      </c>
    </row>
    <row r="9" spans="1:8" s="1080" customFormat="1" ht="14.25" customHeight="1" thickBot="1" x14ac:dyDescent="0.25">
      <c r="A9" s="1079" t="s">
        <v>1436</v>
      </c>
      <c r="B9" s="1836">
        <f>'Acct Summary 7-8'!C17</f>
        <v>334682</v>
      </c>
      <c r="C9" s="1836">
        <f>'Acct Summary 7-8'!D17</f>
        <v>0</v>
      </c>
      <c r="D9" s="1836">
        <f>'Acct Summary 7-8'!F17</f>
        <v>0</v>
      </c>
      <c r="E9" s="1835"/>
      <c r="F9" s="1835">
        <f>SUM(B9:E9)</f>
        <v>334682</v>
      </c>
    </row>
    <row r="10" spans="1:8" s="1080" customFormat="1" ht="14.25" thickTop="1" thickBot="1" x14ac:dyDescent="0.25">
      <c r="A10" s="1081" t="s">
        <v>1437</v>
      </c>
      <c r="B10" s="1837">
        <f>(B8-B9)</f>
        <v>167841</v>
      </c>
      <c r="C10" s="1837">
        <f>(C8-C9)</f>
        <v>0</v>
      </c>
      <c r="D10" s="1837">
        <f>(D8-D9)</f>
        <v>0</v>
      </c>
      <c r="E10" s="1836">
        <f>(E8-E9)</f>
        <v>0</v>
      </c>
      <c r="F10" s="1838">
        <f>SUM(F8-F9)</f>
        <v>167841</v>
      </c>
    </row>
    <row r="11" spans="1:8" s="1080" customFormat="1" ht="14.25" thickTop="1" thickBot="1" x14ac:dyDescent="0.25">
      <c r="A11" s="1082" t="s">
        <v>1785</v>
      </c>
      <c r="B11" s="1839">
        <f>'Acct Summary 7-8'!C81</f>
        <v>160416</v>
      </c>
      <c r="C11" s="1839">
        <f>'Acct Summary 7-8'!D81</f>
        <v>0</v>
      </c>
      <c r="D11" s="1839">
        <f>'Acct Summary 7-8'!F81</f>
        <v>0</v>
      </c>
      <c r="E11" s="1839">
        <f>'Acct Summary 7-8'!I81</f>
        <v>0</v>
      </c>
      <c r="F11" s="1840">
        <f>SUM(B11:E11)</f>
        <v>160416</v>
      </c>
    </row>
    <row r="12" spans="1:8" ht="16.5" customHeight="1" thickTop="1" x14ac:dyDescent="0.2">
      <c r="A12" s="1083"/>
      <c r="B12" s="1084"/>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5"/>
      <c r="B13" s="1086"/>
      <c r="C13" s="2351"/>
      <c r="D13" s="2352"/>
      <c r="E13" s="2352"/>
      <c r="F13" s="2353"/>
      <c r="H13" s="1075"/>
    </row>
    <row r="14" spans="1:8" ht="19.5" customHeight="1" x14ac:dyDescent="0.2">
      <c r="A14" s="1085"/>
      <c r="B14" s="1086"/>
      <c r="C14" s="2351"/>
      <c r="D14" s="2352"/>
      <c r="E14" s="2352"/>
      <c r="F14" s="2353"/>
      <c r="H14" s="1075"/>
    </row>
    <row r="15" spans="1:8" ht="17.25" customHeight="1" x14ac:dyDescent="0.2">
      <c r="A15" s="1085"/>
      <c r="B15" s="1086"/>
      <c r="C15" s="2354"/>
      <c r="D15" s="2355"/>
      <c r="E15" s="2355"/>
      <c r="F15" s="2356"/>
      <c r="H15" s="1075"/>
    </row>
    <row r="16" spans="1:8" s="310" customFormat="1" ht="51.75" hidden="1" customHeight="1" x14ac:dyDescent="0.2">
      <c r="A16" s="2350" t="s">
        <v>1787</v>
      </c>
      <c r="B16" s="2350"/>
      <c r="C16" s="2350"/>
      <c r="D16" s="2350"/>
      <c r="E16" s="235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2" t="s">
        <v>686</v>
      </c>
      <c r="B3" s="2373"/>
      <c r="C3" s="2373"/>
      <c r="D3" s="237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3" t="s">
        <v>1584</v>
      </c>
      <c r="D7" s="2384"/>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5" t="s">
        <v>1065</v>
      </c>
      <c r="B15" s="2376"/>
      <c r="C15" s="2376"/>
      <c r="D15" s="2377"/>
    </row>
    <row r="16" spans="1:4" s="669" customFormat="1" ht="24" customHeight="1" x14ac:dyDescent="0.2">
      <c r="A16" s="2378" t="s">
        <v>684</v>
      </c>
      <c r="B16" s="2379"/>
      <c r="C16" s="2379"/>
      <c r="D16" s="238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87" t="s">
        <v>332</v>
      </c>
      <c r="D21" s="2388"/>
    </row>
    <row r="22" spans="1:10" ht="12.75" x14ac:dyDescent="0.2">
      <c r="A22" s="1140"/>
      <c r="B22" s="1141">
        <v>2</v>
      </c>
      <c r="C22" s="2385" t="s">
        <v>1605</v>
      </c>
      <c r="D22" s="238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89" t="s">
        <v>557</v>
      </c>
      <c r="D43" s="239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1" t="s">
        <v>817</v>
      </c>
      <c r="D56" s="238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1" t="s">
        <v>1797</v>
      </c>
      <c r="D70" s="238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29'!D21&gt;0,"OK","PLEASE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17054404041</v>
      </c>
    </row>
    <row r="3" spans="1:2" x14ac:dyDescent="0.2">
      <c r="A3" t="s">
        <v>1013</v>
      </c>
      <c r="B3" s="138" t="str">
        <f>COVER!A15</f>
        <v>LOGAN</v>
      </c>
    </row>
    <row r="4" spans="1:2" x14ac:dyDescent="0.2">
      <c r="A4" t="s">
        <v>1064</v>
      </c>
      <c r="B4" s="138" t="str">
        <f>COVER!A17</f>
        <v>Lincoland Technical Ed Ctr</v>
      </c>
    </row>
    <row r="5" spans="1:2" x14ac:dyDescent="0.2">
      <c r="A5" t="s">
        <v>728</v>
      </c>
      <c r="B5" s="138" t="str">
        <f>COVER!A38</f>
        <v>R. MATTHEW PUCKETT</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160869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453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453</v>
      </c>
      <c r="C91" s="2" t="s">
        <v>594</v>
      </c>
      <c r="D91" s="2" t="str">
        <f t="shared" si="0"/>
        <v>Error?</v>
      </c>
    </row>
    <row r="92" spans="1:4" x14ac:dyDescent="0.2">
      <c r="A92" s="5">
        <v>31</v>
      </c>
      <c r="B92" s="138">
        <f>'Assets-Liab 5-6'!C39</f>
        <v>160416</v>
      </c>
      <c r="D92" s="2" t="str">
        <f t="shared" si="0"/>
        <v>Error?</v>
      </c>
    </row>
    <row r="93" spans="1:4" x14ac:dyDescent="0.2">
      <c r="A93" s="5">
        <v>32</v>
      </c>
      <c r="B93" s="138">
        <f>'Assets-Liab 5-6'!C41</f>
        <v>160869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15589</v>
      </c>
      <c r="D274" s="2" t="str">
        <f t="shared" si="3"/>
        <v>Error?</v>
      </c>
    </row>
    <row r="275" spans="1:4" x14ac:dyDescent="0.2">
      <c r="A275" s="5">
        <v>214</v>
      </c>
      <c r="B275" s="138">
        <f>'Assets-Liab 5-6'!M18</f>
        <v>0</v>
      </c>
      <c r="D275" s="2" t="str">
        <f t="shared" si="3"/>
        <v>Error?</v>
      </c>
    </row>
    <row r="276" spans="1:4" x14ac:dyDescent="0.2">
      <c r="A276" s="5">
        <v>215</v>
      </c>
      <c r="B276" s="138">
        <f>'Assets-Liab 5-6'!M19</f>
        <v>350321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365910</v>
      </c>
      <c r="C279" s="2" t="s">
        <v>594</v>
      </c>
      <c r="D279" s="2" t="str">
        <f t="shared" si="3"/>
        <v>Error?</v>
      </c>
    </row>
    <row r="280" spans="1:4" x14ac:dyDescent="0.2">
      <c r="A280" s="5">
        <v>219</v>
      </c>
      <c r="B280" s="138">
        <f>'Assets-Liab 5-6'!M40</f>
        <v>365910</v>
      </c>
      <c r="D280" s="2" t="str">
        <f t="shared" si="3"/>
        <v>Error?</v>
      </c>
    </row>
    <row r="281" spans="1:4" x14ac:dyDescent="0.2">
      <c r="A281" s="5">
        <v>220</v>
      </c>
      <c r="B281" s="138">
        <f>'Assets-Liab 5-6'!M41</f>
        <v>365910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170327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170327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39295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12265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12265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51560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221887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25202</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25202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5544</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30746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16025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16025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185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6345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353</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22723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54973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54973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4353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4353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59326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266527</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266527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185</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51184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4353</v>
      </c>
      <c r="C1128" s="2" t="s">
        <v>594</v>
      </c>
      <c r="D1128" s="2" t="str">
        <f t="shared" si="16"/>
        <v>Error?</v>
      </c>
    </row>
    <row r="1129" spans="1:4" x14ac:dyDescent="0.2">
      <c r="A1129" s="5">
        <v>1068</v>
      </c>
      <c r="B1129" s="138">
        <f>'Expenditures 15-22'!K62</f>
        <v>353</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4706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12265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12265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68155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334682</v>
      </c>
      <c r="C1152" s="2" t="s">
        <v>594</v>
      </c>
      <c r="D1152" s="2" t="str">
        <f t="shared" si="17"/>
        <v>Error?</v>
      </c>
    </row>
    <row r="1153" spans="1:4" x14ac:dyDescent="0.2">
      <c r="A1153" s="5">
        <v>1092</v>
      </c>
      <c r="B1153" s="138">
        <f>'Expenditures 15-22'!K115</f>
        <v>167841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160416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15589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350321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365910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15589</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350321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365910</v>
      </c>
      <c r="C2031" s="2" t="s">
        <v>594</v>
      </c>
      <c r="D2031" s="2" t="str">
        <f t="shared" si="30"/>
        <v>Error?</v>
      </c>
    </row>
    <row r="2032" spans="1:4" x14ac:dyDescent="0.2">
      <c r="A2032" s="10">
        <v>1971</v>
      </c>
      <c r="D2032" s="2" t="str">
        <f t="shared" si="30"/>
        <v>OK</v>
      </c>
    </row>
    <row r="2033" spans="1:4" x14ac:dyDescent="0.2">
      <c r="A2033" s="5">
        <v>1972</v>
      </c>
      <c r="B2033" s="138">
        <f>'Cap Outlay Deprec 26'!H8</f>
        <v>12472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333720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346192</v>
      </c>
      <c r="C2037" s="2" t="s">
        <v>594</v>
      </c>
      <c r="D2037" s="2" t="str">
        <f t="shared" si="30"/>
        <v>Error?</v>
      </c>
    </row>
    <row r="2038" spans="1:4" x14ac:dyDescent="0.2">
      <c r="A2038" s="10">
        <v>1977</v>
      </c>
      <c r="D2038" s="2" t="str">
        <f t="shared" si="30"/>
        <v>OK</v>
      </c>
    </row>
    <row r="2039" spans="1:4" x14ac:dyDescent="0.2">
      <c r="A2039" s="5">
        <v>1978</v>
      </c>
      <c r="B2039" s="138">
        <f>'Cap Outlay Deprec 26'!I8</f>
        <v>312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3153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12784</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336873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349657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2805</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13448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16253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278257</v>
      </c>
      <c r="C2551" s="2" t="s">
        <v>594</v>
      </c>
      <c r="D2551" s="2" t="str">
        <f t="shared" si="38"/>
        <v>Error?</v>
      </c>
    </row>
    <row r="2552" spans="1:4" x14ac:dyDescent="0.2">
      <c r="A2552" s="10">
        <v>2491</v>
      </c>
      <c r="D2552" s="2" t="str">
        <f t="shared" si="38"/>
        <v>OK</v>
      </c>
    </row>
    <row r="2553" spans="1:4" x14ac:dyDescent="0.2">
      <c r="A2553" s="5">
        <v>2492</v>
      </c>
      <c r="B2553" s="138">
        <f>'Acct Summary 7-8'!C6</f>
        <v>224266</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502523</v>
      </c>
      <c r="C2555" s="2" t="s">
        <v>594</v>
      </c>
      <c r="D2555" s="2" t="str">
        <f t="shared" si="38"/>
        <v>Error?</v>
      </c>
    </row>
    <row r="2556" spans="1:4" x14ac:dyDescent="0.2">
      <c r="A2556" s="5">
        <v>2495</v>
      </c>
      <c r="B2556" s="138">
        <f>'Acct Summary 7-8'!C12</f>
        <v>266527</v>
      </c>
      <c r="C2556" s="2" t="s">
        <v>594</v>
      </c>
      <c r="D2556" s="2" t="str">
        <f t="shared" si="38"/>
        <v>Error?</v>
      </c>
    </row>
    <row r="2557" spans="1:4" x14ac:dyDescent="0.2">
      <c r="A2557" s="5">
        <v>2496</v>
      </c>
      <c r="B2557" s="138">
        <f>'Acct Summary 7-8'!C13</f>
        <v>68155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334682</v>
      </c>
      <c r="C2561" s="2" t="s">
        <v>594</v>
      </c>
      <c r="D2561" s="2" t="str">
        <f t="shared" si="39"/>
        <v>Error?</v>
      </c>
    </row>
    <row r="2562" spans="1:4" x14ac:dyDescent="0.2">
      <c r="A2562" s="5">
        <v>2501</v>
      </c>
      <c r="B2562" s="138">
        <f>'Acct Summary 7-8'!C20</f>
        <v>167841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39295</v>
      </c>
      <c r="D2718" s="2" t="str">
        <f t="shared" si="41"/>
        <v>Error?</v>
      </c>
    </row>
    <row r="2719" spans="1:4" x14ac:dyDescent="0.2">
      <c r="A2719" s="5">
        <v>2658</v>
      </c>
      <c r="B2719" s="138">
        <f>'Expenditures 15-22'!D51</f>
        <v>5544</v>
      </c>
      <c r="D2719" s="2" t="str">
        <f t="shared" si="41"/>
        <v>Error?</v>
      </c>
    </row>
    <row r="2720" spans="1:4" x14ac:dyDescent="0.2">
      <c r="A2720" s="5">
        <v>2659</v>
      </c>
      <c r="B2720" s="138">
        <f>'Expenditures 15-22'!E51</f>
        <v>6160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50999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167841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159418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502523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334682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160416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234715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234715</v>
      </c>
      <c r="C5087" s="2" t="s">
        <v>594</v>
      </c>
      <c r="D5087" s="2" t="str">
        <f t="shared" si="78"/>
        <v>Error?</v>
      </c>
    </row>
    <row r="5088" spans="1:4" x14ac:dyDescent="0.2">
      <c r="A5088" s="5">
        <v>5027</v>
      </c>
      <c r="B5088" s="138">
        <f>'Revenues 9-14'!C65</f>
        <v>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2400</v>
      </c>
      <c r="D5101" s="2" t="str">
        <f t="shared" si="78"/>
        <v>Error?</v>
      </c>
    </row>
    <row r="5102" spans="1:4" x14ac:dyDescent="0.2">
      <c r="A5102" s="5">
        <v>5041</v>
      </c>
      <c r="B5102" s="138">
        <f>'Revenues 9-14'!C82</f>
        <v>2400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41050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41050</v>
      </c>
      <c r="C5120" s="2" t="s">
        <v>594</v>
      </c>
      <c r="D5120" s="2" t="str">
        <f t="shared" si="79"/>
        <v>Error?</v>
      </c>
    </row>
    <row r="5121" spans="1:4" x14ac:dyDescent="0.2">
      <c r="A5121" s="5">
        <v>5060</v>
      </c>
      <c r="B5121" s="138">
        <f>'Revenues 9-14'!C109</f>
        <v>278257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222017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222017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2249</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2249</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224266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224266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502523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1351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100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167841</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1.0462859066427288</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29'!D21</f>
        <v>0</v>
      </c>
      <c r="D7797" s="2" t="str">
        <f t="shared" si="127"/>
        <v>Error?</v>
      </c>
      <c r="E7797" s="4" t="s">
        <v>2019</v>
      </c>
    </row>
    <row r="7798" spans="1:5" x14ac:dyDescent="0.2">
      <c r="A7798">
        <v>7737</v>
      </c>
      <c r="B7798" s="138">
        <f>'Contracts Paid in CY 29'!F21</f>
        <v>0</v>
      </c>
      <c r="D7798" s="2" t="str">
        <f t="shared" si="127"/>
        <v>Error?</v>
      </c>
      <c r="E7798" s="4" t="s">
        <v>2019</v>
      </c>
    </row>
    <row r="7799" spans="1:5" x14ac:dyDescent="0.2">
      <c r="A7799">
        <v>7738</v>
      </c>
      <c r="B7799" s="138">
        <f>'Contracts Paid in CY 29'!G21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B48" sqref="B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1" t="s">
        <v>1253</v>
      </c>
      <c r="B2" s="2391"/>
      <c r="C2" s="2391"/>
      <c r="D2" s="2391"/>
      <c r="E2" s="2391"/>
      <c r="F2" s="2391"/>
      <c r="G2" s="2391"/>
      <c r="H2" s="2391"/>
      <c r="I2" s="2391"/>
      <c r="J2" s="2391"/>
      <c r="K2" s="2391"/>
      <c r="L2" s="2391"/>
    </row>
    <row r="3" spans="1:29" ht="13.5" customHeight="1" x14ac:dyDescent="0.2">
      <c r="A3" s="2422" t="s">
        <v>1252</v>
      </c>
      <c r="B3" s="2422"/>
      <c r="C3" s="2422"/>
      <c r="D3" s="2422"/>
      <c r="E3" s="2422"/>
      <c r="F3" s="2422"/>
      <c r="G3" s="2422"/>
      <c r="H3" s="2422"/>
      <c r="I3" s="2422"/>
      <c r="J3" s="2422"/>
      <c r="K3" s="2422"/>
      <c r="L3" s="2422"/>
    </row>
    <row r="4" spans="1:29" ht="13.5" customHeight="1" x14ac:dyDescent="0.2">
      <c r="A4" s="2391" t="s">
        <v>1799</v>
      </c>
      <c r="B4" s="2412"/>
      <c r="C4" s="2412"/>
      <c r="D4" s="2412"/>
      <c r="E4" s="2412"/>
      <c r="F4" s="2412"/>
      <c r="G4" s="2412"/>
      <c r="H4" s="2412"/>
      <c r="I4" s="2412"/>
      <c r="J4" s="2412"/>
      <c r="K4" s="2412"/>
      <c r="L4" s="241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Lincoland Technical Ed Ctr</v>
      </c>
      <c r="B7" s="2414"/>
      <c r="C7" s="2414"/>
      <c r="D7" s="2415"/>
      <c r="E7" s="2416">
        <f>COVER!A13</f>
        <v>17054404041</v>
      </c>
      <c r="F7" s="2417"/>
      <c r="G7" s="2423" t="str">
        <f>COVER!T23</f>
        <v>066-005243</v>
      </c>
      <c r="H7" s="2424"/>
      <c r="I7" s="2424"/>
      <c r="J7" s="2424"/>
      <c r="K7" s="2424"/>
      <c r="L7" s="242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6"/>
      <c r="B9" s="2427"/>
      <c r="C9" s="2427"/>
      <c r="D9" s="2427"/>
      <c r="E9" s="2427"/>
      <c r="F9" s="2428"/>
      <c r="G9" s="2397" t="str">
        <f>COVER!T13</f>
        <v>J.M. ABBOTT &amp; ASSOCIATES, LTD.</v>
      </c>
      <c r="H9" s="2429"/>
      <c r="I9" s="2429"/>
      <c r="J9" s="2429"/>
      <c r="K9" s="2429"/>
      <c r="L9" s="2430"/>
    </row>
    <row r="10" spans="1:29" ht="13.5" customHeight="1" x14ac:dyDescent="0.2">
      <c r="A10" s="2403" t="str">
        <f>COVER!A38</f>
        <v>R. MATTHEW PUCKETT</v>
      </c>
      <c r="B10" s="2404"/>
      <c r="C10" s="2404"/>
      <c r="D10" s="2404"/>
      <c r="E10" s="2404"/>
      <c r="F10" s="2405"/>
      <c r="G10" s="2397" t="str">
        <f>COVER!T17</f>
        <v>207 S. MCLEAN ST.</v>
      </c>
      <c r="H10" s="2398"/>
      <c r="I10" s="2398"/>
      <c r="J10" s="2398"/>
      <c r="K10" s="2398"/>
      <c r="L10" s="2399"/>
    </row>
    <row r="11" spans="1:29" ht="13.5" customHeight="1" x14ac:dyDescent="0.2">
      <c r="A11" s="1185" t="s">
        <v>1599</v>
      </c>
      <c r="B11" s="1186"/>
      <c r="C11" s="1187"/>
      <c r="D11" s="1192"/>
      <c r="E11" s="1187"/>
      <c r="F11" s="1191"/>
      <c r="G11" s="2397" t="str">
        <f>COVER!T19</f>
        <v>LINCOLN</v>
      </c>
      <c r="H11" s="2398"/>
      <c r="I11" s="2398"/>
      <c r="J11" s="2398"/>
      <c r="K11" s="2398"/>
      <c r="L11" s="2399"/>
    </row>
    <row r="12" spans="1:29" ht="13.5" customHeight="1" x14ac:dyDescent="0.2">
      <c r="A12" s="2406" t="s">
        <v>1598</v>
      </c>
      <c r="B12" s="2407"/>
      <c r="C12" s="2407"/>
      <c r="D12" s="2407"/>
      <c r="E12" s="2407"/>
      <c r="F12" s="2408"/>
      <c r="G12" s="2400"/>
      <c r="H12" s="2401"/>
      <c r="I12" s="2401"/>
      <c r="J12" s="2401"/>
      <c r="K12" s="2401"/>
      <c r="L12" s="2402"/>
    </row>
    <row r="13" spans="1:29" ht="13.5" customHeight="1" x14ac:dyDescent="0.2">
      <c r="A13" s="2397"/>
      <c r="B13" s="2398"/>
      <c r="C13" s="2398"/>
      <c r="D13" s="2398"/>
      <c r="E13" s="2398"/>
      <c r="F13" s="2399"/>
      <c r="G13" s="2392" t="s">
        <v>1600</v>
      </c>
      <c r="H13" s="2393"/>
      <c r="I13" s="2409" t="str">
        <f>COVER!T25</f>
        <v>DEB@JMABBOTT.COM</v>
      </c>
      <c r="J13" s="2410"/>
      <c r="K13" s="2410"/>
      <c r="L13" s="2411"/>
    </row>
    <row r="14" spans="1:29" ht="13.5" customHeight="1" x14ac:dyDescent="0.2">
      <c r="A14" s="2397" t="str">
        <f>COVER!A19</f>
        <v>1000 RAILER WAY</v>
      </c>
      <c r="B14" s="2398"/>
      <c r="C14" s="2398"/>
      <c r="D14" s="2398"/>
      <c r="E14" s="2398"/>
      <c r="F14" s="2399"/>
      <c r="G14" s="1196" t="s">
        <v>1247</v>
      </c>
      <c r="H14" s="1194"/>
      <c r="I14" s="1194"/>
      <c r="J14" s="1194"/>
      <c r="K14" s="1194"/>
      <c r="L14" s="1195"/>
    </row>
    <row r="15" spans="1:29" ht="13.5" customHeight="1" x14ac:dyDescent="0.2">
      <c r="A15" s="2397" t="str">
        <f>COVER!A21</f>
        <v>LINCOLN</v>
      </c>
      <c r="B15" s="2398"/>
      <c r="C15" s="2398"/>
      <c r="D15" s="2398"/>
      <c r="E15" s="2398"/>
      <c r="F15" s="2399"/>
      <c r="G15" s="2394" t="str">
        <f>COVER!T15</f>
        <v>DEBRA CURRY</v>
      </c>
      <c r="H15" s="2395"/>
      <c r="I15" s="2395"/>
      <c r="J15" s="2395"/>
      <c r="K15" s="2395"/>
      <c r="L15" s="2396"/>
    </row>
    <row r="16" spans="1:29" ht="12.2" customHeight="1" x14ac:dyDescent="0.2">
      <c r="A16" s="2419">
        <f>COVER!A25</f>
        <v>62656</v>
      </c>
      <c r="B16" s="2420"/>
      <c r="C16" s="2420"/>
      <c r="D16" s="2420"/>
      <c r="E16" s="2420"/>
      <c r="F16" s="2421"/>
      <c r="G16" s="2431"/>
      <c r="H16" s="2432"/>
      <c r="I16" s="2432"/>
      <c r="J16" s="2432"/>
      <c r="K16" s="2432"/>
      <c r="L16" s="2433"/>
    </row>
    <row r="17" spans="1:13" ht="12.2" customHeight="1" x14ac:dyDescent="0.2">
      <c r="A17" s="2434"/>
      <c r="B17" s="2420"/>
      <c r="C17" s="2420"/>
      <c r="D17" s="2420"/>
      <c r="E17" s="2420"/>
      <c r="F17" s="2421"/>
      <c r="G17" s="1196" t="s">
        <v>1246</v>
      </c>
      <c r="H17" s="1194"/>
      <c r="I17" s="1194"/>
      <c r="J17" s="1194"/>
      <c r="K17" s="1198" t="s">
        <v>1245</v>
      </c>
      <c r="L17" s="1191"/>
      <c r="M17" s="1184"/>
    </row>
    <row r="18" spans="1:13" ht="12.2" customHeight="1" x14ac:dyDescent="0.2">
      <c r="A18" s="2403"/>
      <c r="B18" s="2404"/>
      <c r="C18" s="2404"/>
      <c r="D18" s="2404"/>
      <c r="E18" s="2404"/>
      <c r="F18" s="2405"/>
      <c r="G18" s="2413" t="str">
        <f>COVER!T21</f>
        <v>217-735-1576</v>
      </c>
      <c r="H18" s="2414"/>
      <c r="I18" s="2414"/>
      <c r="J18" s="2414"/>
      <c r="K18" s="2413" t="str">
        <f>COVER!X21</f>
        <v>217-735-5866</v>
      </c>
      <c r="L18" s="241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2076</v>
      </c>
      <c r="C26" s="1203" t="s">
        <v>1801</v>
      </c>
    </row>
    <row r="27" spans="1:13" s="1199" customFormat="1" ht="9" customHeight="1" x14ac:dyDescent="0.2">
      <c r="B27" s="1204"/>
      <c r="C27" s="1203"/>
    </row>
    <row r="28" spans="1:13" s="1199" customFormat="1" ht="12.2" customHeight="1" x14ac:dyDescent="0.2">
      <c r="A28" s="1206"/>
      <c r="B28" s="1202" t="s">
        <v>2076</v>
      </c>
      <c r="C28" s="1203" t="s">
        <v>1802</v>
      </c>
    </row>
    <row r="29" spans="1:13" s="1199" customFormat="1" ht="9" customHeight="1" x14ac:dyDescent="0.2">
      <c r="A29" s="1206"/>
      <c r="B29" s="1204"/>
      <c r="C29" s="1203"/>
    </row>
    <row r="30" spans="1:13" s="1199" customFormat="1" ht="12.2" customHeight="1" x14ac:dyDescent="0.2">
      <c r="B30" s="1202" t="s">
        <v>2076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2076</v>
      </c>
      <c r="C38" s="1203" t="s">
        <v>1647</v>
      </c>
    </row>
    <row r="39" spans="1:8" ht="9" customHeight="1" x14ac:dyDescent="0.2">
      <c r="B39" s="1204"/>
      <c r="C39" s="1207"/>
    </row>
    <row r="40" spans="1:8" s="1199" customFormat="1" ht="13.5" customHeight="1" x14ac:dyDescent="0.2">
      <c r="B40" s="1202" t="s">
        <v>2076</v>
      </c>
      <c r="C40" s="1203" t="s">
        <v>1648</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2076</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5" t="str">
        <f>'Single Audit Cover'!A7</f>
        <v>Lincoland Technical Ed Ctr</v>
      </c>
      <c r="B1" s="2412"/>
      <c r="C1" s="2412"/>
      <c r="D1" s="2412"/>
    </row>
    <row r="2" spans="1:11" s="1215" customFormat="1" ht="12.75" x14ac:dyDescent="0.2">
      <c r="A2" s="2436">
        <f>'Single Audit Cover'!E7</f>
        <v>17054404041</v>
      </c>
      <c r="B2" s="2437"/>
      <c r="C2" s="2437"/>
      <c r="D2" s="2437"/>
    </row>
    <row r="3" spans="1:11" s="1215" customFormat="1" ht="12.75" x14ac:dyDescent="0.2">
      <c r="A3" s="2435" t="s">
        <v>1593</v>
      </c>
      <c r="B3" s="2412"/>
      <c r="C3" s="2412"/>
      <c r="D3" s="241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2076</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2076</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2076</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2076</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2076</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2076</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2076</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2076</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2076</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2076</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2076</v>
      </c>
      <c r="C42" s="1232">
        <v>11</v>
      </c>
      <c r="D42" s="1243" t="s">
        <v>1655</v>
      </c>
      <c r="E42" s="312"/>
    </row>
    <row r="43" spans="1:5" ht="3" customHeight="1" x14ac:dyDescent="0.2">
      <c r="A43" s="1222"/>
      <c r="B43" s="1239"/>
      <c r="C43" s="1240"/>
      <c r="D43" s="1221"/>
    </row>
    <row r="44" spans="1:5" x14ac:dyDescent="0.2">
      <c r="A44" s="1222"/>
      <c r="B44" s="1225" t="s">
        <v>2076</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2076</v>
      </c>
      <c r="C48" s="1226">
        <f>C44+1</f>
        <v>13</v>
      </c>
      <c r="D48" s="1237" t="s">
        <v>1656</v>
      </c>
    </row>
    <row r="49" spans="1:4" ht="3" customHeight="1" x14ac:dyDescent="0.2">
      <c r="A49" s="1222"/>
      <c r="B49" s="1229"/>
      <c r="C49" s="1226"/>
      <c r="D49" s="1237"/>
    </row>
    <row r="50" spans="1:4" x14ac:dyDescent="0.2">
      <c r="A50" s="1222"/>
      <c r="B50" s="1225" t="s">
        <v>2076</v>
      </c>
      <c r="C50" s="1226">
        <f>C48+1</f>
        <v>14</v>
      </c>
      <c r="D50" s="1237" t="s">
        <v>1274</v>
      </c>
    </row>
    <row r="51" spans="1:4" ht="3" customHeight="1" x14ac:dyDescent="0.2">
      <c r="A51" s="1222"/>
      <c r="B51" s="1229"/>
      <c r="C51" s="1226"/>
      <c r="D51" s="1237"/>
    </row>
    <row r="52" spans="1:4" x14ac:dyDescent="0.2">
      <c r="A52" s="1222"/>
      <c r="B52" s="1225" t="s">
        <v>2076</v>
      </c>
      <c r="C52" s="1226">
        <f>C50+1</f>
        <v>15</v>
      </c>
      <c r="D52" s="1237" t="s">
        <v>1273</v>
      </c>
    </row>
    <row r="53" spans="1:4" ht="3" customHeight="1" x14ac:dyDescent="0.2">
      <c r="A53" s="1222"/>
      <c r="B53" s="1229"/>
      <c r="C53" s="1226"/>
      <c r="D53" s="1237"/>
    </row>
    <row r="54" spans="1:4" x14ac:dyDescent="0.2">
      <c r="A54" s="1222"/>
      <c r="B54" s="1225" t="s">
        <v>2076</v>
      </c>
      <c r="C54" s="1226">
        <f>C52+1</f>
        <v>16</v>
      </c>
      <c r="D54" s="1237" t="s">
        <v>1272</v>
      </c>
    </row>
    <row r="55" spans="1:4" ht="3" customHeight="1" x14ac:dyDescent="0.2">
      <c r="A55" s="1222"/>
      <c r="B55" s="1229"/>
      <c r="C55" s="1226"/>
      <c r="D55" s="1237"/>
    </row>
    <row r="56" spans="1:4" x14ac:dyDescent="0.2">
      <c r="A56" s="1222"/>
      <c r="B56" s="1225" t="s">
        <v>2076</v>
      </c>
      <c r="C56" s="1226">
        <f>C54+1</f>
        <v>17</v>
      </c>
      <c r="D56" s="1221" t="s">
        <v>1811</v>
      </c>
    </row>
    <row r="57" spans="1:4" ht="10.5" customHeight="1" x14ac:dyDescent="0.2">
      <c r="A57" s="1222"/>
      <c r="D57" s="1237" t="s">
        <v>1812</v>
      </c>
    </row>
    <row r="58" spans="1:4" x14ac:dyDescent="0.2">
      <c r="A58" s="1222"/>
      <c r="C58" s="1244" t="s">
        <v>2076</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2076</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2076</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2076</v>
      </c>
      <c r="D69" s="1237" t="s">
        <v>1816</v>
      </c>
    </row>
    <row r="70" spans="1:4" x14ac:dyDescent="0.2">
      <c r="A70" s="1222"/>
      <c r="D70" s="1246" t="s">
        <v>1268</v>
      </c>
    </row>
    <row r="71" spans="1:4" ht="3" customHeight="1" x14ac:dyDescent="0.2">
      <c r="A71" s="1222"/>
      <c r="D71" s="1221"/>
    </row>
    <row r="72" spans="1:4" x14ac:dyDescent="0.2">
      <c r="A72" s="1222"/>
      <c r="B72" s="1225" t="s">
        <v>2076</v>
      </c>
      <c r="C72" s="1226">
        <f>C56+1</f>
        <v>18</v>
      </c>
      <c r="D72" s="1247" t="s">
        <v>1817</v>
      </c>
    </row>
    <row r="73" spans="1:4" ht="3" customHeight="1" x14ac:dyDescent="0.2">
      <c r="A73" s="1222"/>
      <c r="B73" s="1229"/>
      <c r="C73" s="1226"/>
      <c r="D73" s="1247"/>
    </row>
    <row r="74" spans="1:4" x14ac:dyDescent="0.2">
      <c r="A74" s="1222"/>
      <c r="B74" s="1225" t="s">
        <v>2076</v>
      </c>
      <c r="C74" s="1226">
        <f>C72+1</f>
        <v>19</v>
      </c>
      <c r="D74" s="1237" t="s">
        <v>1267</v>
      </c>
    </row>
    <row r="75" spans="1:4" ht="3" customHeight="1" x14ac:dyDescent="0.2">
      <c r="A75" s="1222"/>
      <c r="B75" s="1229"/>
      <c r="C75" s="1226"/>
      <c r="D75" s="1237"/>
    </row>
    <row r="76" spans="1:4" x14ac:dyDescent="0.2">
      <c r="A76" s="1222"/>
      <c r="B76" s="1225" t="s">
        <v>2076</v>
      </c>
      <c r="C76" s="1226">
        <f>C74+1</f>
        <v>20</v>
      </c>
      <c r="D76" s="1248" t="s">
        <v>1818</v>
      </c>
    </row>
    <row r="77" spans="1:4" ht="3" customHeight="1" x14ac:dyDescent="0.2">
      <c r="A77" s="1222"/>
      <c r="B77" s="1229"/>
      <c r="C77" s="1226"/>
      <c r="D77" s="1248"/>
    </row>
    <row r="78" spans="1:4" x14ac:dyDescent="0.2">
      <c r="A78" s="1222"/>
      <c r="B78" s="1225" t="s">
        <v>2076</v>
      </c>
      <c r="C78" s="1226">
        <f>C76+1</f>
        <v>21</v>
      </c>
      <c r="D78" s="1221" t="s">
        <v>1819</v>
      </c>
    </row>
    <row r="79" spans="1:4" ht="3" customHeight="1" x14ac:dyDescent="0.2">
      <c r="A79" s="1222"/>
      <c r="B79" s="1229"/>
      <c r="C79" s="1226"/>
      <c r="D79" s="1221"/>
    </row>
    <row r="80" spans="1:4" x14ac:dyDescent="0.2">
      <c r="A80" s="1222"/>
      <c r="B80" s="1225" t="s">
        <v>2076</v>
      </c>
      <c r="C80" s="1226">
        <f>C78+1</f>
        <v>22</v>
      </c>
      <c r="D80" s="1249" t="s">
        <v>1820</v>
      </c>
    </row>
    <row r="81" spans="1:4" ht="3" customHeight="1" x14ac:dyDescent="0.2">
      <c r="A81" s="1222"/>
      <c r="B81" s="1229"/>
      <c r="C81" s="1226"/>
      <c r="D81" s="1249"/>
    </row>
    <row r="82" spans="1:4" x14ac:dyDescent="0.2">
      <c r="A82" s="1222"/>
      <c r="B82" s="1225" t="s">
        <v>2076</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2076</v>
      </c>
      <c r="C85" s="1226">
        <f>C82+1</f>
        <v>24</v>
      </c>
      <c r="D85" s="1237" t="s">
        <v>1265</v>
      </c>
    </row>
    <row r="86" spans="1:4" ht="3" customHeight="1" x14ac:dyDescent="0.2">
      <c r="A86" s="1222"/>
      <c r="B86" s="1229"/>
      <c r="C86" s="1226"/>
      <c r="D86" s="1237"/>
    </row>
    <row r="87" spans="1:4" x14ac:dyDescent="0.2">
      <c r="A87" s="1222"/>
      <c r="B87" s="1225" t="s">
        <v>2076</v>
      </c>
      <c r="C87" s="1226">
        <f>C85+1</f>
        <v>25</v>
      </c>
      <c r="D87" s="1237" t="s">
        <v>1264</v>
      </c>
    </row>
    <row r="88" spans="1:4" ht="3" customHeight="1" x14ac:dyDescent="0.2">
      <c r="A88" s="1222"/>
      <c r="B88" s="1229"/>
      <c r="C88" s="1226"/>
      <c r="D88" s="1237"/>
    </row>
    <row r="89" spans="1:4" x14ac:dyDescent="0.2">
      <c r="A89" s="1222"/>
      <c r="B89" s="1225" t="s">
        <v>2076</v>
      </c>
      <c r="C89" s="1226">
        <f>C87+1</f>
        <v>26</v>
      </c>
      <c r="D89" s="1237" t="s">
        <v>1263</v>
      </c>
    </row>
    <row r="90" spans="1:4" ht="3" customHeight="1" x14ac:dyDescent="0.2">
      <c r="A90" s="1222"/>
      <c r="B90" s="1229"/>
      <c r="C90" s="1226"/>
      <c r="D90" s="1237"/>
    </row>
    <row r="91" spans="1:4" x14ac:dyDescent="0.2">
      <c r="A91" s="1222"/>
      <c r="B91" s="1225" t="s">
        <v>2085</v>
      </c>
      <c r="C91" s="1226">
        <f>C89+1</f>
        <v>27</v>
      </c>
      <c r="D91" s="1237" t="s">
        <v>1822</v>
      </c>
    </row>
    <row r="92" spans="1:4" x14ac:dyDescent="0.2">
      <c r="A92" s="1222"/>
      <c r="B92" s="1250"/>
      <c r="C92" s="1244" t="s">
        <v>2085</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2076</v>
      </c>
      <c r="C96" s="1226">
        <f>C91+1</f>
        <v>28</v>
      </c>
      <c r="D96" s="1237" t="s">
        <v>1823</v>
      </c>
    </row>
    <row r="97" spans="1:4" ht="3" customHeight="1" x14ac:dyDescent="0.2">
      <c r="A97" s="1222"/>
      <c r="B97" s="1229"/>
      <c r="C97" s="1226"/>
      <c r="D97" s="1237"/>
    </row>
    <row r="98" spans="1:4" x14ac:dyDescent="0.2">
      <c r="A98" s="1222"/>
      <c r="B98" s="1225" t="s">
        <v>2076</v>
      </c>
      <c r="C98" s="1226">
        <f>C96+1</f>
        <v>29</v>
      </c>
      <c r="D98" s="1251" t="s">
        <v>1824</v>
      </c>
    </row>
    <row r="99" spans="1:4" ht="3" customHeight="1" x14ac:dyDescent="0.2">
      <c r="A99" s="1222"/>
      <c r="B99" s="1229"/>
      <c r="C99" s="1226"/>
      <c r="D99" s="1251"/>
    </row>
    <row r="100" spans="1:4" x14ac:dyDescent="0.2">
      <c r="A100" s="1222"/>
      <c r="B100" s="1225" t="s">
        <v>2076</v>
      </c>
      <c r="C100" s="1226">
        <f>C98+1</f>
        <v>30</v>
      </c>
      <c r="D100" s="1237" t="s">
        <v>1825</v>
      </c>
    </row>
    <row r="101" spans="1:4" ht="3" customHeight="1" x14ac:dyDescent="0.2">
      <c r="A101" s="1222"/>
      <c r="B101" s="1229"/>
      <c r="C101" s="1226"/>
      <c r="D101" s="1252"/>
    </row>
    <row r="102" spans="1:4" x14ac:dyDescent="0.2">
      <c r="A102" s="1222"/>
      <c r="B102" s="1225" t="s">
        <v>2076</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2076</v>
      </c>
      <c r="C106" s="1226">
        <f>C102+1</f>
        <v>32</v>
      </c>
      <c r="D106" s="1221" t="s">
        <v>1661</v>
      </c>
    </row>
    <row r="107" spans="1:4" ht="3" customHeight="1" x14ac:dyDescent="0.2">
      <c r="A107" s="1222"/>
      <c r="B107" s="1229"/>
      <c r="C107" s="1226"/>
      <c r="D107" s="1221"/>
    </row>
    <row r="108" spans="1:4" x14ac:dyDescent="0.2">
      <c r="A108" s="1222"/>
      <c r="B108" s="1225" t="s">
        <v>2076</v>
      </c>
      <c r="C108" s="1226">
        <v>33</v>
      </c>
      <c r="D108" s="1221" t="s">
        <v>1826</v>
      </c>
    </row>
    <row r="109" spans="1:4" ht="3" customHeight="1" x14ac:dyDescent="0.2">
      <c r="A109" s="1222"/>
      <c r="B109" s="1229"/>
      <c r="C109" s="1226"/>
      <c r="D109" s="1221"/>
    </row>
    <row r="110" spans="1:4" x14ac:dyDescent="0.2">
      <c r="A110" s="1222"/>
      <c r="B110" s="1225" t="s">
        <v>2076</v>
      </c>
      <c r="C110" s="1226">
        <f>C108+1</f>
        <v>34</v>
      </c>
      <c r="D110" s="1221" t="s">
        <v>1260</v>
      </c>
    </row>
    <row r="111" spans="1:4" ht="3" customHeight="1" x14ac:dyDescent="0.2">
      <c r="A111" s="1222"/>
      <c r="B111" s="1229"/>
      <c r="C111" s="1226"/>
      <c r="D111" s="1221"/>
    </row>
    <row r="112" spans="1:4" x14ac:dyDescent="0.2">
      <c r="A112" s="1222"/>
      <c r="B112" s="1225" t="s">
        <v>2076</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2085</v>
      </c>
      <c r="C115" s="1226">
        <f>C112+1</f>
        <v>36</v>
      </c>
      <c r="D115" s="1237" t="s">
        <v>1257</v>
      </c>
    </row>
    <row r="116" spans="1:4" ht="3" customHeight="1" x14ac:dyDescent="0.2">
      <c r="A116" s="1222"/>
      <c r="B116" s="1229"/>
      <c r="C116" s="1226"/>
      <c r="D116" s="1237"/>
    </row>
    <row r="117" spans="1:4" x14ac:dyDescent="0.2">
      <c r="A117" s="1222"/>
      <c r="B117" s="1225" t="s">
        <v>2085</v>
      </c>
      <c r="C117" s="1226">
        <f>C115+1</f>
        <v>37</v>
      </c>
      <c r="D117" s="1237" t="s">
        <v>1827</v>
      </c>
    </row>
    <row r="118" spans="1:4" ht="3" customHeight="1" x14ac:dyDescent="0.2">
      <c r="A118" s="1222"/>
      <c r="B118" s="1229"/>
      <c r="C118" s="1226"/>
      <c r="D118" s="1237"/>
    </row>
    <row r="119" spans="1:4" x14ac:dyDescent="0.2">
      <c r="A119" s="1222"/>
      <c r="B119" s="1225" t="s">
        <v>2085</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2076</v>
      </c>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9" t="str">
        <f>'Single Audit Cover'!A7</f>
        <v>Lincoland Technical Ed Ctr</v>
      </c>
      <c r="B1" s="2439"/>
      <c r="C1" s="2439"/>
      <c r="D1" s="2439"/>
      <c r="E1" s="2439"/>
    </row>
    <row r="2" spans="1:5" x14ac:dyDescent="0.2">
      <c r="A2" s="2440">
        <f>'Single Audit Cover'!E7</f>
        <v>17054404041</v>
      </c>
      <c r="B2" s="2440"/>
      <c r="C2" s="2440"/>
      <c r="D2" s="2440"/>
      <c r="E2" s="2440"/>
    </row>
    <row r="3" spans="1:5" ht="4.5" customHeight="1" x14ac:dyDescent="0.2"/>
    <row r="4" spans="1:5" x14ac:dyDescent="0.2">
      <c r="A4" s="2439" t="s">
        <v>1307</v>
      </c>
      <c r="B4" s="2439"/>
      <c r="C4" s="2439"/>
      <c r="D4" s="2439"/>
      <c r="E4" s="2439"/>
    </row>
    <row r="5" spans="1:5" x14ac:dyDescent="0.2">
      <c r="A5" s="2442" t="str">
        <f>'Single Audit Cover'!A4</f>
        <v>Year Ending June 30, 2018</v>
      </c>
      <c r="B5" s="2442"/>
      <c r="C5" s="2442"/>
      <c r="D5" s="2442"/>
      <c r="E5" s="2442"/>
    </row>
    <row r="6" spans="1:5" x14ac:dyDescent="0.2">
      <c r="A6" s="2439" t="s">
        <v>1306</v>
      </c>
      <c r="B6" s="2439"/>
      <c r="C6" s="2439"/>
      <c r="D6" s="2439"/>
      <c r="E6" s="2439"/>
    </row>
    <row r="8" spans="1:5" x14ac:dyDescent="0.2">
      <c r="A8" s="1260" t="s">
        <v>1305</v>
      </c>
    </row>
    <row r="10" spans="1:5" x14ac:dyDescent="0.2">
      <c r="A10" s="1261" t="s">
        <v>1304</v>
      </c>
      <c r="B10" s="1262" t="s">
        <v>1303</v>
      </c>
      <c r="C10" s="1262"/>
      <c r="D10" s="1263">
        <f>SUM('Acct Summary 7-8'!C7:K7)</f>
        <v>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1"/>
      <c r="B24" s="2441"/>
      <c r="D24" s="1268"/>
    </row>
    <row r="25" spans="1:4" x14ac:dyDescent="0.2">
      <c r="A25" s="2438"/>
      <c r="B25" s="2438"/>
      <c r="D25" s="1268"/>
    </row>
    <row r="26" spans="1:4" x14ac:dyDescent="0.2">
      <c r="A26" s="2438"/>
      <c r="B26" s="2438"/>
      <c r="D26" s="1268"/>
    </row>
    <row r="27" spans="1:4" x14ac:dyDescent="0.2">
      <c r="A27" s="2438"/>
      <c r="B27" s="2438"/>
      <c r="D27" s="1268"/>
    </row>
    <row r="28" spans="1:4" x14ac:dyDescent="0.2">
      <c r="A28" s="2438"/>
      <c r="B28" s="2438"/>
      <c r="D28" s="1268"/>
    </row>
    <row r="29" spans="1:4" x14ac:dyDescent="0.2">
      <c r="A29" s="2438"/>
      <c r="B29" s="2438"/>
      <c r="D29" s="1268"/>
    </row>
    <row r="30" spans="1:4" x14ac:dyDescent="0.2">
      <c r="A30" s="2438"/>
      <c r="B30" s="2438"/>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38"/>
      <c r="B40" s="2438"/>
      <c r="D40" s="1268"/>
    </row>
    <row r="41" spans="1:4" x14ac:dyDescent="0.2">
      <c r="A41" s="2438"/>
      <c r="B41" s="2438"/>
      <c r="D41" s="1271"/>
    </row>
    <row r="42" spans="1:4" x14ac:dyDescent="0.2">
      <c r="A42" s="2438"/>
      <c r="B42" s="2438"/>
      <c r="D42" s="1271"/>
    </row>
    <row r="43" spans="1:4" x14ac:dyDescent="0.2">
      <c r="A43" s="2438"/>
      <c r="B43" s="2438"/>
      <c r="D43" s="1271"/>
    </row>
    <row r="44" spans="1:4" x14ac:dyDescent="0.2">
      <c r="A44" s="2438"/>
      <c r="B44" s="2438"/>
      <c r="D44" s="1271"/>
    </row>
    <row r="45" spans="1:4" x14ac:dyDescent="0.2">
      <c r="A45" s="2438"/>
      <c r="B45" s="2438"/>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Lincoland Technical Ed Ctr</v>
      </c>
      <c r="B1" s="2452"/>
      <c r="C1" s="2452"/>
      <c r="D1" s="2452"/>
      <c r="E1" s="2452"/>
      <c r="F1" s="2452"/>
    </row>
    <row r="2" spans="1:7" ht="13.5" customHeight="1" x14ac:dyDescent="0.2">
      <c r="A2" s="2453">
        <f>'Single Audit Cover'!E7</f>
        <v>17054404041</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2086</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2087</v>
      </c>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1" t="s">
        <v>1833</v>
      </c>
      <c r="B13" s="2451"/>
      <c r="C13" s="2451"/>
      <c r="D13" s="2451"/>
      <c r="E13" s="2451"/>
      <c r="F13" s="2451"/>
    </row>
    <row r="14" spans="1:7" ht="9.75" customHeight="1" x14ac:dyDescent="0.2">
      <c r="C14" s="1260"/>
      <c r="D14" s="1260"/>
    </row>
    <row r="15" spans="1:7" ht="13.5" customHeight="1" x14ac:dyDescent="0.2">
      <c r="C15" s="1865" t="s">
        <v>1332</v>
      </c>
      <c r="D15" s="2449" t="s">
        <v>1331</v>
      </c>
      <c r="E15" s="2449"/>
      <c r="F15" s="2449"/>
    </row>
    <row r="16" spans="1:7" ht="13.5" customHeight="1" x14ac:dyDescent="0.2">
      <c r="A16" s="1282"/>
      <c r="B16" s="1276" t="s">
        <v>1330</v>
      </c>
      <c r="C16" s="1865" t="s">
        <v>1329</v>
      </c>
      <c r="D16" s="2450" t="s">
        <v>1670</v>
      </c>
      <c r="E16" s="2450"/>
      <c r="F16" s="2450"/>
    </row>
    <row r="17" spans="1:6" ht="20.45" customHeight="1" x14ac:dyDescent="0.2">
      <c r="A17" s="1283"/>
      <c r="B17" s="1284" t="s">
        <v>2085</v>
      </c>
      <c r="C17" s="1285"/>
      <c r="D17" s="2444"/>
      <c r="E17" s="2444"/>
      <c r="F17" s="2444"/>
    </row>
    <row r="18" spans="1:6" ht="20.65" customHeight="1" x14ac:dyDescent="0.2">
      <c r="A18" s="1283"/>
      <c r="B18" s="1284"/>
      <c r="C18" s="1285"/>
      <c r="D18" s="2444"/>
      <c r="E18" s="2444"/>
      <c r="F18" s="2444"/>
    </row>
    <row r="19" spans="1:6" ht="20.65" customHeight="1" x14ac:dyDescent="0.2">
      <c r="A19" s="1283"/>
      <c r="B19" s="1284"/>
      <c r="C19" s="1285"/>
      <c r="D19" s="2444"/>
      <c r="E19" s="2444"/>
      <c r="F19" s="2444"/>
    </row>
    <row r="20" spans="1:6" ht="20.65" customHeight="1" x14ac:dyDescent="0.2">
      <c r="A20" s="1283"/>
      <c r="B20" s="1284"/>
      <c r="C20" s="1285"/>
      <c r="D20" s="2444"/>
      <c r="E20" s="2444"/>
      <c r="F20" s="2444"/>
    </row>
    <row r="21" spans="1:6" ht="20.65" customHeight="1" x14ac:dyDescent="0.2">
      <c r="A21" s="1283"/>
      <c r="B21" s="1284"/>
      <c r="C21" s="1285"/>
      <c r="D21" s="2444"/>
      <c r="E21" s="2444"/>
      <c r="F21" s="2444"/>
    </row>
    <row r="22" spans="1:6" ht="20.65" customHeight="1" x14ac:dyDescent="0.2">
      <c r="A22" s="1283"/>
      <c r="B22" s="1284"/>
      <c r="C22" s="1285"/>
      <c r="D22" s="2444"/>
      <c r="E22" s="2444"/>
      <c r="F22" s="2444"/>
    </row>
    <row r="23" spans="1:6" ht="20.65" customHeight="1" x14ac:dyDescent="0.2">
      <c r="A23" s="1283"/>
      <c r="B23" s="1284"/>
      <c r="C23" s="1285"/>
      <c r="D23" s="2444"/>
      <c r="E23" s="2444"/>
      <c r="F23" s="2444"/>
    </row>
    <row r="24" spans="1:6" ht="20.65" customHeight="1" x14ac:dyDescent="0.2">
      <c r="A24" s="1283"/>
      <c r="B24" s="1284"/>
      <c r="C24" s="1285"/>
      <c r="D24" s="2444"/>
      <c r="E24" s="2444"/>
      <c r="F24" s="2444"/>
    </row>
    <row r="25" spans="1:6" ht="20.65" customHeight="1" x14ac:dyDescent="0.2">
      <c r="A25" s="1283"/>
      <c r="B25" s="1284"/>
      <c r="C25" s="1285"/>
      <c r="D25" s="2444"/>
      <c r="E25" s="2444"/>
      <c r="F25" s="2444"/>
    </row>
    <row r="26" spans="1:6" ht="20.65" customHeight="1" x14ac:dyDescent="0.2">
      <c r="A26" s="1283"/>
      <c r="B26" s="1284"/>
      <c r="C26" s="1285"/>
      <c r="D26" s="2444"/>
      <c r="E26" s="2444"/>
      <c r="F26" s="2444"/>
    </row>
    <row r="27" spans="1:6" ht="20.65" customHeight="1" x14ac:dyDescent="0.2">
      <c r="A27" s="1283"/>
      <c r="B27" s="1284"/>
      <c r="C27" s="1285"/>
      <c r="D27" s="2444"/>
      <c r="E27" s="2444"/>
      <c r="F27" s="2444"/>
    </row>
    <row r="28" spans="1:6" ht="20.65" customHeight="1" x14ac:dyDescent="0.2">
      <c r="A28" s="1283"/>
      <c r="B28" s="1284"/>
      <c r="C28" s="1285"/>
      <c r="D28" s="2444"/>
      <c r="E28" s="2444"/>
      <c r="F28" s="2444"/>
    </row>
    <row r="29" spans="1:6" ht="20.65" customHeight="1" x14ac:dyDescent="0.2">
      <c r="A29" s="1283"/>
      <c r="B29" s="1284"/>
      <c r="C29" s="1285"/>
      <c r="D29" s="2444"/>
      <c r="E29" s="2444"/>
      <c r="F29" s="2444"/>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45" t="s">
        <v>1834</v>
      </c>
      <c r="B32" s="2445"/>
      <c r="C32" s="2445"/>
      <c r="D32" s="2445"/>
      <c r="E32" s="2445"/>
      <c r="F32" s="2445"/>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46">
        <f>+C33+C34</f>
        <v>0</v>
      </c>
      <c r="F34" s="2447"/>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v>0</v>
      </c>
      <c r="D38" s="1922"/>
      <c r="E38" s="1286"/>
    </row>
    <row r="39" spans="1:6" ht="14.25" customHeight="1" x14ac:dyDescent="0.2">
      <c r="A39" s="328"/>
      <c r="B39" s="328" t="s">
        <v>1511</v>
      </c>
      <c r="C39" s="1292">
        <v>0</v>
      </c>
      <c r="D39" s="1922"/>
      <c r="E39" s="1286"/>
    </row>
    <row r="40" spans="1:6" ht="14.25" customHeight="1" x14ac:dyDescent="0.2">
      <c r="A40" s="328"/>
      <c r="B40" s="328" t="s">
        <v>1512</v>
      </c>
      <c r="C40" s="1292">
        <v>0</v>
      </c>
      <c r="D40" s="1922"/>
      <c r="E40" s="1286"/>
    </row>
    <row r="41" spans="1:6" ht="14.25" customHeight="1" x14ac:dyDescent="0.2">
      <c r="A41" s="328"/>
      <c r="B41" s="328" t="s">
        <v>1513</v>
      </c>
      <c r="C41" s="1292">
        <v>0</v>
      </c>
      <c r="D41" s="1922"/>
      <c r="E41" s="1286"/>
    </row>
    <row r="42" spans="1:6" ht="14.25" customHeight="1" x14ac:dyDescent="0.2">
      <c r="A42" s="328" t="s">
        <v>1514</v>
      </c>
      <c r="B42" s="328"/>
      <c r="C42" s="1920">
        <v>0</v>
      </c>
      <c r="D42" s="1922"/>
      <c r="E42" s="1286"/>
    </row>
    <row r="43" spans="1:6" ht="14.25" customHeight="1" x14ac:dyDescent="0.2">
      <c r="A43" s="328" t="s">
        <v>1515</v>
      </c>
      <c r="B43" s="328"/>
      <c r="C43" s="1293" t="s">
        <v>101</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48" t="s">
        <v>1672</v>
      </c>
      <c r="C49" s="2448"/>
      <c r="D49" s="2448"/>
      <c r="E49" s="1399"/>
    </row>
    <row r="50" spans="1:5" s="1300" customFormat="1" ht="3.75" customHeight="1" x14ac:dyDescent="0.2">
      <c r="A50" s="1299"/>
      <c r="B50" s="1864"/>
      <c r="C50" s="1864"/>
      <c r="D50" s="1864"/>
      <c r="E50" s="1399"/>
    </row>
    <row r="51" spans="1:5" s="1300" customFormat="1" ht="20.25" customHeight="1" x14ac:dyDescent="0.2">
      <c r="A51" s="1301">
        <v>6</v>
      </c>
      <c r="B51" s="2443" t="s">
        <v>1632</v>
      </c>
      <c r="C51" s="2443"/>
      <c r="D51" s="2443"/>
    </row>
    <row r="52" spans="1:5" ht="14.25" customHeight="1" x14ac:dyDescent="0.2">
      <c r="A52" s="1301"/>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6" right="0.27" top="0.68" bottom="1" header="0.26" footer="0.5"/>
  <pageSetup scale="8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Lincoland Technical Ed Ctr</v>
      </c>
      <c r="C1" s="2456"/>
      <c r="D1" s="2456"/>
      <c r="E1" s="2456"/>
      <c r="F1" s="2456"/>
      <c r="G1" s="2456"/>
      <c r="H1" s="2456"/>
      <c r="I1" s="2456"/>
      <c r="J1" s="2456"/>
      <c r="K1" s="2456"/>
      <c r="L1" s="2456"/>
      <c r="M1" s="2456"/>
    </row>
    <row r="2" spans="2:14" ht="15" x14ac:dyDescent="0.2">
      <c r="B2" s="2453">
        <f>'Single Audit Cover'!E7</f>
        <v>17054404041</v>
      </c>
      <c r="C2" s="2453"/>
      <c r="D2" s="2453"/>
      <c r="E2" s="2453"/>
      <c r="F2" s="2453"/>
      <c r="G2" s="2453"/>
      <c r="H2" s="2453"/>
      <c r="I2" s="2453"/>
      <c r="J2" s="2453"/>
      <c r="K2" s="2453"/>
      <c r="L2" s="2453"/>
      <c r="M2" s="2453"/>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1230</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8" t="s">
        <v>1731</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8" t="s">
        <v>331</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1390</v>
      </c>
      <c r="B70" s="2081"/>
      <c r="C70" s="2081"/>
      <c r="D70" s="2081"/>
      <c r="E70" s="2082"/>
      <c r="F70" s="2082"/>
      <c r="G70" s="2082"/>
      <c r="H70" s="2082"/>
      <c r="I70" s="208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1387</v>
      </c>
      <c r="B83" s="2083"/>
      <c r="C83" s="2083"/>
      <c r="D83" s="208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2077</v>
      </c>
      <c r="D114" s="207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1397</v>
      </c>
      <c r="D117" s="2076"/>
      <c r="E117" s="2077"/>
      <c r="F117" s="2077"/>
      <c r="G117" s="2077"/>
      <c r="H117" s="2077"/>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3" sqref="O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Lincoland Technical Ed Ctr</v>
      </c>
      <c r="C1" s="2456"/>
      <c r="D1" s="2456"/>
      <c r="E1" s="2456"/>
      <c r="F1" s="2456"/>
      <c r="G1" s="2456"/>
      <c r="H1" s="2456"/>
      <c r="I1" s="2456"/>
      <c r="J1" s="2456"/>
      <c r="K1" s="2456"/>
      <c r="L1" s="2456"/>
      <c r="M1" s="2456"/>
    </row>
    <row r="2" spans="2:14" ht="15" x14ac:dyDescent="0.2">
      <c r="B2" s="2453">
        <f>'Single Audit Cover'!E7</f>
        <v>17054404041</v>
      </c>
      <c r="C2" s="2453"/>
      <c r="D2" s="2453"/>
      <c r="E2" s="2453"/>
      <c r="F2" s="2453"/>
      <c r="G2" s="2453"/>
      <c r="H2" s="2453"/>
      <c r="I2" s="2453"/>
      <c r="J2" s="2453"/>
      <c r="K2" s="2453"/>
      <c r="L2" s="2453"/>
      <c r="M2" s="2453"/>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9" sqref="O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Lincoland Technical Ed Ctr</v>
      </c>
      <c r="C1" s="2456"/>
      <c r="D1" s="2456"/>
      <c r="E1" s="2456"/>
      <c r="F1" s="2456"/>
      <c r="G1" s="2456"/>
      <c r="H1" s="2456"/>
      <c r="I1" s="2456"/>
      <c r="J1" s="2456"/>
      <c r="K1" s="2456"/>
      <c r="L1" s="2456"/>
      <c r="M1" s="2456"/>
    </row>
    <row r="2" spans="2:14" ht="15" x14ac:dyDescent="0.2">
      <c r="B2" s="2453">
        <f>'Single Audit Cover'!E7</f>
        <v>17054404041</v>
      </c>
      <c r="C2" s="2453"/>
      <c r="D2" s="2453"/>
      <c r="E2" s="2453"/>
      <c r="F2" s="2453"/>
      <c r="G2" s="2453"/>
      <c r="H2" s="2453"/>
      <c r="I2" s="2453"/>
      <c r="J2" s="2453"/>
      <c r="K2" s="2453"/>
      <c r="L2" s="2453"/>
      <c r="M2" s="2453"/>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Lincoland Technical Ed Ctr</v>
      </c>
      <c r="C1" s="2471"/>
      <c r="D1" s="2471"/>
      <c r="E1" s="2471"/>
      <c r="F1" s="2471"/>
      <c r="G1" s="2471"/>
      <c r="H1" s="2471"/>
      <c r="I1" s="2471"/>
      <c r="J1" s="1422"/>
    </row>
    <row r="2" spans="2:10" s="317" customFormat="1" ht="12.75" customHeight="1" x14ac:dyDescent="0.2">
      <c r="B2" s="2472">
        <f>'Single Audit Cover'!E7</f>
        <v>17054404041</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8" t="s">
        <v>1853</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59" t="s">
        <v>1675</v>
      </c>
      <c r="D43" s="2460"/>
      <c r="E43" s="2460"/>
      <c r="F43" s="2461"/>
      <c r="G43" s="2462">
        <f>SUM(G38:I42)</f>
        <v>0</v>
      </c>
      <c r="H43" s="2462"/>
      <c r="I43" s="2462"/>
    </row>
    <row r="44" spans="2:9" ht="12.75" customHeight="1" x14ac:dyDescent="0.2"/>
    <row r="45" spans="2:9" ht="12.75" customHeight="1" x14ac:dyDescent="0.2">
      <c r="B45" s="1435" t="s">
        <v>1951</v>
      </c>
      <c r="D45" s="2463">
        <v>0</v>
      </c>
      <c r="E45" s="246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65"/>
      <c r="F49" s="2465"/>
      <c r="G49" s="246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4" right="0.26" top="0.46" bottom="0.49" header="0.25"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Lincoland Technical Ed Ctr</v>
      </c>
      <c r="C1" s="2470"/>
      <c r="D1" s="2470"/>
      <c r="E1" s="2470"/>
      <c r="F1" s="2470"/>
      <c r="G1" s="2470"/>
      <c r="H1" s="2470"/>
      <c r="I1" s="2470"/>
      <c r="J1" s="2470"/>
      <c r="K1" s="2470"/>
      <c r="L1" s="1374"/>
      <c r="M1" s="1374"/>
    </row>
    <row r="2" spans="1:13" ht="12" customHeight="1" x14ac:dyDescent="0.2">
      <c r="B2" s="2472">
        <f>'Single Audit Cover'!E7</f>
        <v>17054404041</v>
      </c>
      <c r="C2" s="2472"/>
      <c r="D2" s="2472"/>
      <c r="E2" s="2472"/>
      <c r="F2" s="2472"/>
      <c r="G2" s="2472"/>
      <c r="H2" s="2472"/>
      <c r="I2" s="2472"/>
      <c r="J2" s="2472"/>
      <c r="K2" s="2472"/>
      <c r="L2" s="1375"/>
      <c r="M2" s="1376"/>
    </row>
    <row r="3" spans="1:13" ht="10.35" customHeight="1" x14ac:dyDescent="0.2">
      <c r="B3" s="2486" t="s">
        <v>1347</v>
      </c>
      <c r="C3" s="2486"/>
      <c r="D3" s="2486"/>
      <c r="E3" s="2486"/>
      <c r="F3" s="2486"/>
      <c r="G3" s="2486"/>
      <c r="H3" s="2486"/>
      <c r="I3" s="2486"/>
      <c r="J3" s="2486"/>
      <c r="K3" s="2486"/>
      <c r="L3" s="1377"/>
      <c r="M3" s="1377"/>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87" t="s">
        <v>1363</v>
      </c>
      <c r="C7" s="2487"/>
      <c r="D7" s="2488"/>
      <c r="E7" s="2488"/>
      <c r="F7" s="2488"/>
      <c r="G7" s="2488"/>
      <c r="H7" s="2488"/>
      <c r="I7" s="2488"/>
      <c r="J7" s="2488"/>
      <c r="K7" s="248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5"/>
      <c r="C14" s="2485"/>
      <c r="D14" s="2485"/>
      <c r="E14" s="2485"/>
      <c r="F14" s="2485"/>
      <c r="G14" s="2485"/>
      <c r="H14" s="2485"/>
      <c r="I14" s="2485"/>
      <c r="J14" s="2485"/>
      <c r="K14" s="248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5"/>
      <c r="C17" s="2485"/>
      <c r="D17" s="2485"/>
      <c r="E17" s="2485"/>
      <c r="F17" s="2485"/>
      <c r="G17" s="2485"/>
      <c r="H17" s="2485"/>
      <c r="I17" s="2485"/>
      <c r="J17" s="2485"/>
      <c r="K17" s="2485"/>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89"/>
      <c r="C20" s="2489"/>
      <c r="D20" s="2485"/>
      <c r="E20" s="2485"/>
      <c r="F20" s="2485"/>
      <c r="G20" s="2485"/>
      <c r="H20" s="2485"/>
      <c r="I20" s="2485"/>
      <c r="J20" s="2485"/>
      <c r="K20" s="248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5"/>
      <c r="C23" s="2485"/>
      <c r="D23" s="2485"/>
      <c r="E23" s="2485"/>
      <c r="F23" s="2485"/>
      <c r="G23" s="2485"/>
      <c r="H23" s="2485"/>
      <c r="I23" s="2485"/>
      <c r="J23" s="2485"/>
      <c r="K23" s="248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5"/>
      <c r="C26" s="2485"/>
      <c r="D26" s="2485"/>
      <c r="E26" s="2485"/>
      <c r="F26" s="2485"/>
      <c r="G26" s="2485"/>
      <c r="H26" s="2485"/>
      <c r="I26" s="2485"/>
      <c r="J26" s="2485"/>
      <c r="K26" s="248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4"/>
      <c r="C29" s="2484"/>
      <c r="D29" s="2485"/>
      <c r="E29" s="2485"/>
      <c r="F29" s="2485"/>
      <c r="G29" s="2485"/>
      <c r="H29" s="2485"/>
      <c r="I29" s="2485"/>
      <c r="J29" s="2485"/>
      <c r="K29" s="248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84"/>
      <c r="C32" s="2484"/>
      <c r="D32" s="2485"/>
      <c r="E32" s="2485"/>
      <c r="F32" s="2485"/>
      <c r="G32" s="2485"/>
      <c r="H32" s="2485"/>
      <c r="I32" s="2485"/>
      <c r="J32" s="2485"/>
      <c r="K32" s="248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6"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Lincoland Technical Ed Ctr</v>
      </c>
      <c r="C1" s="2493"/>
      <c r="D1" s="2493"/>
      <c r="E1" s="2493"/>
      <c r="F1" s="2493"/>
      <c r="G1" s="2493"/>
      <c r="H1" s="2493"/>
      <c r="I1" s="2493"/>
      <c r="J1" s="2493"/>
      <c r="K1" s="2493"/>
      <c r="L1" s="1465"/>
    </row>
    <row r="2" spans="1:12" ht="12.75" customHeight="1" x14ac:dyDescent="0.2">
      <c r="B2" s="2494">
        <f>'Single Audit Cover'!E7</f>
        <v>17054404041</v>
      </c>
      <c r="C2" s="2494"/>
      <c r="D2" s="2494"/>
      <c r="E2" s="2494"/>
      <c r="F2" s="2494"/>
      <c r="G2" s="2494"/>
      <c r="H2" s="2494"/>
      <c r="I2" s="2494"/>
      <c r="J2" s="2494"/>
      <c r="K2" s="2494"/>
      <c r="L2" s="1466"/>
    </row>
    <row r="3" spans="1:12" ht="12.75" customHeight="1" x14ac:dyDescent="0.2">
      <c r="B3" s="2486" t="s">
        <v>1347</v>
      </c>
      <c r="C3" s="2486"/>
      <c r="D3" s="2486"/>
      <c r="E3" s="2486"/>
      <c r="F3" s="2486"/>
      <c r="G3" s="2486"/>
      <c r="H3" s="2486"/>
      <c r="I3" s="2486"/>
      <c r="J3" s="2486"/>
      <c r="K3" s="2486"/>
      <c r="L3" s="1377"/>
    </row>
    <row r="4" spans="1:12" ht="12.75" customHeight="1" x14ac:dyDescent="0.2">
      <c r="B4" s="2486" t="str">
        <f>'Single Audit Cover'!A4</f>
        <v>Year Ending June 30, 2018</v>
      </c>
      <c r="C4" s="2486"/>
      <c r="D4" s="2486"/>
      <c r="E4" s="2486"/>
      <c r="F4" s="2486"/>
      <c r="G4" s="2486"/>
      <c r="H4" s="2486"/>
      <c r="I4" s="2486"/>
      <c r="J4" s="2486"/>
      <c r="K4" s="2486"/>
      <c r="L4" s="1377"/>
    </row>
    <row r="5" spans="1:12" ht="5.25" customHeight="1" x14ac:dyDescent="0.2">
      <c r="B5" s="1260" t="s">
        <v>1231</v>
      </c>
      <c r="C5" s="1260"/>
      <c r="L5" s="322"/>
    </row>
    <row r="6" spans="1:12" ht="30.75" customHeight="1" x14ac:dyDescent="0.2">
      <c r="A6" s="322"/>
      <c r="B6" s="2495" t="s">
        <v>1375</v>
      </c>
      <c r="C6" s="2495"/>
      <c r="D6" s="2495"/>
      <c r="E6" s="2495"/>
      <c r="F6" s="2495"/>
      <c r="G6" s="2495"/>
      <c r="H6" s="2495"/>
      <c r="I6" s="2495"/>
      <c r="J6" s="2495"/>
      <c r="K6" s="2495"/>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0"/>
      <c r="E14" s="2490"/>
      <c r="F14" s="2490"/>
      <c r="H14" s="1475" t="s">
        <v>1370</v>
      </c>
      <c r="I14" s="2491"/>
      <c r="J14" s="2491"/>
      <c r="K14" s="249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1"/>
      <c r="E16" s="2491"/>
      <c r="F16" s="2491"/>
      <c r="G16" s="2491"/>
      <c r="H16" s="2491"/>
      <c r="I16" s="2491"/>
      <c r="J16" s="2491"/>
      <c r="K16" s="2491"/>
      <c r="L16" s="322"/>
    </row>
    <row r="17" spans="2:12" ht="13.5" customHeight="1" x14ac:dyDescent="0.2">
      <c r="B17" s="1387" t="s">
        <v>1368</v>
      </c>
      <c r="C17" s="1387"/>
      <c r="D17" s="2492"/>
      <c r="E17" s="2492"/>
      <c r="F17" s="2492"/>
      <c r="G17" s="2492"/>
      <c r="H17" s="2492"/>
      <c r="I17" s="2492"/>
      <c r="J17" s="2492"/>
      <c r="K17" s="249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5"/>
      <c r="C20" s="2485"/>
      <c r="D20" s="2485"/>
      <c r="E20" s="2485"/>
      <c r="F20" s="2485"/>
      <c r="G20" s="2485"/>
      <c r="H20" s="2485"/>
      <c r="I20" s="2485"/>
      <c r="J20" s="2485"/>
      <c r="K20" s="248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6"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Lincoland Technical Ed Ctr</v>
      </c>
      <c r="C1" s="2470"/>
      <c r="D1" s="2470"/>
      <c r="E1" s="1491"/>
    </row>
    <row r="2" spans="2:5" s="1282" customFormat="1" ht="12.75" customHeight="1" x14ac:dyDescent="0.2">
      <c r="B2" s="2472">
        <f>'Single Audit Cover'!E7</f>
        <v>17054404041</v>
      </c>
      <c r="C2" s="2472"/>
      <c r="D2" s="2472"/>
      <c r="E2" s="1492"/>
    </row>
    <row r="3" spans="2:5" ht="12.75" customHeight="1" x14ac:dyDescent="0.2">
      <c r="B3" s="2486" t="s">
        <v>1868</v>
      </c>
      <c r="C3" s="2486"/>
      <c r="D3" s="2486"/>
      <c r="E3" s="1274"/>
    </row>
    <row r="4" spans="2:5" s="1282" customFormat="1" ht="12.75" customHeight="1" x14ac:dyDescent="0.2">
      <c r="B4" s="2496" t="str">
        <f>'Single Audit Cover'!A4</f>
        <v>Year Ending June 30, 2018</v>
      </c>
      <c r="C4" s="2496"/>
      <c r="D4" s="2496"/>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404</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1">
        <f>ROUND(D10+F10+H10,5)</f>
        <v>0</v>
      </c>
      <c r="K10" s="222"/>
      <c r="L10" s="355"/>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502523</v>
      </c>
      <c r="E16" s="356"/>
      <c r="F16" s="1752">
        <f>SUM('Acct Summary 7-8'!C17,'Acct Summary 7-8'!D17,'Acct Summary 7-8'!F17)</f>
        <v>334682</v>
      </c>
      <c r="G16" s="356"/>
      <c r="H16" s="1752">
        <f>SUM(D16-F16)</f>
        <v>167841</v>
      </c>
      <c r="I16" s="222"/>
      <c r="J16" s="1752">
        <f>SUM('Acct Summary 7-8'!C81,'Acct Summary 7-8'!D81,'Acct Summary 7-8'!F81,'Acct Summary 7-8'!I81)</f>
        <v>160416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G7" sqref="G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577</v>
      </c>
      <c r="B2" s="2113"/>
      <c r="C2" s="2113"/>
      <c r="D2" s="2113"/>
      <c r="E2" s="2113"/>
      <c r="F2" s="2113"/>
      <c r="G2" s="2113"/>
      <c r="H2" s="2113"/>
      <c r="I2" s="2113"/>
      <c r="J2" s="2113"/>
      <c r="K2" s="2113"/>
      <c r="L2" s="2113"/>
      <c r="M2" s="2113"/>
      <c r="N2" s="2113"/>
      <c r="O2" s="2113"/>
      <c r="P2" s="2113"/>
      <c r="Q2" s="2113"/>
      <c r="R2" s="2113"/>
    </row>
    <row r="3" spans="1:18" ht="12.75" x14ac:dyDescent="0.2">
      <c r="A3" s="2114" t="s">
        <v>1480</v>
      </c>
      <c r="B3" s="2114"/>
      <c r="C3" s="2114"/>
      <c r="D3" s="2114"/>
      <c r="E3" s="2114"/>
      <c r="F3" s="2114"/>
      <c r="G3" s="2114"/>
      <c r="H3" s="2114"/>
      <c r="I3" s="2114"/>
      <c r="J3" s="2114"/>
      <c r="K3" s="2114"/>
      <c r="L3" s="2114"/>
      <c r="M3" s="2114"/>
      <c r="N3" s="2114"/>
      <c r="O3" s="2114"/>
      <c r="P3" s="2114"/>
      <c r="Q3" s="2114"/>
      <c r="R3" s="2114"/>
    </row>
    <row r="4" spans="1:18" x14ac:dyDescent="0.2">
      <c r="A4" s="2115" t="s">
        <v>1635</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Lincoland Technical Ed Ctr</v>
      </c>
      <c r="E7" s="391"/>
      <c r="G7" s="252"/>
      <c r="H7" s="387"/>
      <c r="I7" s="387"/>
      <c r="J7" s="387"/>
      <c r="K7" s="387"/>
      <c r="L7" s="329"/>
      <c r="M7" s="329"/>
      <c r="N7" s="329"/>
      <c r="O7" s="329"/>
      <c r="P7" s="329"/>
    </row>
    <row r="8" spans="1:18" ht="12.75" x14ac:dyDescent="0.2">
      <c r="A8" s="329"/>
      <c r="B8" s="329"/>
      <c r="C8" s="389" t="s">
        <v>1187</v>
      </c>
      <c r="D8" s="392">
        <f>COVER!A13</f>
        <v>17054404041</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160416</v>
      </c>
      <c r="I12" s="404"/>
      <c r="J12" s="404"/>
      <c r="K12" s="405">
        <f>TRUNC((H12/H13*100000),5)/100000</f>
        <v>0.31922120970000001</v>
      </c>
      <c r="L12" s="406"/>
      <c r="M12" s="360" t="s">
        <v>1206</v>
      </c>
      <c r="N12" s="360"/>
      <c r="O12" s="407">
        <v>0.35</v>
      </c>
      <c r="P12" s="218"/>
      <c r="Q12" s="218"/>
    </row>
    <row r="13" spans="1:18" s="408" customFormat="1" ht="12.75" x14ac:dyDescent="0.2">
      <c r="A13" s="218"/>
      <c r="B13" s="401"/>
      <c r="C13" s="2111" t="s">
        <v>1391</v>
      </c>
      <c r="D13" s="2112"/>
      <c r="E13" s="218"/>
      <c r="F13" s="409" t="s">
        <v>826</v>
      </c>
      <c r="G13" s="402"/>
      <c r="H13" s="403">
        <f>SUM('Acct Summary 7-8'!C8+'Acct Summary 7-8'!D8+'Acct Summary 7-8'!F8+'Acct Summary 7-8'!I8)+H14</f>
        <v>502523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334682</v>
      </c>
      <c r="I17" s="404"/>
      <c r="J17" s="416"/>
      <c r="K17" s="405">
        <f>TRUNC((H17/H18*100000),5)/100000</f>
        <v>0.66600334709999998</v>
      </c>
      <c r="L17" s="406"/>
      <c r="M17" s="417" t="s">
        <v>1233</v>
      </c>
      <c r="O17" s="418" t="str">
        <f>IF(AND(O16="2", J20 &gt; 2),"1",IF(AND(O16 = "1", J20 &gt; 2),"2",IF(AND(O16="1", J20 &gt;1),"1","0")))</f>
        <v>0</v>
      </c>
      <c r="P17" s="218"/>
    </row>
    <row r="18" spans="1:18" s="408" customFormat="1" ht="11.25" x14ac:dyDescent="0.2">
      <c r="A18" s="218"/>
      <c r="B18" s="401"/>
      <c r="C18" s="2111" t="s">
        <v>1384</v>
      </c>
      <c r="D18" s="2112"/>
      <c r="E18" s="218"/>
      <c r="F18" s="419" t="s">
        <v>827</v>
      </c>
      <c r="G18" s="402"/>
      <c r="H18" s="403">
        <f>SUM('Acct Summary 7-8'!C8+'Acct Summary 7-8'!D8+'Acct Summary 7-8'!F8+'Acct Summary 7-8'!I8)+H19</f>
        <v>502523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08" t="s">
        <v>1479</v>
      </c>
      <c r="D24" s="2108"/>
      <c r="E24" s="218"/>
      <c r="F24" s="218" t="s">
        <v>465</v>
      </c>
      <c r="G24" s="402"/>
      <c r="H24" s="403">
        <f>SUM('Assets-Liab 5-6'!C4+'Assets-Liab 5-6'!D4+'Assets-Liab 5-6'!F4+'Assets-Liab 5-6'!I4+'Assets-Liab 5-6'!C5+'Assets-Liab 5-6'!D5+'Assets-Liab 5-6'!F5+'Assets-Liab 5-6'!I5)</f>
        <v>159418</v>
      </c>
      <c r="I24" s="422"/>
      <c r="J24" s="422"/>
      <c r="K24" s="423">
        <f>TRUNC(((H24/H25*100000)/100000),2)</f>
        <v>171.47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929.67222000000004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5"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3" topLeftCell="A4" activePane="bottomLeft" state="frozen"/>
      <selection activeCell="G7" sqref="G7"/>
      <selection pane="bottomLeft" activeCell="G7" sqref="G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8" t="s">
        <v>1030</v>
      </c>
      <c r="B3" s="2119"/>
      <c r="C3" s="1581"/>
      <c r="D3" s="1582"/>
      <c r="E3" s="1582"/>
      <c r="F3" s="1582"/>
      <c r="G3" s="1582"/>
      <c r="H3" s="1582"/>
      <c r="I3" s="1582"/>
      <c r="J3" s="1582"/>
      <c r="K3" s="1582"/>
      <c r="L3" s="1582"/>
      <c r="M3" s="1583"/>
      <c r="N3" s="1584"/>
    </row>
    <row r="4" spans="1:14" ht="13.5" customHeight="1" x14ac:dyDescent="0.2">
      <c r="A4" s="463" t="s">
        <v>1750</v>
      </c>
      <c r="B4" s="464"/>
      <c r="C4" s="465">
        <v>159418</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1351</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100</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160869</v>
      </c>
      <c r="D13" s="1756">
        <f t="shared" ref="D13:L13" si="0">SUM(D4:D12)</f>
        <v>0</v>
      </c>
      <c r="E13" s="1756">
        <f t="shared" si="0"/>
        <v>0</v>
      </c>
      <c r="F13" s="1756">
        <f t="shared" si="0"/>
        <v>0</v>
      </c>
      <c r="G13" s="1756">
        <f t="shared" si="0"/>
        <v>0</v>
      </c>
      <c r="H13" s="1756">
        <f t="shared" si="0"/>
        <v>0</v>
      </c>
      <c r="I13" s="1756">
        <f t="shared" si="0"/>
        <v>0</v>
      </c>
      <c r="J13" s="1756">
        <f t="shared" si="0"/>
        <v>0</v>
      </c>
      <c r="K13" s="1756">
        <f t="shared" si="0"/>
        <v>0</v>
      </c>
      <c r="L13" s="1756">
        <f t="shared" si="0"/>
        <v>0</v>
      </c>
      <c r="M13" s="468"/>
      <c r="N13" s="469"/>
    </row>
    <row r="14" spans="1:14" ht="18" customHeight="1" thickTop="1" x14ac:dyDescent="0.2">
      <c r="A14" s="2120" t="s">
        <v>149</v>
      </c>
      <c r="B14" s="212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15589</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350321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5" t="s">
        <v>664</v>
      </c>
      <c r="B23" s="1760"/>
      <c r="C23" s="468"/>
      <c r="D23" s="468"/>
      <c r="E23" s="468"/>
      <c r="F23" s="468"/>
      <c r="G23" s="468"/>
      <c r="H23" s="468"/>
      <c r="I23" s="468"/>
      <c r="J23" s="468"/>
      <c r="K23" s="468"/>
      <c r="L23" s="468"/>
      <c r="M23" s="1707">
        <f>SUM(M15:M22)</f>
        <v>365910</v>
      </c>
      <c r="N23" s="1707">
        <f>SUM(N21:N22)</f>
        <v>0</v>
      </c>
    </row>
    <row r="24" spans="1:14" ht="18" customHeight="1" thickTop="1" x14ac:dyDescent="0.2">
      <c r="A24" s="2122" t="s">
        <v>619</v>
      </c>
      <c r="B24" s="212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453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7" t="s">
        <v>675</v>
      </c>
      <c r="B34" s="1758"/>
      <c r="C34" s="1759">
        <f>SUM(C25:C33)</f>
        <v>453</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0</v>
      </c>
      <c r="M34" s="468"/>
      <c r="N34" s="480"/>
    </row>
    <row r="35" spans="1:14" ht="18" customHeight="1" thickTop="1" x14ac:dyDescent="0.2">
      <c r="A35" s="2124" t="s">
        <v>550</v>
      </c>
      <c r="B35" s="212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5" t="s">
        <v>674</v>
      </c>
      <c r="B37" s="1760"/>
      <c r="C37" s="477"/>
      <c r="D37" s="477"/>
      <c r="E37" s="477"/>
      <c r="F37" s="477"/>
      <c r="G37" s="477"/>
      <c r="H37" s="477"/>
      <c r="I37" s="477"/>
      <c r="J37" s="477"/>
      <c r="K37" s="477"/>
      <c r="L37" s="480"/>
      <c r="M37" s="468"/>
      <c r="N37" s="1707">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160416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365910</v>
      </c>
      <c r="N40" s="497"/>
    </row>
    <row r="41" spans="1:14" ht="13.5" customHeight="1" thickBot="1" x14ac:dyDescent="0.25">
      <c r="A41" s="1755" t="s">
        <v>676</v>
      </c>
      <c r="B41" s="1725"/>
      <c r="C41" s="1707">
        <f>(SUM(C34,C37,C38,C39))</f>
        <v>160869</v>
      </c>
      <c r="D41" s="1707">
        <f t="shared" ref="D41:L41" si="2">SUM(D34,D37,D38:D39)</f>
        <v>0</v>
      </c>
      <c r="E41" s="1707">
        <f t="shared" si="2"/>
        <v>0</v>
      </c>
      <c r="F41" s="1707">
        <f t="shared" si="2"/>
        <v>0</v>
      </c>
      <c r="G41" s="1707">
        <f t="shared" si="2"/>
        <v>0</v>
      </c>
      <c r="H41" s="1707">
        <f t="shared" si="2"/>
        <v>0</v>
      </c>
      <c r="I41" s="1707">
        <f t="shared" si="2"/>
        <v>0</v>
      </c>
      <c r="J41" s="1707">
        <f t="shared" si="2"/>
        <v>0</v>
      </c>
      <c r="K41" s="1707">
        <f t="shared" si="2"/>
        <v>0</v>
      </c>
      <c r="L41" s="1707">
        <f t="shared" si="2"/>
        <v>0</v>
      </c>
      <c r="M41" s="1707">
        <f>SUM(M40)</f>
        <v>365910</v>
      </c>
      <c r="N41" s="1707">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G7" sqref="G7"/>
      <selection pane="bottomLeft" activeCell="G7" sqref="G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6" t="s">
        <v>1237</v>
      </c>
      <c r="B3" s="2147"/>
      <c r="C3" s="1595"/>
      <c r="D3" s="1596"/>
      <c r="E3" s="1596"/>
      <c r="F3" s="1596"/>
      <c r="G3" s="1596"/>
      <c r="H3" s="1596"/>
      <c r="I3" s="1596"/>
      <c r="J3" s="1596"/>
      <c r="K3" s="1597"/>
      <c r="L3" s="506"/>
    </row>
    <row r="4" spans="1:13" ht="15.75" customHeight="1" x14ac:dyDescent="0.2">
      <c r="A4" s="1948" t="s">
        <v>1579</v>
      </c>
      <c r="B4" s="1949">
        <v>1000</v>
      </c>
      <c r="C4" s="1761">
        <f>'Revenues 9-14'!C109</f>
        <v>278257</v>
      </c>
      <c r="D4" s="1761">
        <f>'Revenues 9-14'!D109</f>
        <v>0</v>
      </c>
      <c r="E4" s="1761">
        <f>'Revenues 9-14'!E109</f>
        <v>0</v>
      </c>
      <c r="F4" s="1761">
        <f>'Revenues 9-14'!F109</f>
        <v>0</v>
      </c>
      <c r="G4" s="1761">
        <f>'Revenues 9-14'!G109</f>
        <v>0</v>
      </c>
      <c r="H4" s="1761">
        <f>'Revenues 9-14'!H109</f>
        <v>0</v>
      </c>
      <c r="I4" s="1761">
        <f>'Revenues 9-14'!I109</f>
        <v>0</v>
      </c>
      <c r="J4" s="1761">
        <f>'Revenues 9-14'!J109</f>
        <v>0</v>
      </c>
      <c r="K4" s="1761">
        <f>'Revenues 9-14'!K109</f>
        <v>0</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224266</v>
      </c>
      <c r="D6" s="1762">
        <f>'Revenues 9-14'!D173</f>
        <v>0</v>
      </c>
      <c r="E6" s="1762">
        <f>'Revenues 9-14'!E173</f>
        <v>0</v>
      </c>
      <c r="F6" s="1762">
        <f>'Revenues 9-14'!F173</f>
        <v>0</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502523</v>
      </c>
      <c r="D8" s="1707">
        <f t="shared" ref="D8:K8" si="0">SUM(D4:D7)</f>
        <v>0</v>
      </c>
      <c r="E8" s="1707">
        <f t="shared" si="0"/>
        <v>0</v>
      </c>
      <c r="F8" s="1707">
        <f t="shared" si="0"/>
        <v>0</v>
      </c>
      <c r="G8" s="1707">
        <f t="shared" si="0"/>
        <v>0</v>
      </c>
      <c r="H8" s="1707">
        <f t="shared" si="0"/>
        <v>0</v>
      </c>
      <c r="I8" s="1707">
        <f t="shared" si="0"/>
        <v>0</v>
      </c>
      <c r="J8" s="1707">
        <f t="shared" si="0"/>
        <v>0</v>
      </c>
      <c r="K8" s="1707">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5" t="s">
        <v>1235</v>
      </c>
      <c r="B10" s="1728"/>
      <c r="C10" s="1707">
        <f>SUM(C8:C9)</f>
        <v>502523</v>
      </c>
      <c r="D10" s="1707">
        <f t="shared" ref="D10:K10" si="1">SUM(D8:D9)</f>
        <v>0</v>
      </c>
      <c r="E10" s="1707">
        <f t="shared" si="1"/>
        <v>0</v>
      </c>
      <c r="F10" s="1707">
        <f t="shared" si="1"/>
        <v>0</v>
      </c>
      <c r="G10" s="1707">
        <f t="shared" si="1"/>
        <v>0</v>
      </c>
      <c r="H10" s="1707">
        <f t="shared" si="1"/>
        <v>0</v>
      </c>
      <c r="I10" s="1707">
        <f t="shared" si="1"/>
        <v>0</v>
      </c>
      <c r="J10" s="1707">
        <f t="shared" si="1"/>
        <v>0</v>
      </c>
      <c r="K10" s="1707">
        <f t="shared" si="1"/>
        <v>0</v>
      </c>
      <c r="L10" s="518"/>
    </row>
    <row r="11" spans="1:13" s="519" customFormat="1" ht="16.7" customHeight="1" thickTop="1" x14ac:dyDescent="0.2">
      <c r="A11" s="2120" t="s">
        <v>1238</v>
      </c>
      <c r="B11" s="2121"/>
      <c r="C11" s="1592"/>
      <c r="D11" s="1593"/>
      <c r="E11" s="1593"/>
      <c r="F11" s="1593"/>
      <c r="G11" s="1593"/>
      <c r="H11" s="1593"/>
      <c r="I11" s="1593"/>
      <c r="J11" s="1593"/>
      <c r="K11" s="1594"/>
      <c r="L11" s="518"/>
    </row>
    <row r="12" spans="1:13" ht="15.75" customHeight="1" x14ac:dyDescent="0.2">
      <c r="A12" s="1598" t="s">
        <v>476</v>
      </c>
      <c r="B12" s="1600">
        <v>1000</v>
      </c>
      <c r="C12" s="1761">
        <f>'Expenditures 15-22'!K33</f>
        <v>266527</v>
      </c>
      <c r="D12" s="520" t="s">
        <v>1231</v>
      </c>
      <c r="E12" s="468" t="s">
        <v>1231</v>
      </c>
      <c r="F12" s="468" t="s">
        <v>1231</v>
      </c>
      <c r="G12" s="1761">
        <f>'Expenditures 15-22'!K229</f>
        <v>0</v>
      </c>
      <c r="H12" s="521"/>
      <c r="I12" s="468" t="s">
        <v>1231</v>
      </c>
      <c r="J12" s="468" t="s">
        <v>1231</v>
      </c>
      <c r="K12" s="521" t="s">
        <v>1231</v>
      </c>
      <c r="L12" s="347"/>
    </row>
    <row r="13" spans="1:13" ht="15.75" customHeight="1" x14ac:dyDescent="0.2">
      <c r="A13" s="1598" t="s">
        <v>477</v>
      </c>
      <c r="B13" s="1600">
        <v>2000</v>
      </c>
      <c r="C13" s="1762">
        <f>'Expenditures 15-22'!K74</f>
        <v>68155</v>
      </c>
      <c r="D13" s="1762">
        <f>'Expenditures 15-22'!K129</f>
        <v>0</v>
      </c>
      <c r="E13" s="469" t="s">
        <v>1231</v>
      </c>
      <c r="F13" s="1762">
        <f>'Expenditures 15-22'!K184</f>
        <v>0</v>
      </c>
      <c r="G13" s="1762">
        <f>'Expenditures 15-22'!K279</f>
        <v>0</v>
      </c>
      <c r="H13" s="1762">
        <f>'Expenditures 15-22'!K303</f>
        <v>0</v>
      </c>
      <c r="I13" s="468" t="s">
        <v>1231</v>
      </c>
      <c r="J13" s="1762">
        <f>'Expenditures 15-22'!K330</f>
        <v>0</v>
      </c>
      <c r="K13" s="1766">
        <f>'Expenditures 15-22'!K352</f>
        <v>0</v>
      </c>
      <c r="L13" s="347"/>
    </row>
    <row r="14" spans="1:13" ht="15.75" customHeight="1" x14ac:dyDescent="0.2">
      <c r="A14" s="1598" t="s">
        <v>469</v>
      </c>
      <c r="B14" s="1600">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334682</v>
      </c>
      <c r="D17" s="1707">
        <f t="shared" si="2"/>
        <v>0</v>
      </c>
      <c r="E17" s="1707">
        <f t="shared" si="2"/>
        <v>0</v>
      </c>
      <c r="F17" s="1707">
        <f t="shared" si="2"/>
        <v>0</v>
      </c>
      <c r="G17" s="1707">
        <f t="shared" si="2"/>
        <v>0</v>
      </c>
      <c r="H17" s="1707">
        <f t="shared" si="2"/>
        <v>0</v>
      </c>
      <c r="I17" s="468"/>
      <c r="J17" s="1707">
        <f>SUM(J12:J16)</f>
        <v>0</v>
      </c>
      <c r="K17" s="1707">
        <f>SUM(K12:K16)</f>
        <v>0</v>
      </c>
      <c r="L17" s="347"/>
    </row>
    <row r="18" spans="1:12" ht="15" customHeight="1" thickTop="1" x14ac:dyDescent="0.2">
      <c r="A18" s="1763" t="s">
        <v>1753</v>
      </c>
      <c r="B18" s="1764">
        <v>4180</v>
      </c>
      <c r="C18" s="1761">
        <f t="shared" ref="C18:H18" si="3">C9</f>
        <v>0</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334682</v>
      </c>
      <c r="D19" s="1707">
        <f t="shared" si="4"/>
        <v>0</v>
      </c>
      <c r="E19" s="1707">
        <f t="shared" si="4"/>
        <v>0</v>
      </c>
      <c r="F19" s="1707">
        <f t="shared" si="4"/>
        <v>0</v>
      </c>
      <c r="G19" s="1707">
        <f t="shared" si="4"/>
        <v>0</v>
      </c>
      <c r="H19" s="1707">
        <f t="shared" si="4"/>
        <v>0</v>
      </c>
      <c r="I19" s="468"/>
      <c r="J19" s="1707">
        <f>SUM(J17:J18)</f>
        <v>0</v>
      </c>
      <c r="K19" s="1707">
        <f>SUM(K17:K18)</f>
        <v>0</v>
      </c>
      <c r="L19" s="347"/>
    </row>
    <row r="20" spans="1:12" ht="16.5" thickTop="1" thickBot="1" x14ac:dyDescent="0.25">
      <c r="A20" s="2136" t="s">
        <v>1754</v>
      </c>
      <c r="B20" s="2137"/>
      <c r="C20" s="1765">
        <f>C8-C17</f>
        <v>167841</v>
      </c>
      <c r="D20" s="1765">
        <f t="shared" ref="D20:K20" si="5">D8-D17</f>
        <v>0</v>
      </c>
      <c r="E20" s="1765">
        <f t="shared" si="5"/>
        <v>0</v>
      </c>
      <c r="F20" s="1765">
        <f t="shared" si="5"/>
        <v>0</v>
      </c>
      <c r="G20" s="1765">
        <f t="shared" si="5"/>
        <v>0</v>
      </c>
      <c r="H20" s="1765">
        <f t="shared" si="5"/>
        <v>0</v>
      </c>
      <c r="I20" s="1765">
        <f t="shared" si="5"/>
        <v>0</v>
      </c>
      <c r="J20" s="1765">
        <f t="shared" si="5"/>
        <v>0</v>
      </c>
      <c r="K20" s="1765">
        <f t="shared" si="5"/>
        <v>0</v>
      </c>
      <c r="L20" s="347"/>
    </row>
    <row r="21" spans="1:12" ht="16.7" customHeight="1" thickTop="1" x14ac:dyDescent="0.2">
      <c r="A21" s="2148" t="s">
        <v>616</v>
      </c>
      <c r="B21" s="2149"/>
      <c r="C21" s="1592"/>
      <c r="D21" s="1593"/>
      <c r="E21" s="1593"/>
      <c r="F21" s="1593"/>
      <c r="G21" s="1593"/>
      <c r="H21" s="1593"/>
      <c r="I21" s="1593"/>
      <c r="J21" s="1593"/>
      <c r="K21" s="1594"/>
      <c r="L21" s="524"/>
    </row>
    <row r="22" spans="1:12" ht="15.75" customHeight="1" collapsed="1" x14ac:dyDescent="0.2">
      <c r="A22" s="2144" t="s">
        <v>617</v>
      </c>
      <c r="B22" s="2145"/>
      <c r="C22" s="477"/>
      <c r="D22" s="477"/>
      <c r="E22" s="477"/>
      <c r="F22" s="477"/>
      <c r="G22" s="477"/>
      <c r="H22" s="477"/>
      <c r="I22" s="477"/>
      <c r="J22" s="477"/>
      <c r="K22" s="477"/>
      <c r="L22" s="347"/>
    </row>
    <row r="23" spans="1:12" s="485" customFormat="1" ht="15.75" customHeight="1" x14ac:dyDescent="0.2">
      <c r="A23" s="2140" t="s">
        <v>311</v>
      </c>
      <c r="B23" s="214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2" t="s">
        <v>1038</v>
      </c>
      <c r="B32" s="214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0" t="s">
        <v>392</v>
      </c>
      <c r="B44" s="2151"/>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2" t="s">
        <v>111</v>
      </c>
      <c r="B46" s="215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2">
        <f>D30</f>
        <v>0</v>
      </c>
      <c r="L52" s="524"/>
    </row>
    <row r="53" spans="1:12" s="485" customFormat="1" ht="26.25" x14ac:dyDescent="0.2">
      <c r="A53" s="1512" t="s">
        <v>1898</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6" t="s">
        <v>460</v>
      </c>
      <c r="B76" s="2127"/>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28" t="s">
        <v>1239</v>
      </c>
      <c r="B77" s="2129"/>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32" t="s">
        <v>618</v>
      </c>
      <c r="B78" s="2133"/>
      <c r="C78" s="1721">
        <f t="shared" ref="C78:K78" si="9">C20+C77</f>
        <v>167841</v>
      </c>
      <c r="D78" s="1721">
        <f t="shared" si="9"/>
        <v>0</v>
      </c>
      <c r="E78" s="1721">
        <f t="shared" si="9"/>
        <v>0</v>
      </c>
      <c r="F78" s="1721">
        <f t="shared" si="9"/>
        <v>0</v>
      </c>
      <c r="G78" s="1721">
        <f t="shared" si="9"/>
        <v>0</v>
      </c>
      <c r="H78" s="1721">
        <f t="shared" si="9"/>
        <v>0</v>
      </c>
      <c r="I78" s="1721">
        <f t="shared" si="9"/>
        <v>0</v>
      </c>
      <c r="J78" s="1721">
        <f t="shared" si="9"/>
        <v>0</v>
      </c>
      <c r="K78" s="1721">
        <f t="shared" si="9"/>
        <v>0</v>
      </c>
      <c r="L78" s="533"/>
    </row>
    <row r="79" spans="1:12" ht="13.5" thickTop="1" x14ac:dyDescent="0.2">
      <c r="A79" s="1516" t="s">
        <v>2072</v>
      </c>
      <c r="B79" s="534"/>
      <c r="C79" s="478">
        <v>-7425</v>
      </c>
      <c r="D79" s="535"/>
      <c r="E79" s="535"/>
      <c r="F79" s="535"/>
      <c r="G79" s="535"/>
      <c r="H79" s="535"/>
      <c r="I79" s="535"/>
      <c r="J79" s="535"/>
      <c r="K79" s="535"/>
      <c r="L79" s="347"/>
    </row>
    <row r="80" spans="1:12" x14ac:dyDescent="0.2">
      <c r="A80" s="2138" t="s">
        <v>1897</v>
      </c>
      <c r="B80" s="2139"/>
      <c r="C80" s="467"/>
      <c r="D80" s="467"/>
      <c r="E80" s="467"/>
      <c r="F80" s="467"/>
      <c r="G80" s="467"/>
      <c r="H80" s="467"/>
      <c r="I80" s="467"/>
      <c r="J80" s="467"/>
      <c r="K80" s="467"/>
      <c r="L80" s="347"/>
    </row>
    <row r="81" spans="1:12" ht="13.5" thickBot="1" x14ac:dyDescent="0.25">
      <c r="A81" s="2130" t="s">
        <v>2073</v>
      </c>
      <c r="B81" s="2131"/>
      <c r="C81" s="1707">
        <f>(SUM(C78:C80))</f>
        <v>160416</v>
      </c>
      <c r="D81" s="1707">
        <f>SUM(D78:D80)</f>
        <v>0</v>
      </c>
      <c r="E81" s="1707">
        <f t="shared" ref="E81:K81" si="10">SUM(E78:E80)</f>
        <v>0</v>
      </c>
      <c r="F81" s="1707">
        <f t="shared" si="10"/>
        <v>0</v>
      </c>
      <c r="G81" s="1707">
        <f t="shared" si="10"/>
        <v>0</v>
      </c>
      <c r="H81" s="1707">
        <f t="shared" si="10"/>
        <v>0</v>
      </c>
      <c r="I81" s="1707">
        <f t="shared" si="10"/>
        <v>0</v>
      </c>
      <c r="J81" s="1707">
        <f t="shared" si="10"/>
        <v>0</v>
      </c>
      <c r="K81" s="1707">
        <f t="shared" si="10"/>
        <v>0</v>
      </c>
      <c r="L81" s="347"/>
    </row>
    <row r="82" spans="1:12" ht="0.75" customHeight="1" thickTop="1" thickBot="1" x14ac:dyDescent="0.25">
      <c r="A82" s="536" t="s">
        <v>361</v>
      </c>
      <c r="B82" s="537"/>
      <c r="C82" s="538">
        <f>(C81-C79)</f>
        <v>167841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1.0462859066427288</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7" sqref="G7"/>
      <selection pane="bottomLeft" activeCell="C29" sqref="C2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4" t="s">
        <v>1904</v>
      </c>
      <c r="B1" s="452"/>
      <c r="C1" s="453" t="s">
        <v>445</v>
      </c>
      <c r="D1" s="453" t="s">
        <v>446</v>
      </c>
      <c r="E1" s="453" t="s">
        <v>447</v>
      </c>
      <c r="F1" s="453" t="s">
        <v>448</v>
      </c>
      <c r="G1" s="453" t="s">
        <v>449</v>
      </c>
      <c r="H1" s="453" t="s">
        <v>450</v>
      </c>
      <c r="I1" s="453" t="s">
        <v>451</v>
      </c>
      <c r="J1" s="453" t="s">
        <v>452</v>
      </c>
      <c r="K1" s="453" t="s">
        <v>780</v>
      </c>
    </row>
    <row r="2" spans="1:12" ht="36" x14ac:dyDescent="0.2">
      <c r="A2" s="213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0</v>
      </c>
      <c r="D12" s="1726">
        <f t="shared" si="0"/>
        <v>0</v>
      </c>
      <c r="E12" s="1726">
        <f t="shared" si="0"/>
        <v>0</v>
      </c>
      <c r="F12" s="1726">
        <f t="shared" si="0"/>
        <v>0</v>
      </c>
      <c r="G12" s="1726">
        <f t="shared" si="0"/>
        <v>0</v>
      </c>
      <c r="H12" s="1726">
        <f t="shared" si="0"/>
        <v>0</v>
      </c>
      <c r="I12" s="1726">
        <f t="shared" si="0"/>
        <v>0</v>
      </c>
      <c r="J12" s="1726">
        <f t="shared" si="0"/>
        <v>0</v>
      </c>
      <c r="K12" s="1707">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0</v>
      </c>
      <c r="D18" s="1729">
        <f t="shared" ref="D18:K18" si="1">SUM(D14:D17)</f>
        <v>0</v>
      </c>
      <c r="E18" s="1729">
        <f t="shared" si="1"/>
        <v>0</v>
      </c>
      <c r="F18" s="1729">
        <f t="shared" si="1"/>
        <v>0</v>
      </c>
      <c r="G18" s="1729">
        <f t="shared" si="1"/>
        <v>0</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234715</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234715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92</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92</v>
      </c>
      <c r="D67" s="1707">
        <f t="shared" ref="D67:K67" si="2">SUM(D65:D66)</f>
        <v>0</v>
      </c>
      <c r="E67" s="1707">
        <f t="shared" si="2"/>
        <v>0</v>
      </c>
      <c r="F67" s="1707">
        <f t="shared" si="2"/>
        <v>0</v>
      </c>
      <c r="G67" s="1707">
        <f t="shared" si="2"/>
        <v>0</v>
      </c>
      <c r="H67" s="1707">
        <f t="shared" si="2"/>
        <v>0</v>
      </c>
      <c r="I67" s="1707">
        <f t="shared" si="2"/>
        <v>0</v>
      </c>
      <c r="J67" s="1707">
        <f t="shared" si="2"/>
        <v>0</v>
      </c>
      <c r="K67" s="1707">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2400</v>
      </c>
      <c r="D81" s="466"/>
      <c r="E81" s="468"/>
      <c r="F81" s="468"/>
      <c r="G81" s="468"/>
      <c r="H81" s="468"/>
      <c r="I81" s="468"/>
      <c r="J81" s="468"/>
      <c r="K81" s="468"/>
    </row>
    <row r="82" spans="1:11" ht="12.75" customHeight="1" thickBot="1" x14ac:dyDescent="0.25">
      <c r="A82" s="1727" t="s">
        <v>259</v>
      </c>
      <c r="B82" s="1728"/>
      <c r="C82" s="1726">
        <f>SUM(C77:C81)</f>
        <v>2400</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41050</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7" t="s">
        <v>508</v>
      </c>
      <c r="B108" s="1731"/>
      <c r="C108" s="1726">
        <f>SUM(C95:C107)</f>
        <v>41050</v>
      </c>
      <c r="D108" s="1726">
        <f t="shared" ref="D108:K108" si="3">SUM(D95:D107)</f>
        <v>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278257</v>
      </c>
      <c r="D109" s="1734">
        <f t="shared" si="4"/>
        <v>0</v>
      </c>
      <c r="E109" s="1734">
        <f t="shared" si="4"/>
        <v>0</v>
      </c>
      <c r="F109" s="1734">
        <f t="shared" si="4"/>
        <v>0</v>
      </c>
      <c r="G109" s="1734">
        <f t="shared" si="4"/>
        <v>0</v>
      </c>
      <c r="H109" s="1734">
        <f t="shared" si="4"/>
        <v>0</v>
      </c>
      <c r="I109" s="1734">
        <f t="shared" si="4"/>
        <v>0</v>
      </c>
      <c r="J109" s="1734">
        <f t="shared" si="4"/>
        <v>0</v>
      </c>
      <c r="K109" s="1721">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0</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222017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222017</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2249</v>
      </c>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2249</v>
      </c>
      <c r="D154" s="1726">
        <f>SUM(D151:D153)</f>
        <v>0</v>
      </c>
      <c r="E154" s="561"/>
      <c r="F154" s="1726">
        <f>SUM(F151:F153)</f>
        <v>0</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4" t="s">
        <v>418</v>
      </c>
      <c r="B172" s="2155"/>
      <c r="C172" s="1741">
        <f t="shared" ref="C172:K172" si="6">SUM(C131,C140,C144,C145:C149,C154,C155:C170,C171)</f>
        <v>224266</v>
      </c>
      <c r="D172" s="1741">
        <f t="shared" si="6"/>
        <v>0</v>
      </c>
      <c r="E172" s="1741">
        <f t="shared" si="6"/>
        <v>0</v>
      </c>
      <c r="F172" s="1741">
        <f t="shared" si="6"/>
        <v>0</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224266</v>
      </c>
      <c r="D173" s="1734">
        <f>SUM(D121,D172)</f>
        <v>0</v>
      </c>
      <c r="E173" s="1734">
        <f>SUM(E121,E172)</f>
        <v>0</v>
      </c>
      <c r="F173" s="1734">
        <f t="shared" ref="F173:K173" si="7">SUM(F121,F172)</f>
        <v>0</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6" t="s">
        <v>1572</v>
      </c>
      <c r="B175" s="215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0" t="s">
        <v>1764</v>
      </c>
      <c r="B178" s="2161"/>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4" t="s">
        <v>1763</v>
      </c>
      <c r="B179" s="216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2" t="s">
        <v>818</v>
      </c>
      <c r="B184" s="2163"/>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58" t="s">
        <v>1905</v>
      </c>
      <c r="B185" s="215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0</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0</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0</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502523</v>
      </c>
      <c r="D275" s="1734">
        <f t="shared" si="12"/>
        <v>0</v>
      </c>
      <c r="E275" s="1734">
        <f t="shared" si="12"/>
        <v>0</v>
      </c>
      <c r="F275" s="1734">
        <f t="shared" si="12"/>
        <v>0</v>
      </c>
      <c r="G275" s="1734">
        <f t="shared" si="12"/>
        <v>0</v>
      </c>
      <c r="H275" s="1734">
        <f t="shared" si="12"/>
        <v>0</v>
      </c>
      <c r="I275" s="1734">
        <f t="shared" si="12"/>
        <v>0</v>
      </c>
      <c r="J275" s="1734">
        <f t="shared" si="12"/>
        <v>0</v>
      </c>
      <c r="K275" s="1721">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0" activePane="bottomLeft" state="frozen"/>
      <selection activeCell="G7" sqref="G7"/>
      <selection pane="bottomLeft" activeCell="G7" sqref="G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4"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2" t="s">
        <v>315</v>
      </c>
      <c r="B3" s="217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0">
        <f>SUM(C5:J5)</f>
        <v>0</v>
      </c>
      <c r="L5" s="466">
        <v>0</v>
      </c>
    </row>
    <row r="6" spans="1:14" x14ac:dyDescent="0.2">
      <c r="A6" s="1526" t="s">
        <v>1508</v>
      </c>
      <c r="B6" s="615" t="s">
        <v>1506</v>
      </c>
      <c r="C6" s="477"/>
      <c r="D6" s="477"/>
      <c r="E6" s="466"/>
      <c r="F6" s="477"/>
      <c r="G6" s="477"/>
      <c r="H6" s="477"/>
      <c r="I6" s="477"/>
      <c r="J6" s="477"/>
      <c r="K6" s="1690">
        <f>SUM(C6,E6)</f>
        <v>0</v>
      </c>
      <c r="L6" s="466">
        <v>0</v>
      </c>
    </row>
    <row r="7" spans="1:14" x14ac:dyDescent="0.2">
      <c r="A7" s="1526" t="s">
        <v>165</v>
      </c>
      <c r="B7" s="615" t="s">
        <v>1024</v>
      </c>
      <c r="C7" s="467"/>
      <c r="D7" s="467"/>
      <c r="E7" s="467"/>
      <c r="F7" s="467"/>
      <c r="G7" s="467"/>
      <c r="H7" s="467"/>
      <c r="I7" s="467"/>
      <c r="J7" s="467"/>
      <c r="K7" s="1690">
        <f t="shared" ref="K7:K32" si="0">SUM(C7:J7)</f>
        <v>0</v>
      </c>
      <c r="L7" s="466">
        <v>0</v>
      </c>
    </row>
    <row r="8" spans="1:14" x14ac:dyDescent="0.2">
      <c r="A8" s="1526" t="s">
        <v>166</v>
      </c>
      <c r="B8" s="615">
        <v>1200</v>
      </c>
      <c r="C8" s="466"/>
      <c r="D8" s="466"/>
      <c r="E8" s="466"/>
      <c r="F8" s="466"/>
      <c r="G8" s="466"/>
      <c r="H8" s="466"/>
      <c r="I8" s="467"/>
      <c r="J8" s="467"/>
      <c r="K8" s="1690">
        <f t="shared" si="0"/>
        <v>0</v>
      </c>
      <c r="L8" s="466">
        <v>0</v>
      </c>
    </row>
    <row r="9" spans="1:14" x14ac:dyDescent="0.2">
      <c r="A9" s="1526" t="s">
        <v>745</v>
      </c>
      <c r="B9" s="615" t="s">
        <v>1025</v>
      </c>
      <c r="C9" s="467"/>
      <c r="D9" s="467"/>
      <c r="E9" s="467"/>
      <c r="F9" s="467"/>
      <c r="G9" s="467"/>
      <c r="H9" s="467"/>
      <c r="I9" s="467"/>
      <c r="J9" s="467"/>
      <c r="K9" s="1690">
        <f t="shared" si="0"/>
        <v>0</v>
      </c>
      <c r="L9" s="466">
        <v>0</v>
      </c>
    </row>
    <row r="10" spans="1:14" x14ac:dyDescent="0.2">
      <c r="A10" s="1526" t="s">
        <v>746</v>
      </c>
      <c r="B10" s="615">
        <v>1250</v>
      </c>
      <c r="C10" s="466"/>
      <c r="D10" s="466"/>
      <c r="E10" s="466"/>
      <c r="F10" s="466"/>
      <c r="G10" s="466"/>
      <c r="H10" s="466"/>
      <c r="I10" s="467"/>
      <c r="J10" s="467"/>
      <c r="K10" s="1690">
        <f t="shared" si="0"/>
        <v>0</v>
      </c>
      <c r="L10" s="466">
        <v>0</v>
      </c>
    </row>
    <row r="11" spans="1:14" x14ac:dyDescent="0.2">
      <c r="A11" s="1526" t="s">
        <v>1192</v>
      </c>
      <c r="B11" s="615" t="s">
        <v>163</v>
      </c>
      <c r="C11" s="467"/>
      <c r="D11" s="467"/>
      <c r="E11" s="467"/>
      <c r="F11" s="467"/>
      <c r="G11" s="467"/>
      <c r="H11" s="467"/>
      <c r="I11" s="467"/>
      <c r="J11" s="467"/>
      <c r="K11" s="1690">
        <f t="shared" si="0"/>
        <v>0</v>
      </c>
      <c r="L11" s="466">
        <v>0</v>
      </c>
    </row>
    <row r="12" spans="1:14" x14ac:dyDescent="0.2">
      <c r="A12" s="1526" t="s">
        <v>1019</v>
      </c>
      <c r="B12" s="615">
        <v>1300</v>
      </c>
      <c r="C12" s="466"/>
      <c r="D12" s="466"/>
      <c r="E12" s="466"/>
      <c r="F12" s="466"/>
      <c r="G12" s="466"/>
      <c r="H12" s="466"/>
      <c r="I12" s="467"/>
      <c r="J12" s="467"/>
      <c r="K12" s="1690">
        <f t="shared" si="0"/>
        <v>0</v>
      </c>
      <c r="L12" s="466">
        <v>0</v>
      </c>
    </row>
    <row r="13" spans="1:14" x14ac:dyDescent="0.2">
      <c r="A13" s="1526" t="s">
        <v>747</v>
      </c>
      <c r="B13" s="615">
        <v>1400</v>
      </c>
      <c r="C13" s="466">
        <v>170327</v>
      </c>
      <c r="D13" s="466">
        <v>25202</v>
      </c>
      <c r="E13" s="466">
        <v>16025</v>
      </c>
      <c r="F13" s="466">
        <v>54973</v>
      </c>
      <c r="G13" s="466"/>
      <c r="H13" s="466"/>
      <c r="I13" s="467"/>
      <c r="J13" s="467"/>
      <c r="K13" s="1690">
        <f t="shared" si="0"/>
        <v>266527</v>
      </c>
      <c r="L13" s="466">
        <v>276876</v>
      </c>
    </row>
    <row r="14" spans="1:14" x14ac:dyDescent="0.2">
      <c r="A14" s="1526" t="s">
        <v>1020</v>
      </c>
      <c r="B14" s="615">
        <v>1500</v>
      </c>
      <c r="C14" s="466"/>
      <c r="D14" s="466"/>
      <c r="E14" s="466"/>
      <c r="F14" s="466"/>
      <c r="G14" s="466"/>
      <c r="H14" s="466"/>
      <c r="I14" s="467"/>
      <c r="J14" s="467"/>
      <c r="K14" s="1690">
        <f t="shared" si="0"/>
        <v>0</v>
      </c>
      <c r="L14" s="466"/>
    </row>
    <row r="15" spans="1:14" x14ac:dyDescent="0.2">
      <c r="A15" s="1526" t="s">
        <v>1021</v>
      </c>
      <c r="B15" s="615">
        <v>1600</v>
      </c>
      <c r="C15" s="466"/>
      <c r="D15" s="466"/>
      <c r="E15" s="466"/>
      <c r="F15" s="466"/>
      <c r="G15" s="466"/>
      <c r="H15" s="466"/>
      <c r="I15" s="467"/>
      <c r="J15" s="467"/>
      <c r="K15" s="1690">
        <f t="shared" si="0"/>
        <v>0</v>
      </c>
      <c r="L15" s="466">
        <v>0</v>
      </c>
    </row>
    <row r="16" spans="1:14" x14ac:dyDescent="0.2">
      <c r="A16" s="1526" t="s">
        <v>1044</v>
      </c>
      <c r="B16" s="615" t="s">
        <v>444</v>
      </c>
      <c r="C16" s="466"/>
      <c r="D16" s="466"/>
      <c r="E16" s="466"/>
      <c r="F16" s="466"/>
      <c r="G16" s="466"/>
      <c r="H16" s="466"/>
      <c r="I16" s="467"/>
      <c r="J16" s="467"/>
      <c r="K16" s="1690">
        <f t="shared" si="0"/>
        <v>0</v>
      </c>
      <c r="L16" s="466">
        <v>0</v>
      </c>
    </row>
    <row r="17" spans="1:12" x14ac:dyDescent="0.2">
      <c r="A17" s="1526" t="s">
        <v>748</v>
      </c>
      <c r="B17" s="615" t="s">
        <v>164</v>
      </c>
      <c r="C17" s="467"/>
      <c r="D17" s="467"/>
      <c r="E17" s="467"/>
      <c r="F17" s="467"/>
      <c r="G17" s="467"/>
      <c r="H17" s="467"/>
      <c r="I17" s="467"/>
      <c r="J17" s="467"/>
      <c r="K17" s="1690">
        <f t="shared" si="0"/>
        <v>0</v>
      </c>
      <c r="L17" s="466">
        <v>0</v>
      </c>
    </row>
    <row r="18" spans="1:12" x14ac:dyDescent="0.2">
      <c r="A18" s="1526" t="s">
        <v>1148</v>
      </c>
      <c r="B18" s="615">
        <v>1800</v>
      </c>
      <c r="C18" s="466"/>
      <c r="D18" s="466"/>
      <c r="E18" s="466"/>
      <c r="F18" s="466"/>
      <c r="G18" s="466"/>
      <c r="H18" s="466"/>
      <c r="I18" s="467"/>
      <c r="J18" s="467"/>
      <c r="K18" s="1690">
        <f t="shared" si="0"/>
        <v>0</v>
      </c>
      <c r="L18" s="466">
        <v>0</v>
      </c>
    </row>
    <row r="19" spans="1:12" x14ac:dyDescent="0.2">
      <c r="A19" s="1526" t="s">
        <v>136</v>
      </c>
      <c r="B19" s="615">
        <v>1900</v>
      </c>
      <c r="C19" s="466"/>
      <c r="D19" s="466"/>
      <c r="E19" s="466"/>
      <c r="F19" s="466"/>
      <c r="G19" s="466"/>
      <c r="H19" s="466"/>
      <c r="I19" s="467"/>
      <c r="J19" s="467"/>
      <c r="K19" s="1690">
        <f t="shared" si="0"/>
        <v>0</v>
      </c>
      <c r="L19" s="466">
        <v>0</v>
      </c>
    </row>
    <row r="20" spans="1:12" x14ac:dyDescent="0.2">
      <c r="A20" s="1527" t="s">
        <v>762</v>
      </c>
      <c r="B20" s="603" t="s">
        <v>749</v>
      </c>
      <c r="C20" s="477"/>
      <c r="D20" s="477"/>
      <c r="E20" s="477"/>
      <c r="F20" s="477"/>
      <c r="G20" s="477"/>
      <c r="H20" s="474"/>
      <c r="I20" s="617"/>
      <c r="J20" s="475"/>
      <c r="K20" s="1690">
        <f t="shared" si="0"/>
        <v>0</v>
      </c>
      <c r="L20" s="471">
        <v>0</v>
      </c>
    </row>
    <row r="21" spans="1:12" x14ac:dyDescent="0.2">
      <c r="A21" s="1527" t="s">
        <v>763</v>
      </c>
      <c r="B21" s="603" t="s">
        <v>750</v>
      </c>
      <c r="C21" s="477"/>
      <c r="D21" s="477"/>
      <c r="E21" s="477"/>
      <c r="F21" s="477"/>
      <c r="G21" s="477"/>
      <c r="H21" s="474"/>
      <c r="I21" s="617"/>
      <c r="J21" s="477"/>
      <c r="K21" s="1690">
        <f t="shared" si="0"/>
        <v>0</v>
      </c>
      <c r="L21" s="471">
        <v>0</v>
      </c>
    </row>
    <row r="22" spans="1:12" x14ac:dyDescent="0.2">
      <c r="A22" s="1527" t="s">
        <v>764</v>
      </c>
      <c r="B22" s="603" t="s">
        <v>751</v>
      </c>
      <c r="C22" s="477"/>
      <c r="D22" s="477"/>
      <c r="E22" s="477"/>
      <c r="F22" s="477"/>
      <c r="G22" s="477"/>
      <c r="H22" s="474"/>
      <c r="I22" s="617"/>
      <c r="J22" s="477"/>
      <c r="K22" s="1690">
        <f t="shared" si="0"/>
        <v>0</v>
      </c>
      <c r="L22" s="471">
        <v>0</v>
      </c>
    </row>
    <row r="23" spans="1:12" x14ac:dyDescent="0.2">
      <c r="A23" s="1527" t="s">
        <v>765</v>
      </c>
      <c r="B23" s="603" t="s">
        <v>752</v>
      </c>
      <c r="C23" s="477"/>
      <c r="D23" s="477"/>
      <c r="E23" s="477"/>
      <c r="F23" s="477"/>
      <c r="G23" s="477"/>
      <c r="H23" s="474"/>
      <c r="I23" s="617"/>
      <c r="J23" s="477"/>
      <c r="K23" s="1690">
        <f t="shared" si="0"/>
        <v>0</v>
      </c>
      <c r="L23" s="471">
        <v>0</v>
      </c>
    </row>
    <row r="24" spans="1:12" ht="12.75" customHeight="1" x14ac:dyDescent="0.2">
      <c r="A24" s="1527" t="s">
        <v>766</v>
      </c>
      <c r="B24" s="603" t="s">
        <v>753</v>
      </c>
      <c r="C24" s="477"/>
      <c r="D24" s="477"/>
      <c r="E24" s="477"/>
      <c r="F24" s="477"/>
      <c r="G24" s="477"/>
      <c r="H24" s="474"/>
      <c r="I24" s="617"/>
      <c r="J24" s="477"/>
      <c r="K24" s="1690">
        <f t="shared" si="0"/>
        <v>0</v>
      </c>
      <c r="L24" s="471">
        <v>0</v>
      </c>
    </row>
    <row r="25" spans="1:12" ht="12.75" customHeight="1" x14ac:dyDescent="0.2">
      <c r="A25" s="1527" t="s">
        <v>835</v>
      </c>
      <c r="B25" s="603" t="s">
        <v>754</v>
      </c>
      <c r="C25" s="477"/>
      <c r="D25" s="477"/>
      <c r="E25" s="477"/>
      <c r="F25" s="477"/>
      <c r="G25" s="477"/>
      <c r="H25" s="474"/>
      <c r="I25" s="617"/>
      <c r="J25" s="477"/>
      <c r="K25" s="1690">
        <f t="shared" si="0"/>
        <v>0</v>
      </c>
      <c r="L25" s="471">
        <v>0</v>
      </c>
    </row>
    <row r="26" spans="1:12" x14ac:dyDescent="0.2">
      <c r="A26" s="1527" t="s">
        <v>643</v>
      </c>
      <c r="B26" s="603" t="s">
        <v>755</v>
      </c>
      <c r="C26" s="477"/>
      <c r="D26" s="477"/>
      <c r="E26" s="477"/>
      <c r="F26" s="477"/>
      <c r="G26" s="477"/>
      <c r="H26" s="474"/>
      <c r="I26" s="617"/>
      <c r="J26" s="477"/>
      <c r="K26" s="1690">
        <f t="shared" si="0"/>
        <v>0</v>
      </c>
      <c r="L26" s="471">
        <v>0</v>
      </c>
    </row>
    <row r="27" spans="1:12" x14ac:dyDescent="0.2">
      <c r="A27" s="1527" t="s">
        <v>644</v>
      </c>
      <c r="B27" s="603" t="s">
        <v>756</v>
      </c>
      <c r="C27" s="477"/>
      <c r="D27" s="477"/>
      <c r="E27" s="477"/>
      <c r="F27" s="477"/>
      <c r="G27" s="477"/>
      <c r="H27" s="474"/>
      <c r="I27" s="617"/>
      <c r="J27" s="477"/>
      <c r="K27" s="1690">
        <f t="shared" si="0"/>
        <v>0</v>
      </c>
      <c r="L27" s="471">
        <v>0</v>
      </c>
    </row>
    <row r="28" spans="1:12" x14ac:dyDescent="0.2">
      <c r="A28" s="1527" t="s">
        <v>152</v>
      </c>
      <c r="B28" s="603" t="s">
        <v>757</v>
      </c>
      <c r="C28" s="477"/>
      <c r="D28" s="477"/>
      <c r="E28" s="477"/>
      <c r="F28" s="477"/>
      <c r="G28" s="477"/>
      <c r="H28" s="474"/>
      <c r="I28" s="617"/>
      <c r="J28" s="477"/>
      <c r="K28" s="1690">
        <f t="shared" si="0"/>
        <v>0</v>
      </c>
      <c r="L28" s="471">
        <v>0</v>
      </c>
    </row>
    <row r="29" spans="1:12" x14ac:dyDescent="0.2">
      <c r="A29" s="1527" t="s">
        <v>153</v>
      </c>
      <c r="B29" s="603" t="s">
        <v>758</v>
      </c>
      <c r="C29" s="477"/>
      <c r="D29" s="477"/>
      <c r="E29" s="477"/>
      <c r="F29" s="477"/>
      <c r="G29" s="477"/>
      <c r="H29" s="474"/>
      <c r="I29" s="617"/>
      <c r="J29" s="477"/>
      <c r="K29" s="1690">
        <f t="shared" si="0"/>
        <v>0</v>
      </c>
      <c r="L29" s="471">
        <v>0</v>
      </c>
    </row>
    <row r="30" spans="1:12" x14ac:dyDescent="0.2">
      <c r="A30" s="1527" t="s">
        <v>154</v>
      </c>
      <c r="B30" s="603" t="s">
        <v>759</v>
      </c>
      <c r="C30" s="477"/>
      <c r="D30" s="477"/>
      <c r="E30" s="477"/>
      <c r="F30" s="477"/>
      <c r="G30" s="477"/>
      <c r="H30" s="474"/>
      <c r="I30" s="617"/>
      <c r="J30" s="477"/>
      <c r="K30" s="1690">
        <f t="shared" si="0"/>
        <v>0</v>
      </c>
      <c r="L30" s="471">
        <v>0</v>
      </c>
    </row>
    <row r="31" spans="1:12" x14ac:dyDescent="0.2">
      <c r="A31" s="1527" t="s">
        <v>155</v>
      </c>
      <c r="B31" s="603" t="s">
        <v>760</v>
      </c>
      <c r="C31" s="477"/>
      <c r="D31" s="477"/>
      <c r="E31" s="477"/>
      <c r="F31" s="477"/>
      <c r="G31" s="477"/>
      <c r="H31" s="474"/>
      <c r="I31" s="617"/>
      <c r="J31" s="477"/>
      <c r="K31" s="1690">
        <f t="shared" si="0"/>
        <v>0</v>
      </c>
      <c r="L31" s="471">
        <v>0</v>
      </c>
    </row>
    <row r="32" spans="1:12" x14ac:dyDescent="0.2">
      <c r="A32" s="1528"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170327</v>
      </c>
      <c r="D33" s="1689">
        <f t="shared" ref="D33:L33" si="1">SUM(D5:D32)</f>
        <v>25202</v>
      </c>
      <c r="E33" s="1689">
        <f t="shared" si="1"/>
        <v>16025</v>
      </c>
      <c r="F33" s="1689">
        <f t="shared" si="1"/>
        <v>54973</v>
      </c>
      <c r="G33" s="1689">
        <f t="shared" si="1"/>
        <v>0</v>
      </c>
      <c r="H33" s="1689">
        <f t="shared" si="1"/>
        <v>0</v>
      </c>
      <c r="I33" s="1689">
        <f t="shared" si="1"/>
        <v>0</v>
      </c>
      <c r="J33" s="1689">
        <f t="shared" si="1"/>
        <v>0</v>
      </c>
      <c r="K33" s="1689">
        <f t="shared" si="1"/>
        <v>266527</v>
      </c>
      <c r="L33" s="1689">
        <f t="shared" si="1"/>
        <v>276876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v>0</v>
      </c>
    </row>
    <row r="37" spans="1:14" x14ac:dyDescent="0.2">
      <c r="A37" s="1526" t="s">
        <v>1151</v>
      </c>
      <c r="B37" s="615">
        <v>2120</v>
      </c>
      <c r="C37" s="466"/>
      <c r="D37" s="466"/>
      <c r="E37" s="466"/>
      <c r="F37" s="466"/>
      <c r="G37" s="466"/>
      <c r="H37" s="466"/>
      <c r="I37" s="467"/>
      <c r="J37" s="467"/>
      <c r="K37" s="1690">
        <f t="shared" si="2"/>
        <v>0</v>
      </c>
      <c r="L37" s="466">
        <v>0</v>
      </c>
    </row>
    <row r="38" spans="1:14" x14ac:dyDescent="0.2">
      <c r="A38" s="1526" t="s">
        <v>207</v>
      </c>
      <c r="B38" s="615">
        <v>2130</v>
      </c>
      <c r="C38" s="466"/>
      <c r="D38" s="466"/>
      <c r="E38" s="466"/>
      <c r="F38" s="466"/>
      <c r="G38" s="466"/>
      <c r="H38" s="466"/>
      <c r="I38" s="467"/>
      <c r="J38" s="467"/>
      <c r="K38" s="1690">
        <f t="shared" si="2"/>
        <v>0</v>
      </c>
      <c r="L38" s="466">
        <v>0</v>
      </c>
    </row>
    <row r="39" spans="1:14" x14ac:dyDescent="0.2">
      <c r="A39" s="1526" t="s">
        <v>208</v>
      </c>
      <c r="B39" s="615">
        <v>2140</v>
      </c>
      <c r="C39" s="466"/>
      <c r="D39" s="466"/>
      <c r="E39" s="466"/>
      <c r="F39" s="466"/>
      <c r="G39" s="466"/>
      <c r="H39" s="466"/>
      <c r="I39" s="467"/>
      <c r="J39" s="467"/>
      <c r="K39" s="1690">
        <f t="shared" si="2"/>
        <v>0</v>
      </c>
      <c r="L39" s="466">
        <v>0</v>
      </c>
    </row>
    <row r="40" spans="1:14" x14ac:dyDescent="0.2">
      <c r="A40" s="1526" t="s">
        <v>209</v>
      </c>
      <c r="B40" s="615">
        <v>2150</v>
      </c>
      <c r="C40" s="466"/>
      <c r="D40" s="466"/>
      <c r="E40" s="466"/>
      <c r="F40" s="466"/>
      <c r="G40" s="466"/>
      <c r="H40" s="466"/>
      <c r="I40" s="467"/>
      <c r="J40" s="467"/>
      <c r="K40" s="1690">
        <f t="shared" si="2"/>
        <v>0</v>
      </c>
      <c r="L40" s="466">
        <v>0</v>
      </c>
    </row>
    <row r="41" spans="1:14" x14ac:dyDescent="0.2">
      <c r="A41" s="1526"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0</v>
      </c>
      <c r="D42" s="1689">
        <f t="shared" ref="D42:L42" si="3">SUM(D36:D41)</f>
        <v>0</v>
      </c>
      <c r="E42" s="1689">
        <f t="shared" si="3"/>
        <v>0</v>
      </c>
      <c r="F42" s="1689">
        <f t="shared" si="3"/>
        <v>0</v>
      </c>
      <c r="G42" s="1689">
        <f t="shared" si="3"/>
        <v>0</v>
      </c>
      <c r="H42" s="1689">
        <f t="shared" si="3"/>
        <v>0</v>
      </c>
      <c r="I42" s="1689">
        <f t="shared" si="3"/>
        <v>0</v>
      </c>
      <c r="J42" s="1689">
        <f t="shared" si="3"/>
        <v>0</v>
      </c>
      <c r="K42" s="1689">
        <f t="shared" si="3"/>
        <v>0</v>
      </c>
      <c r="L42" s="1689">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1">
        <f>SUM(C44:J44)</f>
        <v>0</v>
      </c>
      <c r="L44" s="481">
        <v>0</v>
      </c>
    </row>
    <row r="45" spans="1:14" x14ac:dyDescent="0.2">
      <c r="A45" s="1526" t="s">
        <v>869</v>
      </c>
      <c r="B45" s="615">
        <v>2220</v>
      </c>
      <c r="C45" s="466"/>
      <c r="D45" s="466"/>
      <c r="E45" s="466"/>
      <c r="F45" s="466"/>
      <c r="G45" s="466"/>
      <c r="H45" s="466"/>
      <c r="I45" s="467"/>
      <c r="J45" s="467"/>
      <c r="K45" s="1691">
        <f>SUM(C45:J45)</f>
        <v>0</v>
      </c>
      <c r="L45" s="466">
        <v>0</v>
      </c>
    </row>
    <row r="46" spans="1:14" x14ac:dyDescent="0.2">
      <c r="A46" s="1526" t="s">
        <v>870</v>
      </c>
      <c r="B46" s="615">
        <v>2230</v>
      </c>
      <c r="C46" s="466"/>
      <c r="D46" s="466"/>
      <c r="E46" s="466"/>
      <c r="F46" s="466"/>
      <c r="G46" s="466"/>
      <c r="H46" s="466"/>
      <c r="I46" s="467"/>
      <c r="J46" s="467"/>
      <c r="K46" s="1691">
        <f>SUM(C46:J46)</f>
        <v>0</v>
      </c>
      <c r="L46" s="466">
        <v>0</v>
      </c>
    </row>
    <row r="47" spans="1:14" ht="12.75" customHeight="1" thickBot="1" x14ac:dyDescent="0.25">
      <c r="A47" s="1687" t="s">
        <v>582</v>
      </c>
      <c r="B47" s="1688" t="s">
        <v>32</v>
      </c>
      <c r="C47" s="1689">
        <f>SUM(C44:C46)</f>
        <v>0</v>
      </c>
      <c r="D47" s="1689">
        <f t="shared" ref="D47:K47" si="4">SUM(D44:D46)</f>
        <v>0</v>
      </c>
      <c r="E47" s="1689">
        <f t="shared" si="4"/>
        <v>0</v>
      </c>
      <c r="F47" s="1689">
        <f t="shared" si="4"/>
        <v>0</v>
      </c>
      <c r="G47" s="1689">
        <f t="shared" si="4"/>
        <v>0</v>
      </c>
      <c r="H47" s="1689">
        <f t="shared" si="4"/>
        <v>0</v>
      </c>
      <c r="I47" s="1689">
        <f t="shared" si="4"/>
        <v>0</v>
      </c>
      <c r="J47" s="1689">
        <f t="shared" si="4"/>
        <v>0</v>
      </c>
      <c r="K47" s="1689">
        <f t="shared" si="4"/>
        <v>0</v>
      </c>
      <c r="L47" s="1689">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185</v>
      </c>
      <c r="F49" s="481"/>
      <c r="G49" s="481"/>
      <c r="H49" s="481"/>
      <c r="I49" s="467"/>
      <c r="J49" s="467"/>
      <c r="K49" s="1691">
        <f>SUM(C49:J49)</f>
        <v>185</v>
      </c>
      <c r="L49" s="481">
        <v>0</v>
      </c>
    </row>
    <row r="50" spans="1:14" x14ac:dyDescent="0.2">
      <c r="A50" s="1526" t="s">
        <v>872</v>
      </c>
      <c r="B50" s="615">
        <v>2320</v>
      </c>
      <c r="C50" s="466"/>
      <c r="D50" s="466"/>
      <c r="E50" s="466"/>
      <c r="F50" s="466"/>
      <c r="G50" s="466"/>
      <c r="H50" s="466"/>
      <c r="I50" s="467"/>
      <c r="J50" s="467"/>
      <c r="K50" s="1691">
        <f>SUM(C50:J50)</f>
        <v>0</v>
      </c>
      <c r="L50" s="466">
        <v>0</v>
      </c>
    </row>
    <row r="51" spans="1:14" x14ac:dyDescent="0.2">
      <c r="A51" s="1526" t="s">
        <v>44</v>
      </c>
      <c r="B51" s="615">
        <v>2330</v>
      </c>
      <c r="C51" s="466">
        <v>39295</v>
      </c>
      <c r="D51" s="466">
        <v>5544</v>
      </c>
      <c r="E51" s="466">
        <v>6160</v>
      </c>
      <c r="F51" s="466"/>
      <c r="G51" s="466"/>
      <c r="H51" s="466"/>
      <c r="I51" s="467"/>
      <c r="J51" s="467"/>
      <c r="K51" s="1691">
        <f>SUM(C51:J51)</f>
        <v>50999</v>
      </c>
      <c r="L51" s="466">
        <v>51400</v>
      </c>
    </row>
    <row r="52" spans="1:14" ht="22.5" x14ac:dyDescent="0.2">
      <c r="A52" s="1527" t="s">
        <v>316</v>
      </c>
      <c r="B52" s="628" t="s">
        <v>384</v>
      </c>
      <c r="C52" s="474"/>
      <c r="D52" s="474"/>
      <c r="E52" s="474"/>
      <c r="F52" s="474"/>
      <c r="G52" s="474"/>
      <c r="H52" s="474"/>
      <c r="I52" s="474"/>
      <c r="J52" s="474"/>
      <c r="K52" s="1691">
        <f>SUM(C52:J52)</f>
        <v>0</v>
      </c>
      <c r="L52" s="474">
        <v>0</v>
      </c>
    </row>
    <row r="53" spans="1:14" ht="12.75" customHeight="1" thickBot="1" x14ac:dyDescent="0.25">
      <c r="A53" s="1687" t="s">
        <v>741</v>
      </c>
      <c r="B53" s="1688" t="s">
        <v>33</v>
      </c>
      <c r="C53" s="1689">
        <f>SUM(C49:C52)</f>
        <v>39295</v>
      </c>
      <c r="D53" s="1689">
        <f t="shared" ref="D53:L53" si="5">SUM(D49:D52)</f>
        <v>5544</v>
      </c>
      <c r="E53" s="1689">
        <f t="shared" si="5"/>
        <v>6345</v>
      </c>
      <c r="F53" s="1689">
        <f t="shared" si="5"/>
        <v>0</v>
      </c>
      <c r="G53" s="1689">
        <f t="shared" si="5"/>
        <v>0</v>
      </c>
      <c r="H53" s="1689">
        <f t="shared" si="5"/>
        <v>0</v>
      </c>
      <c r="I53" s="1689">
        <f t="shared" si="5"/>
        <v>0</v>
      </c>
      <c r="J53" s="1689">
        <f t="shared" si="5"/>
        <v>0</v>
      </c>
      <c r="K53" s="1689">
        <f t="shared" si="5"/>
        <v>51184</v>
      </c>
      <c r="L53" s="1689">
        <f t="shared" si="5"/>
        <v>51400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1">
        <f>SUM(C55:J55)</f>
        <v>0</v>
      </c>
      <c r="L55" s="481">
        <v>0</v>
      </c>
    </row>
    <row r="56" spans="1:14" ht="12.75" customHeight="1" x14ac:dyDescent="0.2">
      <c r="A56" s="1530"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0</v>
      </c>
      <c r="D57" s="1693">
        <f t="shared" ref="D57:K57" si="6">SUM(D55:D56)</f>
        <v>0</v>
      </c>
      <c r="E57" s="1693">
        <f t="shared" si="6"/>
        <v>0</v>
      </c>
      <c r="F57" s="1693">
        <f t="shared" si="6"/>
        <v>0</v>
      </c>
      <c r="G57" s="1693">
        <f t="shared" si="6"/>
        <v>0</v>
      </c>
      <c r="H57" s="1693">
        <f t="shared" si="6"/>
        <v>0</v>
      </c>
      <c r="I57" s="1693">
        <f t="shared" si="6"/>
        <v>0</v>
      </c>
      <c r="J57" s="1693">
        <f t="shared" si="6"/>
        <v>0</v>
      </c>
      <c r="K57" s="1693">
        <f t="shared" si="6"/>
        <v>0</v>
      </c>
      <c r="L57" s="1689">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6" t="s">
        <v>483</v>
      </c>
      <c r="B60" s="615">
        <v>2520</v>
      </c>
      <c r="C60" s="466"/>
      <c r="D60" s="466"/>
      <c r="E60" s="466"/>
      <c r="F60" s="466"/>
      <c r="G60" s="466"/>
      <c r="H60" s="466"/>
      <c r="I60" s="467"/>
      <c r="J60" s="467"/>
      <c r="K60" s="1691">
        <f t="shared" si="7"/>
        <v>0</v>
      </c>
      <c r="L60" s="466">
        <v>0</v>
      </c>
      <c r="M60" s="610"/>
      <c r="N60" s="610"/>
    </row>
    <row r="61" spans="1:14" s="343" customFormat="1" x14ac:dyDescent="0.2">
      <c r="A61" s="1526" t="s">
        <v>206</v>
      </c>
      <c r="B61" s="615">
        <v>2540</v>
      </c>
      <c r="C61" s="466"/>
      <c r="D61" s="466"/>
      <c r="E61" s="466"/>
      <c r="F61" s="466">
        <v>4353</v>
      </c>
      <c r="G61" s="466"/>
      <c r="H61" s="466"/>
      <c r="I61" s="467"/>
      <c r="J61" s="467"/>
      <c r="K61" s="1691">
        <f t="shared" si="7"/>
        <v>4353</v>
      </c>
      <c r="L61" s="466">
        <v>5500</v>
      </c>
      <c r="M61" s="610"/>
      <c r="N61" s="610"/>
    </row>
    <row r="62" spans="1:14" s="343" customFormat="1" x14ac:dyDescent="0.2">
      <c r="A62" s="1526" t="s">
        <v>1010</v>
      </c>
      <c r="B62" s="615">
        <v>2550</v>
      </c>
      <c r="C62" s="466"/>
      <c r="D62" s="466"/>
      <c r="E62" s="466">
        <v>353</v>
      </c>
      <c r="F62" s="466"/>
      <c r="G62" s="466"/>
      <c r="H62" s="466"/>
      <c r="I62" s="467"/>
      <c r="J62" s="467"/>
      <c r="K62" s="1691">
        <f t="shared" si="7"/>
        <v>353</v>
      </c>
      <c r="L62" s="466">
        <v>0</v>
      </c>
      <c r="M62" s="610"/>
      <c r="N62" s="610"/>
    </row>
    <row r="63" spans="1:14" s="610" customFormat="1" x14ac:dyDescent="0.2">
      <c r="A63" s="1526" t="s">
        <v>102</v>
      </c>
      <c r="B63" s="615">
        <v>2560</v>
      </c>
      <c r="C63" s="466"/>
      <c r="D63" s="466"/>
      <c r="E63" s="466"/>
      <c r="F63" s="466"/>
      <c r="G63" s="466"/>
      <c r="H63" s="466"/>
      <c r="I63" s="467"/>
      <c r="J63" s="467"/>
      <c r="K63" s="1691">
        <f t="shared" si="7"/>
        <v>0</v>
      </c>
      <c r="L63" s="466">
        <v>0</v>
      </c>
    </row>
    <row r="64" spans="1:14" s="610" customFormat="1" x14ac:dyDescent="0.2">
      <c r="A64" s="1531"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0</v>
      </c>
      <c r="D65" s="1689">
        <f t="shared" ref="D65:L65" si="8">SUM(D59:D64)</f>
        <v>0</v>
      </c>
      <c r="E65" s="1689">
        <f t="shared" si="8"/>
        <v>353</v>
      </c>
      <c r="F65" s="1689">
        <f t="shared" si="8"/>
        <v>4353</v>
      </c>
      <c r="G65" s="1689">
        <f t="shared" si="8"/>
        <v>0</v>
      </c>
      <c r="H65" s="1689">
        <f t="shared" si="8"/>
        <v>0</v>
      </c>
      <c r="I65" s="1689">
        <f t="shared" si="8"/>
        <v>0</v>
      </c>
      <c r="J65" s="1689">
        <f t="shared" si="8"/>
        <v>0</v>
      </c>
      <c r="K65" s="1689">
        <f t="shared" si="8"/>
        <v>4706</v>
      </c>
      <c r="L65" s="1689">
        <f t="shared" si="8"/>
        <v>5500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v>0</v>
      </c>
      <c r="M67" s="610"/>
      <c r="N67" s="610"/>
    </row>
    <row r="68" spans="1:14" s="343" customFormat="1" x14ac:dyDescent="0.2">
      <c r="A68" s="1526" t="s">
        <v>628</v>
      </c>
      <c r="B68" s="615">
        <v>2620</v>
      </c>
      <c r="C68" s="466"/>
      <c r="D68" s="466"/>
      <c r="E68" s="466"/>
      <c r="F68" s="466"/>
      <c r="G68" s="466"/>
      <c r="H68" s="466"/>
      <c r="I68" s="467"/>
      <c r="J68" s="467"/>
      <c r="K68" s="1691">
        <f>SUM(C68:J68)</f>
        <v>0</v>
      </c>
      <c r="L68" s="466">
        <v>0</v>
      </c>
      <c r="M68" s="610"/>
      <c r="N68" s="610"/>
    </row>
    <row r="69" spans="1:14" s="343" customFormat="1" x14ac:dyDescent="0.2">
      <c r="A69" s="1526" t="s">
        <v>1121</v>
      </c>
      <c r="B69" s="615">
        <v>2630</v>
      </c>
      <c r="C69" s="466">
        <v>12265</v>
      </c>
      <c r="D69" s="466"/>
      <c r="E69" s="466"/>
      <c r="F69" s="466"/>
      <c r="G69" s="466"/>
      <c r="H69" s="466"/>
      <c r="I69" s="467"/>
      <c r="J69" s="467"/>
      <c r="K69" s="1691">
        <f>SUM(C69:J69)</f>
        <v>12265</v>
      </c>
      <c r="L69" s="466">
        <v>12800</v>
      </c>
      <c r="M69" s="610"/>
      <c r="N69" s="610"/>
    </row>
    <row r="70" spans="1:14" s="343" customFormat="1" x14ac:dyDescent="0.2">
      <c r="A70" s="1526" t="s">
        <v>423</v>
      </c>
      <c r="B70" s="615">
        <v>2640</v>
      </c>
      <c r="C70" s="466"/>
      <c r="D70" s="466"/>
      <c r="E70" s="466"/>
      <c r="F70" s="466"/>
      <c r="G70" s="466"/>
      <c r="H70" s="466"/>
      <c r="I70" s="467"/>
      <c r="J70" s="467"/>
      <c r="K70" s="1691">
        <f>SUM(C70:J70)</f>
        <v>0</v>
      </c>
      <c r="L70" s="466">
        <v>0</v>
      </c>
      <c r="M70" s="610"/>
      <c r="N70" s="610"/>
    </row>
    <row r="71" spans="1:14" s="343" customFormat="1" x14ac:dyDescent="0.2">
      <c r="A71" s="1526" t="s">
        <v>424</v>
      </c>
      <c r="B71" s="615">
        <v>2660</v>
      </c>
      <c r="C71" s="466"/>
      <c r="D71" s="466"/>
      <c r="E71" s="466"/>
      <c r="F71" s="466"/>
      <c r="G71" s="466"/>
      <c r="H71" s="466"/>
      <c r="I71" s="467"/>
      <c r="J71" s="467"/>
      <c r="K71" s="1691">
        <f>SUM(C71:J71)</f>
        <v>0</v>
      </c>
      <c r="L71" s="466">
        <v>0</v>
      </c>
      <c r="M71" s="610"/>
      <c r="N71" s="610"/>
    </row>
    <row r="72" spans="1:14" s="343" customFormat="1" ht="12.75" customHeight="1" thickBot="1" x14ac:dyDescent="0.25">
      <c r="A72" s="1687" t="s">
        <v>37</v>
      </c>
      <c r="B72" s="1694" t="s">
        <v>36</v>
      </c>
      <c r="C72" s="1689">
        <f>SUM(C67:C71)</f>
        <v>12265</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12265</v>
      </c>
      <c r="L72" s="1689">
        <f>SUM(L67:L71)</f>
        <v>12800</v>
      </c>
      <c r="M72" s="610"/>
      <c r="N72" s="610"/>
    </row>
    <row r="73" spans="1:14" s="343" customFormat="1" ht="14.25" thickTop="1" thickBot="1" x14ac:dyDescent="0.25">
      <c r="A73" s="1532" t="s">
        <v>1037</v>
      </c>
      <c r="B73" s="633" t="s">
        <v>595</v>
      </c>
      <c r="C73" s="573"/>
      <c r="D73" s="573"/>
      <c r="E73" s="573"/>
      <c r="F73" s="573"/>
      <c r="G73" s="573"/>
      <c r="H73" s="573"/>
      <c r="I73" s="531"/>
      <c r="J73" s="531"/>
      <c r="K73" s="1689">
        <f>SUM(C73:J73)</f>
        <v>0</v>
      </c>
      <c r="L73" s="576">
        <v>0</v>
      </c>
      <c r="M73" s="610"/>
      <c r="N73" s="610"/>
    </row>
    <row r="74" spans="1:14" ht="12.75" customHeight="1" thickTop="1" thickBot="1" x14ac:dyDescent="0.25">
      <c r="A74" s="1687" t="s">
        <v>865</v>
      </c>
      <c r="B74" s="1695">
        <v>2000</v>
      </c>
      <c r="C74" s="1696">
        <f>SUM(C42,C47,C53,C57,C65,C72,C73)</f>
        <v>51560</v>
      </c>
      <c r="D74" s="1696">
        <f t="shared" ref="D74:K74" si="10">SUM(D42,D47,D53,D57,D65,D72,D73)</f>
        <v>5544</v>
      </c>
      <c r="E74" s="1696">
        <f t="shared" si="10"/>
        <v>6698</v>
      </c>
      <c r="F74" s="1696">
        <f t="shared" si="10"/>
        <v>4353</v>
      </c>
      <c r="G74" s="1696">
        <f t="shared" si="10"/>
        <v>0</v>
      </c>
      <c r="H74" s="1696">
        <f t="shared" si="10"/>
        <v>0</v>
      </c>
      <c r="I74" s="1696">
        <f t="shared" si="10"/>
        <v>0</v>
      </c>
      <c r="J74" s="1696">
        <f t="shared" si="10"/>
        <v>0</v>
      </c>
      <c r="K74" s="1696">
        <f t="shared" si="10"/>
        <v>68155</v>
      </c>
      <c r="L74" s="1696">
        <f>SUM(L42,L47,L53,L57,L65,L72,L73)</f>
        <v>69700</v>
      </c>
    </row>
    <row r="75" spans="1:14" s="259" customFormat="1" ht="15.75" customHeight="1" thickTop="1" thickBot="1" x14ac:dyDescent="0.25">
      <c r="A75" s="1632" t="s">
        <v>49</v>
      </c>
      <c r="B75" s="1633" t="s">
        <v>596</v>
      </c>
      <c r="C75" s="573"/>
      <c r="D75" s="573"/>
      <c r="E75" s="573"/>
      <c r="F75" s="573"/>
      <c r="G75" s="573"/>
      <c r="H75" s="573"/>
      <c r="I75" s="531"/>
      <c r="J75" s="531"/>
      <c r="K75" s="1689">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v>0</v>
      </c>
    </row>
    <row r="79" spans="1:14" x14ac:dyDescent="0.2">
      <c r="A79" s="1526" t="s">
        <v>322</v>
      </c>
      <c r="B79" s="615">
        <v>4120</v>
      </c>
      <c r="C79" s="617"/>
      <c r="D79" s="617"/>
      <c r="E79" s="466"/>
      <c r="F79" s="617"/>
      <c r="G79" s="617"/>
      <c r="H79" s="466"/>
      <c r="I79" s="477"/>
      <c r="J79" s="477"/>
      <c r="K79" s="1690">
        <f t="shared" si="11"/>
        <v>0</v>
      </c>
      <c r="L79" s="466">
        <v>0</v>
      </c>
    </row>
    <row r="80" spans="1:14" x14ac:dyDescent="0.2">
      <c r="A80" s="1526" t="s">
        <v>323</v>
      </c>
      <c r="B80" s="615">
        <v>4130</v>
      </c>
      <c r="C80" s="617"/>
      <c r="D80" s="617"/>
      <c r="E80" s="466"/>
      <c r="F80" s="617"/>
      <c r="G80" s="617"/>
      <c r="H80" s="466"/>
      <c r="I80" s="477"/>
      <c r="J80" s="477"/>
      <c r="K80" s="1690">
        <f t="shared" si="11"/>
        <v>0</v>
      </c>
      <c r="L80" s="466">
        <v>0</v>
      </c>
    </row>
    <row r="81" spans="1:12" x14ac:dyDescent="0.2">
      <c r="A81" s="1526" t="s">
        <v>721</v>
      </c>
      <c r="B81" s="615">
        <v>4140</v>
      </c>
      <c r="C81" s="617"/>
      <c r="D81" s="617"/>
      <c r="E81" s="466"/>
      <c r="F81" s="617"/>
      <c r="G81" s="617"/>
      <c r="H81" s="466"/>
      <c r="I81" s="477"/>
      <c r="J81" s="477"/>
      <c r="K81" s="1690">
        <f t="shared" si="11"/>
        <v>0</v>
      </c>
      <c r="L81" s="466">
        <v>0</v>
      </c>
    </row>
    <row r="82" spans="1:12" x14ac:dyDescent="0.2">
      <c r="A82" s="1526" t="s">
        <v>88</v>
      </c>
      <c r="B82" s="615">
        <v>4170</v>
      </c>
      <c r="C82" s="617"/>
      <c r="D82" s="617"/>
      <c r="E82" s="466"/>
      <c r="F82" s="617"/>
      <c r="G82" s="617"/>
      <c r="H82" s="466"/>
      <c r="I82" s="477"/>
      <c r="J82" s="477"/>
      <c r="K82" s="1690">
        <f t="shared" si="11"/>
        <v>0</v>
      </c>
      <c r="L82" s="466">
        <v>0</v>
      </c>
    </row>
    <row r="83" spans="1:12" x14ac:dyDescent="0.2">
      <c r="A83" s="1530" t="s">
        <v>722</v>
      </c>
      <c r="B83" s="629">
        <v>4190</v>
      </c>
      <c r="C83" s="617"/>
      <c r="D83" s="617"/>
      <c r="E83" s="466"/>
      <c r="F83" s="617"/>
      <c r="G83" s="617"/>
      <c r="H83" s="466"/>
      <c r="I83" s="477"/>
      <c r="J83" s="477"/>
      <c r="K83" s="1690">
        <f t="shared" si="11"/>
        <v>0</v>
      </c>
      <c r="L83" s="466">
        <v>0</v>
      </c>
    </row>
    <row r="84" spans="1:12" ht="13.5" thickBot="1" x14ac:dyDescent="0.25">
      <c r="A84" s="1687" t="s">
        <v>1565</v>
      </c>
      <c r="B84" s="1697">
        <v>4100</v>
      </c>
      <c r="C84" s="617"/>
      <c r="D84" s="617"/>
      <c r="E84" s="1689">
        <f>SUM(E78:E83)</f>
        <v>0</v>
      </c>
      <c r="F84" s="617"/>
      <c r="G84" s="617"/>
      <c r="H84" s="1689">
        <f>SUM(H78:H83)</f>
        <v>0</v>
      </c>
      <c r="I84" s="477"/>
      <c r="J84" s="477"/>
      <c r="K84" s="1689">
        <f>SUM(K78:K83)</f>
        <v>0</v>
      </c>
      <c r="L84" s="1689">
        <f>SUM(L78:L83)</f>
        <v>0</v>
      </c>
    </row>
    <row r="85" spans="1:12" ht="12.75" customHeight="1" thickTop="1" thickBot="1" x14ac:dyDescent="0.25">
      <c r="A85" s="1533" t="s">
        <v>273</v>
      </c>
      <c r="B85" s="636">
        <v>4210</v>
      </c>
      <c r="C85" s="617"/>
      <c r="D85" s="617"/>
      <c r="E85" s="637"/>
      <c r="F85" s="617"/>
      <c r="G85" s="617"/>
      <c r="H85" s="535"/>
      <c r="I85" s="477"/>
      <c r="J85" s="477"/>
      <c r="K85" s="1696">
        <f>H85</f>
        <v>0</v>
      </c>
      <c r="L85" s="530">
        <v>0</v>
      </c>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v>0</v>
      </c>
    </row>
    <row r="87" spans="1:12" ht="14.25" thickTop="1" thickBot="1" x14ac:dyDescent="0.25">
      <c r="A87" s="1535" t="s">
        <v>724</v>
      </c>
      <c r="B87" s="640">
        <v>4230</v>
      </c>
      <c r="C87" s="617"/>
      <c r="D87" s="617"/>
      <c r="E87" s="639"/>
      <c r="F87" s="617"/>
      <c r="G87" s="617"/>
      <c r="H87" s="467"/>
      <c r="I87" s="477"/>
      <c r="J87" s="477"/>
      <c r="K87" s="1696">
        <f t="shared" si="12"/>
        <v>0</v>
      </c>
      <c r="L87" s="530">
        <v>0</v>
      </c>
    </row>
    <row r="88" spans="1:12" ht="12.75" customHeight="1" thickTop="1" thickBot="1" x14ac:dyDescent="0.25">
      <c r="A88" s="1535" t="s">
        <v>789</v>
      </c>
      <c r="B88" s="640">
        <v>4240</v>
      </c>
      <c r="C88" s="617"/>
      <c r="D88" s="617"/>
      <c r="E88" s="639"/>
      <c r="F88" s="617"/>
      <c r="G88" s="617"/>
      <c r="H88" s="467"/>
      <c r="I88" s="477"/>
      <c r="J88" s="477"/>
      <c r="K88" s="1696">
        <f t="shared" si="12"/>
        <v>0</v>
      </c>
      <c r="L88" s="530">
        <v>0</v>
      </c>
    </row>
    <row r="89" spans="1:12" ht="12.75" customHeight="1" thickTop="1" thickBot="1" x14ac:dyDescent="0.25">
      <c r="A89" s="1535" t="s">
        <v>725</v>
      </c>
      <c r="B89" s="640">
        <v>4270</v>
      </c>
      <c r="C89" s="617"/>
      <c r="D89" s="617"/>
      <c r="E89" s="639"/>
      <c r="F89" s="617"/>
      <c r="G89" s="617"/>
      <c r="H89" s="467"/>
      <c r="I89" s="477"/>
      <c r="J89" s="477"/>
      <c r="K89" s="1696">
        <f t="shared" si="12"/>
        <v>0</v>
      </c>
      <c r="L89" s="530">
        <v>0</v>
      </c>
    </row>
    <row r="90" spans="1:12" ht="12.75" customHeight="1" thickTop="1" thickBot="1" x14ac:dyDescent="0.25">
      <c r="A90" s="1535" t="s">
        <v>710</v>
      </c>
      <c r="B90" s="640">
        <v>4280</v>
      </c>
      <c r="C90" s="617"/>
      <c r="D90" s="617"/>
      <c r="E90" s="639"/>
      <c r="F90" s="617"/>
      <c r="G90" s="617"/>
      <c r="H90" s="467"/>
      <c r="I90" s="477"/>
      <c r="J90" s="477"/>
      <c r="K90" s="1696">
        <f t="shared" si="12"/>
        <v>0</v>
      </c>
      <c r="L90" s="530">
        <v>0</v>
      </c>
    </row>
    <row r="91" spans="1:12" ht="12.75" customHeight="1" thickTop="1" thickBot="1" x14ac:dyDescent="0.25">
      <c r="A91" s="1535"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v>0</v>
      </c>
    </row>
    <row r="94" spans="1:12" ht="12.75" customHeight="1" thickTop="1" thickBot="1" x14ac:dyDescent="0.25">
      <c r="A94" s="1535" t="s">
        <v>713</v>
      </c>
      <c r="B94" s="640">
        <v>4320</v>
      </c>
      <c r="C94" s="617"/>
      <c r="D94" s="617"/>
      <c r="E94" s="639"/>
      <c r="F94" s="617"/>
      <c r="G94" s="617"/>
      <c r="H94" s="467"/>
      <c r="I94" s="477"/>
      <c r="J94" s="477"/>
      <c r="K94" s="1696">
        <f t="shared" si="12"/>
        <v>0</v>
      </c>
      <c r="L94" s="530">
        <v>0</v>
      </c>
    </row>
    <row r="95" spans="1:12" ht="15" customHeight="1" thickTop="1" thickBot="1" x14ac:dyDescent="0.25">
      <c r="A95" s="1535" t="s">
        <v>1568</v>
      </c>
      <c r="B95" s="640">
        <v>4330</v>
      </c>
      <c r="C95" s="617"/>
      <c r="D95" s="617"/>
      <c r="E95" s="639"/>
      <c r="F95" s="617"/>
      <c r="G95" s="617"/>
      <c r="H95" s="467"/>
      <c r="I95" s="477"/>
      <c r="J95" s="477"/>
      <c r="K95" s="1696">
        <f t="shared" si="12"/>
        <v>0</v>
      </c>
      <c r="L95" s="530">
        <v>0</v>
      </c>
    </row>
    <row r="96" spans="1:12" ht="14.25" thickTop="1" thickBot="1" x14ac:dyDescent="0.25">
      <c r="A96" s="1535" t="s">
        <v>714</v>
      </c>
      <c r="B96" s="640">
        <v>4340</v>
      </c>
      <c r="C96" s="617"/>
      <c r="D96" s="617"/>
      <c r="E96" s="639"/>
      <c r="F96" s="617"/>
      <c r="G96" s="617"/>
      <c r="H96" s="467"/>
      <c r="I96" s="477"/>
      <c r="J96" s="477"/>
      <c r="K96" s="1696">
        <f t="shared" si="12"/>
        <v>0</v>
      </c>
      <c r="L96" s="530">
        <v>0</v>
      </c>
    </row>
    <row r="97" spans="1:14" ht="12.75" customHeight="1" thickTop="1" thickBot="1" x14ac:dyDescent="0.25">
      <c r="A97" s="1535" t="s">
        <v>787</v>
      </c>
      <c r="B97" s="640">
        <v>4370</v>
      </c>
      <c r="C97" s="617"/>
      <c r="D97" s="617"/>
      <c r="E97" s="639"/>
      <c r="F97" s="617"/>
      <c r="G97" s="617"/>
      <c r="H97" s="467"/>
      <c r="I97" s="477"/>
      <c r="J97" s="477"/>
      <c r="K97" s="1696">
        <f t="shared" si="12"/>
        <v>0</v>
      </c>
      <c r="L97" s="530">
        <v>0</v>
      </c>
    </row>
    <row r="98" spans="1:14" ht="14.25" thickTop="1" thickBot="1" x14ac:dyDescent="0.25">
      <c r="A98" s="1535" t="s">
        <v>788</v>
      </c>
      <c r="B98" s="640">
        <v>4380</v>
      </c>
      <c r="C98" s="617"/>
      <c r="D98" s="617"/>
      <c r="E98" s="643"/>
      <c r="F98" s="617"/>
      <c r="G98" s="617"/>
      <c r="H98" s="467"/>
      <c r="I98" s="477"/>
      <c r="J98" s="477"/>
      <c r="K98" s="1696">
        <f t="shared" si="12"/>
        <v>0</v>
      </c>
      <c r="L98" s="530">
        <v>0</v>
      </c>
    </row>
    <row r="99" spans="1:14" ht="14.25" thickTop="1" thickBot="1" x14ac:dyDescent="0.25">
      <c r="A99" s="1535"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0</v>
      </c>
      <c r="F102" s="617"/>
      <c r="G102" s="617"/>
      <c r="H102" s="1696">
        <f>SUM(H84,H92,H100,H101)</f>
        <v>0</v>
      </c>
      <c r="I102" s="477"/>
      <c r="J102" s="477"/>
      <c r="K102" s="1696">
        <f>SUM(K84,K92,K100,K101)</f>
        <v>0</v>
      </c>
      <c r="L102" s="1696">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v>0</v>
      </c>
      <c r="M105" s="210"/>
      <c r="N105" s="210"/>
    </row>
    <row r="106" spans="1:14" s="598" customFormat="1" x14ac:dyDescent="0.2">
      <c r="A106" s="1526"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7" t="s">
        <v>50</v>
      </c>
      <c r="B114" s="1701"/>
      <c r="C114" s="1689">
        <f>SUM(C33,C74,C75,C102,C112,C113)</f>
        <v>221887</v>
      </c>
      <c r="D114" s="1689">
        <f t="shared" ref="D114:K114" si="13">SUM(D33,D74,D75,D102,D112,D113)</f>
        <v>30746</v>
      </c>
      <c r="E114" s="1689">
        <f t="shared" si="13"/>
        <v>22723</v>
      </c>
      <c r="F114" s="1689">
        <f t="shared" si="13"/>
        <v>59326</v>
      </c>
      <c r="G114" s="1689">
        <f t="shared" si="13"/>
        <v>0</v>
      </c>
      <c r="H114" s="1689">
        <f>SUM(H33,H74,H75,H102,H112,H113)</f>
        <v>0</v>
      </c>
      <c r="I114" s="1689">
        <f t="shared" si="13"/>
        <v>0</v>
      </c>
      <c r="J114" s="1689">
        <f t="shared" si="13"/>
        <v>0</v>
      </c>
      <c r="K114" s="1689">
        <f t="shared" si="13"/>
        <v>334682</v>
      </c>
      <c r="L114" s="1689">
        <f>SUM(L33,L74,L75,L102,L112,L113)</f>
        <v>346576</v>
      </c>
    </row>
    <row r="115" spans="1:14" ht="13.5" thickTop="1" x14ac:dyDescent="0.2">
      <c r="A115" s="2191" t="s">
        <v>1053</v>
      </c>
      <c r="B115" s="2192"/>
      <c r="C115" s="619"/>
      <c r="D115" s="619"/>
      <c r="E115" s="619"/>
      <c r="F115" s="619"/>
      <c r="G115" s="619"/>
      <c r="H115" s="619"/>
      <c r="I115" s="619"/>
      <c r="J115" s="619"/>
      <c r="K115" s="1703">
        <f>'Revenues 9-14'!C275-'Expenditures 15-22'!K114</f>
        <v>167841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69" t="s">
        <v>314</v>
      </c>
      <c r="B117" s="217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c r="D124" s="466"/>
      <c r="E124" s="466"/>
      <c r="F124" s="466"/>
      <c r="G124" s="466"/>
      <c r="H124" s="466"/>
      <c r="I124" s="467"/>
      <c r="J124" s="467"/>
      <c r="K124" s="1689">
        <f>SUM(C124:J124)</f>
        <v>0</v>
      </c>
      <c r="L124" s="466"/>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0</v>
      </c>
      <c r="D127" s="1689">
        <f t="shared" ref="D127:L127" si="14">SUM(D122:D126)</f>
        <v>0</v>
      </c>
      <c r="E127" s="1689">
        <f t="shared" si="14"/>
        <v>0</v>
      </c>
      <c r="F127" s="1689">
        <f t="shared" si="14"/>
        <v>0</v>
      </c>
      <c r="G127" s="1689">
        <f t="shared" si="14"/>
        <v>0</v>
      </c>
      <c r="H127" s="1689">
        <f t="shared" si="14"/>
        <v>0</v>
      </c>
      <c r="I127" s="1689">
        <f t="shared" si="14"/>
        <v>0</v>
      </c>
      <c r="J127" s="1689">
        <f t="shared" si="14"/>
        <v>0</v>
      </c>
      <c r="K127" s="1689">
        <f t="shared" si="14"/>
        <v>0</v>
      </c>
      <c r="L127" s="1689">
        <f t="shared" si="14"/>
        <v>0</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0</v>
      </c>
      <c r="D129" s="1696">
        <f t="shared" ref="D129:L129" si="15">SUM(D120,D127,D128)</f>
        <v>0</v>
      </c>
      <c r="E129" s="1696">
        <f t="shared" si="15"/>
        <v>0</v>
      </c>
      <c r="F129" s="1696">
        <f t="shared" si="15"/>
        <v>0</v>
      </c>
      <c r="G129" s="1696">
        <f t="shared" si="15"/>
        <v>0</v>
      </c>
      <c r="H129" s="1696">
        <f t="shared" si="15"/>
        <v>0</v>
      </c>
      <c r="I129" s="1696">
        <f t="shared" si="15"/>
        <v>0</v>
      </c>
      <c r="J129" s="1696">
        <f t="shared" si="15"/>
        <v>0</v>
      </c>
      <c r="K129" s="1696">
        <f t="shared" si="15"/>
        <v>0</v>
      </c>
      <c r="L129" s="1696">
        <f t="shared" si="15"/>
        <v>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1" t="s">
        <v>641</v>
      </c>
      <c r="B151" s="2163"/>
      <c r="C151" s="1689">
        <f>SUM(C129,C130,C139,C149,C150)</f>
        <v>0</v>
      </c>
      <c r="D151" s="1689">
        <f t="shared" ref="D151:K151" si="16">SUM(D129,D130,D139,D149,D150)</f>
        <v>0</v>
      </c>
      <c r="E151" s="1689">
        <f t="shared" si="16"/>
        <v>0</v>
      </c>
      <c r="F151" s="1689">
        <f t="shared" si="16"/>
        <v>0</v>
      </c>
      <c r="G151" s="1689">
        <f t="shared" si="16"/>
        <v>0</v>
      </c>
      <c r="H151" s="1689">
        <f t="shared" si="16"/>
        <v>0</v>
      </c>
      <c r="I151" s="1689">
        <f t="shared" si="16"/>
        <v>0</v>
      </c>
      <c r="J151" s="1689">
        <f t="shared" si="16"/>
        <v>0</v>
      </c>
      <c r="K151" s="1689">
        <f t="shared" si="16"/>
        <v>0</v>
      </c>
      <c r="L151" s="1689">
        <f>SUM(L129,L130,L139,L149,L150)</f>
        <v>0</v>
      </c>
    </row>
    <row r="152" spans="1:14" ht="12.75" customHeight="1" thickTop="1" x14ac:dyDescent="0.2">
      <c r="A152" s="2184" t="s">
        <v>1240</v>
      </c>
      <c r="B152" s="2185"/>
      <c r="C152" s="619"/>
      <c r="D152" s="619"/>
      <c r="E152" s="619"/>
      <c r="F152" s="619"/>
      <c r="G152" s="619"/>
      <c r="H152" s="619"/>
      <c r="I152" s="619"/>
      <c r="J152" s="617"/>
      <c r="K152" s="1703">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69" t="s">
        <v>642</v>
      </c>
      <c r="B154" s="217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c r="I169" s="617"/>
      <c r="J169" s="617"/>
      <c r="K169" s="1690">
        <f>SUM(C169:H169)</f>
        <v>0</v>
      </c>
      <c r="L169" s="657"/>
    </row>
    <row r="170" spans="1:14" ht="33.75" customHeight="1" x14ac:dyDescent="0.2">
      <c r="A170" s="670" t="s">
        <v>1769</v>
      </c>
      <c r="B170" s="672" t="s">
        <v>31</v>
      </c>
      <c r="C170" s="617"/>
      <c r="D170" s="617"/>
      <c r="E170" s="617"/>
      <c r="F170" s="617"/>
      <c r="G170" s="617"/>
      <c r="H170" s="569"/>
      <c r="I170" s="617"/>
      <c r="J170" s="617"/>
      <c r="K170" s="1690">
        <f>SUM(C170:J170)</f>
        <v>0</v>
      </c>
      <c r="L170" s="569"/>
    </row>
    <row r="171" spans="1:14" ht="15.75" customHeight="1" x14ac:dyDescent="0.2">
      <c r="A171" s="622" t="s">
        <v>790</v>
      </c>
      <c r="B171" s="673" t="s">
        <v>86</v>
      </c>
      <c r="C171" s="617"/>
      <c r="D171" s="617"/>
      <c r="E171" s="466"/>
      <c r="F171" s="617"/>
      <c r="G171" s="617"/>
      <c r="H171" s="569"/>
      <c r="I171" s="477"/>
      <c r="J171" s="617"/>
      <c r="K171" s="1690">
        <f>SUM(C171:J171)</f>
        <v>0</v>
      </c>
      <c r="L171" s="569"/>
    </row>
    <row r="172" spans="1:14" ht="12.75" customHeight="1" thickBot="1" x14ac:dyDescent="0.25">
      <c r="A172" s="1687" t="s">
        <v>659</v>
      </c>
      <c r="B172" s="1688" t="s">
        <v>513</v>
      </c>
      <c r="C172" s="617"/>
      <c r="D172" s="617"/>
      <c r="E172" s="1696">
        <f>SUM(E168,E169,E170,E171)</f>
        <v>0</v>
      </c>
      <c r="F172" s="617"/>
      <c r="G172" s="617"/>
      <c r="H172" s="1696">
        <f>SUM(H168,H169,H170,H171)</f>
        <v>0</v>
      </c>
      <c r="I172" s="639"/>
      <c r="J172" s="617"/>
      <c r="K172" s="1696">
        <f>SUM(K168,K169,K170,K171)</f>
        <v>0</v>
      </c>
      <c r="L172" s="1696">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0</v>
      </c>
      <c r="I174" s="639"/>
      <c r="J174" s="617"/>
      <c r="K174" s="1696">
        <f>SUM(K160,K172,K173)</f>
        <v>0</v>
      </c>
      <c r="L174" s="1696">
        <f>SUM(L160,L172,L173)</f>
        <v>0</v>
      </c>
    </row>
    <row r="175" spans="1:14" ht="13.5" thickTop="1" x14ac:dyDescent="0.2">
      <c r="A175" s="2191" t="s">
        <v>1053</v>
      </c>
      <c r="B175" s="2192"/>
      <c r="C175" s="617"/>
      <c r="D175" s="617"/>
      <c r="E175" s="617"/>
      <c r="F175" s="617"/>
      <c r="G175" s="617"/>
      <c r="H175" s="619"/>
      <c r="I175" s="617"/>
      <c r="J175" s="617"/>
      <c r="K175" s="1703">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0">
        <f>SUM(C182:J182)</f>
        <v>0</v>
      </c>
      <c r="L182" s="466"/>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0</v>
      </c>
      <c r="D184" s="1696">
        <f t="shared" ref="D184:J184" si="17">SUM(D180,D182,D183)</f>
        <v>0</v>
      </c>
      <c r="E184" s="1696">
        <f t="shared" si="17"/>
        <v>0</v>
      </c>
      <c r="F184" s="1696">
        <f t="shared" si="17"/>
        <v>0</v>
      </c>
      <c r="G184" s="1696">
        <f t="shared" si="17"/>
        <v>0</v>
      </c>
      <c r="H184" s="1696">
        <f t="shared" si="17"/>
        <v>0</v>
      </c>
      <c r="I184" s="1696">
        <f t="shared" si="17"/>
        <v>0</v>
      </c>
      <c r="J184" s="1696">
        <f t="shared" si="17"/>
        <v>0</v>
      </c>
      <c r="K184" s="1696">
        <f>SUM(K180,K182,K183)</f>
        <v>0</v>
      </c>
      <c r="L184" s="1696">
        <f>SUM(L180, L182:L183)</f>
        <v>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0</v>
      </c>
      <c r="D210" s="1689">
        <f>SUM(D184,D185)</f>
        <v>0</v>
      </c>
      <c r="E210" s="1689">
        <f>SUM(E184,E185,E196)</f>
        <v>0</v>
      </c>
      <c r="F210" s="1689">
        <f>SUM(F184,F185)</f>
        <v>0</v>
      </c>
      <c r="G210" s="1689">
        <f>SUM(G184,G185)</f>
        <v>0</v>
      </c>
      <c r="H210" s="1689">
        <f>SUM(H184,H185,H196,H208,H209)</f>
        <v>0</v>
      </c>
      <c r="I210" s="1689">
        <f>SUM(I184,I185)</f>
        <v>0</v>
      </c>
      <c r="J210" s="1689">
        <f>SUM(J184,J185)</f>
        <v>0</v>
      </c>
      <c r="K210" s="1690">
        <f>SUM(K184,K185,K196,K208,K209)</f>
        <v>0</v>
      </c>
      <c r="L210" s="1689">
        <f>SUM(L184,L185,L196,L208,L209)</f>
        <v>0</v>
      </c>
    </row>
    <row r="211" spans="1:14" ht="13.5" thickTop="1" x14ac:dyDescent="0.2">
      <c r="A211" s="2191" t="s">
        <v>1053</v>
      </c>
      <c r="B211" s="2192"/>
      <c r="C211" s="619"/>
      <c r="D211" s="619"/>
      <c r="E211" s="619"/>
      <c r="F211" s="619"/>
      <c r="G211" s="619"/>
      <c r="H211" s="619"/>
      <c r="I211" s="617"/>
      <c r="J211" s="617"/>
      <c r="K211" s="1703">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6" t="s">
        <v>1022</v>
      </c>
      <c r="B213" s="218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0">
        <f>D215</f>
        <v>0</v>
      </c>
      <c r="L215" s="466"/>
    </row>
    <row r="216" spans="1:14" x14ac:dyDescent="0.2">
      <c r="A216" s="1526" t="s">
        <v>165</v>
      </c>
      <c r="B216" s="615" t="s">
        <v>1024</v>
      </c>
      <c r="C216" s="617"/>
      <c r="D216" s="467"/>
      <c r="E216" s="617"/>
      <c r="F216" s="617"/>
      <c r="G216" s="617"/>
      <c r="H216" s="617"/>
      <c r="I216" s="617"/>
      <c r="J216" s="617"/>
      <c r="K216" s="1690">
        <f t="shared" ref="K216:K228" si="19">D216</f>
        <v>0</v>
      </c>
      <c r="L216" s="466"/>
    </row>
    <row r="217" spans="1:14" x14ac:dyDescent="0.2">
      <c r="A217" s="1526" t="s">
        <v>166</v>
      </c>
      <c r="B217" s="615">
        <v>1200</v>
      </c>
      <c r="C217" s="617"/>
      <c r="D217" s="466"/>
      <c r="E217" s="617"/>
      <c r="F217" s="617"/>
      <c r="G217" s="617"/>
      <c r="H217" s="617"/>
      <c r="I217" s="617"/>
      <c r="J217" s="617"/>
      <c r="K217" s="1690">
        <f t="shared" si="19"/>
        <v>0</v>
      </c>
      <c r="L217" s="466"/>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c r="E219" s="617"/>
      <c r="F219" s="617"/>
      <c r="G219" s="617"/>
      <c r="H219" s="617"/>
      <c r="I219" s="617"/>
      <c r="J219" s="617"/>
      <c r="K219" s="1690">
        <f t="shared" si="19"/>
        <v>0</v>
      </c>
      <c r="L219" s="466"/>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c r="E222" s="617"/>
      <c r="F222" s="617"/>
      <c r="G222" s="617"/>
      <c r="H222" s="617"/>
      <c r="I222" s="617"/>
      <c r="J222" s="617"/>
      <c r="K222" s="1690">
        <f t="shared" si="19"/>
        <v>0</v>
      </c>
      <c r="L222" s="466"/>
    </row>
    <row r="223" spans="1:14" x14ac:dyDescent="0.2">
      <c r="A223" s="1526" t="s">
        <v>1020</v>
      </c>
      <c r="B223" s="615">
        <v>1500</v>
      </c>
      <c r="C223" s="617"/>
      <c r="D223" s="466"/>
      <c r="E223" s="617"/>
      <c r="F223" s="617"/>
      <c r="G223" s="617"/>
      <c r="H223" s="617"/>
      <c r="I223" s="617"/>
      <c r="J223" s="617"/>
      <c r="K223" s="1690">
        <f t="shared" si="19"/>
        <v>0</v>
      </c>
      <c r="L223" s="466"/>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c r="E226" s="617"/>
      <c r="F226" s="617"/>
      <c r="G226" s="617"/>
      <c r="H226" s="617"/>
      <c r="I226" s="617"/>
      <c r="J226" s="617"/>
      <c r="K226" s="1690">
        <f t="shared" si="19"/>
        <v>0</v>
      </c>
      <c r="L226" s="466"/>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0</v>
      </c>
      <c r="E229" s="617"/>
      <c r="F229" s="617"/>
      <c r="G229" s="617"/>
      <c r="H229" s="617"/>
      <c r="I229" s="617"/>
      <c r="J229" s="617"/>
      <c r="K229" s="1689">
        <f>SUM(K215:K228)</f>
        <v>0</v>
      </c>
      <c r="L229" s="1689">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c r="E233" s="617"/>
      <c r="F233" s="617"/>
      <c r="G233" s="617"/>
      <c r="H233" s="617"/>
      <c r="I233" s="617"/>
      <c r="J233" s="617"/>
      <c r="K233" s="1690">
        <f t="shared" si="20"/>
        <v>0</v>
      </c>
      <c r="L233" s="466"/>
    </row>
    <row r="234" spans="1:12" x14ac:dyDescent="0.2">
      <c r="A234" s="1526" t="s">
        <v>207</v>
      </c>
      <c r="B234" s="615">
        <v>2130</v>
      </c>
      <c r="C234" s="617"/>
      <c r="D234" s="466"/>
      <c r="E234" s="617"/>
      <c r="F234" s="617"/>
      <c r="G234" s="617"/>
      <c r="H234" s="617"/>
      <c r="I234" s="617"/>
      <c r="J234" s="617"/>
      <c r="K234" s="1690">
        <f t="shared" si="20"/>
        <v>0</v>
      </c>
      <c r="L234" s="466"/>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0</v>
      </c>
      <c r="E238" s="617"/>
      <c r="F238" s="617"/>
      <c r="G238" s="617"/>
      <c r="H238" s="617"/>
      <c r="I238" s="617"/>
      <c r="J238" s="617"/>
      <c r="K238" s="1689">
        <f>SUM(K232:K237)</f>
        <v>0</v>
      </c>
      <c r="L238" s="1689">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row>
    <row r="241" spans="1:12" x14ac:dyDescent="0.2">
      <c r="A241" s="1526" t="s">
        <v>869</v>
      </c>
      <c r="B241" s="615">
        <v>2220</v>
      </c>
      <c r="C241" s="617"/>
      <c r="D241" s="466"/>
      <c r="E241" s="617"/>
      <c r="F241" s="617"/>
      <c r="G241" s="617"/>
      <c r="H241" s="617"/>
      <c r="I241" s="617"/>
      <c r="J241" s="617"/>
      <c r="K241" s="1691">
        <f>D241</f>
        <v>0</v>
      </c>
      <c r="L241" s="466"/>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0</v>
      </c>
      <c r="E243" s="617"/>
      <c r="F243" s="617"/>
      <c r="G243" s="617"/>
      <c r="H243" s="617"/>
      <c r="I243" s="617"/>
      <c r="J243" s="617"/>
      <c r="K243" s="1689">
        <f>SUM(K240:K242)</f>
        <v>0</v>
      </c>
      <c r="L243" s="1689">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row>
    <row r="246" spans="1:12" x14ac:dyDescent="0.2">
      <c r="A246" s="1526" t="s">
        <v>872</v>
      </c>
      <c r="B246" s="615">
        <v>2320</v>
      </c>
      <c r="C246" s="617"/>
      <c r="D246" s="466"/>
      <c r="E246" s="617"/>
      <c r="F246" s="617"/>
      <c r="G246" s="617"/>
      <c r="H246" s="617"/>
      <c r="I246" s="617"/>
      <c r="J246" s="617"/>
      <c r="K246" s="1691">
        <f t="shared" ref="K246:K256" si="21">D246</f>
        <v>0</v>
      </c>
      <c r="L246" s="466"/>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1907</v>
      </c>
      <c r="B249" s="684" t="s">
        <v>300</v>
      </c>
      <c r="C249" s="617"/>
      <c r="D249" s="474"/>
      <c r="E249" s="617"/>
      <c r="F249" s="617"/>
      <c r="G249" s="617"/>
      <c r="H249" s="617"/>
      <c r="I249" s="617"/>
      <c r="J249" s="617"/>
      <c r="K249" s="1691">
        <f t="shared" si="21"/>
        <v>0</v>
      </c>
      <c r="L249" s="466"/>
    </row>
    <row r="250" spans="1:12" x14ac:dyDescent="0.2">
      <c r="A250" s="1527" t="s">
        <v>1908</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0</v>
      </c>
      <c r="E257" s="617"/>
      <c r="F257" s="617"/>
      <c r="G257" s="617"/>
      <c r="H257" s="617"/>
      <c r="I257" s="617"/>
      <c r="J257" s="617"/>
      <c r="K257" s="1689">
        <f>SUM(K245:K256)</f>
        <v>0</v>
      </c>
      <c r="L257" s="1689">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1">
        <f>D259</f>
        <v>0</v>
      </c>
      <c r="L259" s="481"/>
    </row>
    <row r="260" spans="1:14" s="598" customFormat="1" x14ac:dyDescent="0.2">
      <c r="A260" s="1544" t="s">
        <v>1906</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0</v>
      </c>
      <c r="E261" s="617"/>
      <c r="F261" s="617"/>
      <c r="G261" s="617"/>
      <c r="H261" s="617"/>
      <c r="I261" s="617"/>
      <c r="J261" s="617"/>
      <c r="K261" s="1689">
        <f>SUM(K259:K260)</f>
        <v>0</v>
      </c>
      <c r="L261" s="1689">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c r="E264" s="617"/>
      <c r="F264" s="617"/>
      <c r="G264" s="617"/>
      <c r="H264" s="617"/>
      <c r="I264" s="617"/>
      <c r="J264" s="617"/>
      <c r="K264" s="1691">
        <f t="shared" ref="K264:K269" si="22">D264</f>
        <v>0</v>
      </c>
      <c r="L264" s="466"/>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c r="E266" s="617"/>
      <c r="F266" s="617"/>
      <c r="G266" s="617"/>
      <c r="H266" s="617"/>
      <c r="I266" s="617"/>
      <c r="J266" s="617"/>
      <c r="K266" s="1691">
        <f t="shared" si="22"/>
        <v>0</v>
      </c>
      <c r="L266" s="466"/>
    </row>
    <row r="267" spans="1:14" x14ac:dyDescent="0.2">
      <c r="A267" s="1526" t="s">
        <v>1010</v>
      </c>
      <c r="B267" s="615">
        <v>2550</v>
      </c>
      <c r="C267" s="617"/>
      <c r="D267" s="466"/>
      <c r="E267" s="617"/>
      <c r="F267" s="617"/>
      <c r="G267" s="617"/>
      <c r="H267" s="617"/>
      <c r="I267" s="617"/>
      <c r="J267" s="617"/>
      <c r="K267" s="1691">
        <f t="shared" si="22"/>
        <v>0</v>
      </c>
      <c r="L267" s="466"/>
    </row>
    <row r="268" spans="1:14" x14ac:dyDescent="0.2">
      <c r="A268" s="1526" t="s">
        <v>102</v>
      </c>
      <c r="B268" s="615">
        <v>2560</v>
      </c>
      <c r="C268" s="617"/>
      <c r="D268" s="466"/>
      <c r="E268" s="617"/>
      <c r="F268" s="617"/>
      <c r="G268" s="617"/>
      <c r="H268" s="617"/>
      <c r="I268" s="617"/>
      <c r="J268" s="617"/>
      <c r="K268" s="1691">
        <f t="shared" si="22"/>
        <v>0</v>
      </c>
      <c r="L268" s="466"/>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0</v>
      </c>
      <c r="E270" s="617"/>
      <c r="F270" s="617"/>
      <c r="G270" s="617"/>
      <c r="H270" s="617"/>
      <c r="I270" s="617"/>
      <c r="J270" s="617"/>
      <c r="K270" s="1689">
        <f>SUM(K263:K269)</f>
        <v>0</v>
      </c>
      <c r="L270" s="1689">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0</v>
      </c>
      <c r="E279" s="617"/>
      <c r="F279" s="617"/>
      <c r="G279" s="617"/>
      <c r="H279" s="617"/>
      <c r="I279" s="617"/>
      <c r="J279" s="617"/>
      <c r="K279" s="1696">
        <f>SUM(K238,K243,K257,K261,K270,K277,K278)</f>
        <v>0</v>
      </c>
      <c r="L279" s="1696">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2" t="s">
        <v>526</v>
      </c>
      <c r="B295" s="2183"/>
      <c r="C295" s="617"/>
      <c r="D295" s="1689">
        <f>SUM(D229,D279,D280,D285)</f>
        <v>0</v>
      </c>
      <c r="E295" s="617"/>
      <c r="F295" s="617"/>
      <c r="G295" s="617"/>
      <c r="H295" s="1689">
        <f>H293</f>
        <v>0</v>
      </c>
      <c r="I295" s="617"/>
      <c r="J295" s="617"/>
      <c r="K295" s="1689">
        <f>SUM(K229,K279,K280,K285,K293,K294)</f>
        <v>0</v>
      </c>
      <c r="L295" s="1689">
        <f>SUM(L229,L279,L280,L285,L293,L294)</f>
        <v>0</v>
      </c>
    </row>
    <row r="296" spans="1:14" ht="13.5" thickTop="1" x14ac:dyDescent="0.2">
      <c r="A296" s="2191" t="s">
        <v>1053</v>
      </c>
      <c r="B296" s="2192"/>
      <c r="C296" s="617"/>
      <c r="D296" s="619"/>
      <c r="E296" s="617"/>
      <c r="F296" s="617"/>
      <c r="G296" s="617"/>
      <c r="H296" s="688"/>
      <c r="I296" s="617"/>
      <c r="J296" s="617"/>
      <c r="K296" s="1703">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4" t="s">
        <v>145</v>
      </c>
      <c r="B298" s="216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79" t="s">
        <v>295</v>
      </c>
      <c r="B312" s="2180"/>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75" t="s">
        <v>1053</v>
      </c>
      <c r="B313" s="2176"/>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88" t="s">
        <v>151</v>
      </c>
      <c r="B315" s="218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0" t="s">
        <v>954</v>
      </c>
      <c r="B317" s="218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1907</v>
      </c>
      <c r="B320" s="699" t="s">
        <v>300</v>
      </c>
      <c r="C320" s="467"/>
      <c r="D320" s="467"/>
      <c r="E320" s="467"/>
      <c r="F320" s="467"/>
      <c r="G320" s="467"/>
      <c r="H320" s="467"/>
      <c r="I320" s="467"/>
      <c r="J320" s="467"/>
      <c r="K320" s="1690">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0">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77" t="s">
        <v>1053</v>
      </c>
      <c r="B343" s="2178"/>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7" t="s">
        <v>1023</v>
      </c>
      <c r="B345" s="216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91" t="s">
        <v>1053</v>
      </c>
      <c r="B368" s="2192"/>
      <c r="C368" s="655"/>
      <c r="D368" s="655"/>
      <c r="E368" s="627"/>
      <c r="F368" s="627"/>
      <c r="G368" s="627"/>
      <c r="H368" s="627"/>
      <c r="I368" s="627"/>
      <c r="J368" s="624"/>
      <c r="K368" s="1690">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2006/metadata/properties"/>
    <ds:schemaRef ds:uri="http://purl.org/dc/terms/"/>
    <ds:schemaRef ds:uri="4d435f69-8686-490b-bd6d-b153bf22ab50"/>
    <ds:schemaRef ds:uri="http://schemas.microsoft.com/office/2006/documentManagement/types"/>
    <ds:schemaRef ds:uri="http://purl.org/dc/elements/1.1/"/>
    <ds:schemaRef ds:uri="6ce3111e-7420-4802-b50a-75d4e9a0b980"/>
    <ds:schemaRef ds:uri="http://schemas.microsoft.com/office/infopath/2007/PartnerControls"/>
    <ds:schemaRef ds:uri="http://www.w3.org/XML/1998/namespace"/>
    <ds:schemaRef ds:uri="http://purl.org/dc/dcmitype/"/>
    <ds:schemaRef ds:uri="http://schemas.openxmlformats.org/package/2006/metadata/core-properties"/>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SF&amp;QC Sec-1</vt:lpstr>
      <vt:lpstr>SF&amp;QC Sec-2</vt:lpstr>
      <vt:lpstr>SF&amp;QC Sec-3</vt:lpstr>
      <vt:lpstr>SSPAF</vt:lpstr>
      <vt:lpstr>' SEFA'!Print_Area</vt:lpstr>
      <vt:lpstr>' SEFA-A'!Print_Area</vt:lpstr>
      <vt:lpstr>' SEFA-B'!Print_Area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2018-09-17T20:47:01Z</cp:lastPrinted>
  <dcterms:created xsi:type="dcterms:W3CDTF">2003-10-29T19:06:34Z</dcterms:created>
  <dcterms:modified xsi:type="dcterms:W3CDTF">2018-10-30T20:36:00Z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