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510" yWindow="270" windowWidth="26265" windowHeight="11325"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iterate="1" iterateCount="1"/>
</workbook>
</file>

<file path=xl/calcChain.xml><?xml version="1.0" encoding="utf-8"?>
<calcChain xmlns="http://schemas.openxmlformats.org/spreadsheetml/2006/main">
  <c r="D51" i="29" l="1"/>
  <c r="C13" i="29"/>
  <c r="F61" i="29"/>
  <c r="E61" i="29"/>
  <c r="E51" i="29"/>
  <c r="D13" i="29"/>
  <c r="F13" i="29"/>
  <c r="G13" i="29"/>
  <c r="E13" i="29"/>
  <c r="C133" i="5"/>
  <c r="C88" i="5"/>
  <c r="C95" i="5"/>
  <c r="C36" i="5"/>
  <c r="C29" i="5"/>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3" l="1"/>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B7758" i="106"/>
  <c r="D7758" i="106" s="1"/>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D4" i="7"/>
  <c r="B1760" i="106" s="1"/>
  <c r="D1760" i="106" s="1"/>
  <c r="D9" i="7"/>
  <c r="B1767" i="106" s="1"/>
  <c r="D1767" i="106" s="1"/>
  <c r="F136" i="34"/>
  <c r="F131" i="34"/>
  <c r="F130" i="34"/>
  <c r="F127" i="34"/>
  <c r="B5847" i="106"/>
  <c r="D5847" i="106" s="1"/>
  <c r="B5599" i="106"/>
  <c r="D5599" i="106" s="1"/>
  <c r="K274" i="5"/>
  <c r="C172" i="5"/>
  <c r="B5214" i="106" s="1"/>
  <c r="D5214" i="106" s="1"/>
  <c r="D109" i="5"/>
  <c r="B5356" i="106" s="1"/>
  <c r="D5356" i="106" s="1"/>
  <c r="B1746" i="106"/>
  <c r="D1746" i="106" s="1"/>
  <c r="D12" i="7"/>
  <c r="B1769" i="106" s="1"/>
  <c r="D1769" i="106" s="1"/>
  <c r="G173" i="5" l="1"/>
  <c r="B5778" i="106" s="1"/>
  <c r="D5778" i="106" s="1"/>
  <c r="B5770" i="106"/>
  <c r="D5770" i="106" s="1"/>
  <c r="B7041" i="106"/>
  <c r="D7041" i="106" s="1"/>
  <c r="D17" i="7"/>
  <c r="B4104" i="106" s="1"/>
  <c r="D4104" i="106" s="1"/>
  <c r="D4" i="4"/>
  <c r="B2564" i="106" s="1"/>
  <c r="D2564" i="106" s="1"/>
  <c r="F106" i="34"/>
  <c r="H109" i="5"/>
  <c r="H173" i="5"/>
  <c r="G4" i="4"/>
  <c r="B2603" i="106" s="1"/>
  <c r="D2603" i="106" s="1"/>
  <c r="B5752" i="106"/>
  <c r="D5752" i="106" s="1"/>
  <c r="F111" i="34"/>
  <c r="F128" i="34"/>
  <c r="D5" i="7"/>
  <c r="B1761" i="106" s="1"/>
  <c r="D1761" i="106" s="1"/>
  <c r="D5" i="4"/>
  <c r="B3406" i="106" s="1"/>
  <c r="D3406" i="106" s="1"/>
  <c r="I274" i="5"/>
  <c r="E109" i="5"/>
  <c r="E4" i="4" s="1"/>
  <c r="B2630" i="106" s="1"/>
  <c r="D2630" i="106" s="1"/>
  <c r="L342" i="29"/>
  <c r="L312" i="29"/>
  <c r="F66" i="34"/>
  <c r="F49" i="34"/>
  <c r="F45" i="34"/>
  <c r="F42" i="34"/>
  <c r="F35" i="34"/>
  <c r="D7245" i="106"/>
  <c r="I342" i="29"/>
  <c r="B7222" i="106" s="1"/>
  <c r="D7222" i="106" s="1"/>
  <c r="B6261" i="106"/>
  <c r="D6261" i="106" s="1"/>
  <c r="J77" i="4"/>
  <c r="B6262" i="106" s="1"/>
  <c r="D6262" i="106" s="1"/>
  <c r="B6191" i="106"/>
  <c r="D6191" i="106" s="1"/>
  <c r="J41" i="3"/>
  <c r="B3647" i="106"/>
  <c r="D3647" i="106" s="1"/>
  <c r="G352" i="29"/>
  <c r="B3619" i="106"/>
  <c r="D3619" i="106" s="1"/>
  <c r="C352" i="29"/>
  <c r="B3454" i="106"/>
  <c r="D3454" i="106" s="1"/>
  <c r="L15" i="11"/>
  <c r="B3459" i="106" s="1"/>
  <c r="D3459" i="106" s="1"/>
  <c r="B3170" i="106"/>
  <c r="D3170" i="106" s="1"/>
  <c r="H76" i="4"/>
  <c r="B3298" i="106" s="1"/>
  <c r="D3298" i="106" s="1"/>
  <c r="B1995" i="106"/>
  <c r="D1995" i="106" s="1"/>
  <c r="I24" i="12"/>
  <c r="F21" i="8"/>
  <c r="B3689" i="106"/>
  <c r="D3689" i="106" s="1"/>
  <c r="B2054" i="106"/>
  <c r="D2054" i="106" s="1"/>
  <c r="L13" i="11"/>
  <c r="B2060" i="106" s="1"/>
  <c r="D2060" i="106" s="1"/>
  <c r="E14" i="145"/>
  <c r="G14" i="145" s="1"/>
  <c r="B1124" i="106"/>
  <c r="D1124" i="106" s="1"/>
  <c r="B3565" i="106"/>
  <c r="D3565" i="106" s="1"/>
  <c r="K41" i="3"/>
  <c r="B1364" i="106"/>
  <c r="D1364" i="106" s="1"/>
  <c r="G210" i="29"/>
  <c r="D6103" i="106"/>
  <c r="K285" i="29"/>
  <c r="B1410" i="106"/>
  <c r="D1410" i="106" s="1"/>
  <c r="B1329" i="106"/>
  <c r="D1329" i="106" s="1"/>
  <c r="F61" i="34"/>
  <c r="F37" i="34"/>
  <c r="C173" i="5"/>
  <c r="B5223" i="106" s="1"/>
  <c r="D5223" i="106" s="1"/>
  <c r="C109" i="5"/>
  <c r="B5121" i="106" s="1"/>
  <c r="D5121" i="106" s="1"/>
  <c r="D13" i="7"/>
  <c r="B3726" i="106" s="1"/>
  <c r="D3726" i="106" s="1"/>
  <c r="D7" i="7"/>
  <c r="B1763" i="106" s="1"/>
  <c r="D1763" i="106" s="1"/>
  <c r="D11" i="7"/>
  <c r="B1768" i="106" s="1"/>
  <c r="D1768" i="106" s="1"/>
  <c r="D15" i="7"/>
  <c r="B1772" i="106" s="1"/>
  <c r="D1772" i="106" s="1"/>
  <c r="K28" i="118"/>
  <c r="O27" i="118" s="1"/>
  <c r="O29" i="118"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D274" i="5"/>
  <c r="B3447" i="106"/>
  <c r="D3447" i="106" s="1"/>
  <c r="D19" i="7"/>
  <c r="B1775" i="106" s="1"/>
  <c r="D1775" i="106" s="1"/>
  <c r="B7270" i="106"/>
  <c r="D7255" i="106" l="1"/>
  <c r="D7253" i="106"/>
  <c r="D7252" i="106"/>
  <c r="F274" i="5"/>
  <c r="F275" i="5" s="1"/>
  <c r="F73" i="34"/>
  <c r="G15" i="4"/>
  <c r="B6032" i="106" s="1"/>
  <c r="D6032" i="106" s="1"/>
  <c r="B1365" i="106"/>
  <c r="D1365" i="106" s="1"/>
  <c r="F65" i="34"/>
  <c r="B3568" i="106"/>
  <c r="D3568" i="106" s="1"/>
  <c r="D52" i="36"/>
  <c r="B1996" i="106"/>
  <c r="D1996" i="106" s="1"/>
  <c r="I26" i="12"/>
  <c r="B7741" i="106" s="1"/>
  <c r="D7741" i="106" s="1"/>
  <c r="B3621" i="106"/>
  <c r="D3621" i="106" s="1"/>
  <c r="C367" i="29"/>
  <c r="B3622" i="106" s="1"/>
  <c r="D3622" i="106" s="1"/>
  <c r="B3649" i="106"/>
  <c r="D3649" i="106" s="1"/>
  <c r="G367" i="29"/>
  <c r="B3650" i="106" s="1"/>
  <c r="D3650" i="106" s="1"/>
  <c r="H367" i="29"/>
  <c r="B3660" i="106" s="1"/>
  <c r="D3660" i="106" s="1"/>
  <c r="B5906" i="106"/>
  <c r="D5906" i="106" s="1"/>
  <c r="H6" i="4"/>
  <c r="B2656" i="106" s="1"/>
  <c r="D2656" i="106" s="1"/>
  <c r="B1879" i="106"/>
  <c r="D1879" i="106" s="1"/>
  <c r="H22" i="37"/>
  <c r="B6025" i="106"/>
  <c r="D6025" i="106" s="1"/>
  <c r="H4" i="4"/>
  <c r="L16" i="11"/>
  <c r="B2061" i="106" s="1"/>
  <c r="D2061" i="106" s="1"/>
  <c r="C114" i="29"/>
  <c r="B757" i="106" s="1"/>
  <c r="D757"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J17" i="4" l="1"/>
  <c r="B2655" i="106"/>
  <c r="D2655" i="106" s="1"/>
  <c r="H8" i="4"/>
  <c r="G41" i="108"/>
  <c r="F8" i="4"/>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<sst xmlns="http://schemas.openxmlformats.org/spreadsheetml/2006/main" count="5059" uniqueCount="2095">
  <si>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</si>
  <si>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</si>
  <si>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</si>
  <si>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</si>
  <si>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</si>
  <si>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</si>
  <si>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</si>
  <si>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</si>
  <si>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</si>
  <si>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</si>
  <si>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</si>
  <si>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</si>
  <si>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</si>
  <si>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</si>
  <si>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</si>
  <si>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</si>
  <si>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</si>
  <si>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</si>
  <si>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</si>
  <si>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</si>
  <si>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</si>
  <si>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</si>
  <si>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</si>
  <si>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</si>
  <si>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</si>
  <si>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</si>
  <si>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</si>
  <si>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</si>
  <si>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</si>
  <si>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</si>
  <si>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</si>
  <si>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</si>
  <si>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</si>
  <si>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</si>
  <si>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</si>
  <si>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</si>
  <si>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</si>
  <si>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</si>
  <si>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</si>
  <si>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</si>
  <si>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</si>
  <si>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</si>
  <si>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</si>
  <si>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</si>
  <si>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</si>
  <si>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</si>
  <si>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</si>
  <si>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</si>
  <si>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</si>
  <si>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</si>
  <si>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</si>
  <si>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</si>
  <si>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</si>
  <si>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</si>
  <si>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</si>
  <si>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</si>
  <si>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</si>
  <si>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</si>
  <si>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</si>
  <si>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</si>
  <si>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</si>
  <si>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</si>
  <si>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</si>
  <si>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</si>
  <si>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</si>
  <si>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</si>
  <si>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</si>
  <si>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</si>
  <si>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</si>
  <si>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</si>
  <si>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</si>
  <si>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</si>
  <si>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</si>
  <si>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</si>
  <si>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</si>
  <si>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</si>
  <si>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</si>
  <si>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</si>
  <si>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</si>
  <si>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</si>
  <si>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</si>
  <si>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</si>
  <si>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</si>
  <si>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</si>
  <si>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</si>
  <si>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</si>
  <si>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</si>
  <si>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</si>
  <si>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</si>
  <si>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</si>
  <si>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</si>
  <si>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</si>
  <si>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</si>
  <si>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</si>
  <si>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</si>
  <si>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</si>
  <si>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</si>
  <si>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</si>
  <si>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</si>
  <si>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</si>
  <si>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</si>
  <si>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</si>
  <si>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</si>
  <si>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</si>
  <si>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</si>
  <si>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</si>
  <si>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</si>
  <si>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</si>
  <si>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</si>
  <si>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</si>
  <si>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</si>
  <si>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</si>
  <si>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</si>
  <si>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</si>
  <si>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</si>
  <si>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</si>
  <si>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</si>
  <si>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</si>
  <si>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</si>
  <si>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</si>
  <si>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</si>
  <si>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</si>
  <si>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</si>
  <si>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</si>
  <si>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</si>
  <si>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</si>
  <si>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</si>
  <si>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</si>
  <si>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</si>
  <si>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</si>
  <si>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</si>
  <si>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</si>
  <si>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</si>
  <si>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</si>
  <si>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</si>
  <si>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</si>
  <si>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</si>
  <si>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</si>
  <si>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</si>
  <si>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</si>
  <si>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</si>
  <si>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</si>
  <si>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</si>
  <si>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</si>
  <si>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</si>
  <si>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</si>
  <si>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</si>
  <si>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</si>
  <si>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</si>
  <si>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</si>
  <si>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</si>
  <si>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</si>
  <si>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</si>
  <si>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</si>
  <si>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</si>
  <si>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</si>
  <si>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</si>
  <si>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</si>
  <si>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</si>
  <si>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</si>
  <si>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</si>
  <si>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</si>
  <si>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</si>
  <si>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</si>
  <si>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</si>
  <si>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</si>
  <si>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</si>
  <si>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</si>
  <si>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</si>
  <si>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</si>
  <si>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</si>
  <si>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</si>
  <si>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</si>
  <si>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</si>
  <si>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</si>
  <si>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</si>
  <si>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</si>
  <si>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</si>
  <si>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</si>
  <si>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</si>
  <si>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</si>
  <si>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</si>
  <si>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</si>
  <si>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</si>
  <si>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</si>
  <si>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</si>
  <si>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</si>
  <si>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</si>
  <si>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</si>
  <si>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</si>
  <si>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</si>
  <si>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</si>
  <si>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</si>
  <si>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</si>
  <si>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</si>
  <si>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</si>
  <si>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</si>
  <si>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</si>
  <si>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</si>
  <si>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</si>
  <si>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</si>
  <si>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</si>
  <si>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</si>
  <si>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</si>
  <si>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</si>
  <si>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</si>
  <si>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</si>
  <si>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</si>
  <si>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</si>
  <si>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</si>
  <si>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</si>
  <si>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</si>
  <si>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</si>
  <si>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</si>
  <si>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</si>
  <si>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</si>
  <si>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</si>
  <si>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</si>
  <si>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</si>
  <si>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</si>
  <si>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</si>
  <si>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</si>
  <si>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</si>
  <si>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</si>
  <si>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</si>
  <si>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</si>
  <si>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</si>
  <si>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</si>
  <si>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</si>
  <si>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</si>
  <si>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</si>
  <si>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</si>
  <si>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</si>
  <si>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</si>
  <si>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</si>
  <si>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</si>
  <si>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</si>
  <si>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</si>
  <si>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</si>
  <si>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</si>
  <si>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</si>
  <si>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</si>
  <si>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</si>
  <si>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</si>
  <si>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</si>
  <si>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</si>
  <si>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</si>
  <si>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</si>
  <si>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</si>
  <si>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</si>
  <si>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</si>
  <si>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</si>
  <si>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</si>
  <si>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</si>
  <si>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</si>
  <si>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</si>
  <si>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</si>
  <si>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</si>
  <si>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</si>
  <si>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</si>
  <si>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</si>
  <si>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</si>
  <si>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</si>
  <si>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</si>
  <si>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</si>
  <si>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</si>
  <si>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</si>
  <si>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</si>
  <si>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</si>
  <si>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</si>
  <si>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</si>
  <si>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</si>
  <si>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</si>
  <si>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</si>
  <si>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</si>
  <si>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</si>
  <si>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</si>
  <si>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</si>
  <si>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</si>
  <si>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</si>
  <si>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</si>
  <si>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</si>
  <si>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</si>
  <si>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</si>
  <si>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</si>
  <si>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</si>
  <si>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</si>
  <si>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</si>
  <si>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</si>
  <si>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</si>
  <si>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</si>
  <si>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</si>
  <si>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</si>
  <si>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</si>
  <si>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</si>
  <si>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</si>
  <si>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</si>
  <si>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</si>
  <si>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</si>
  <si>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</si>
  <si>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</si>
  <si>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</si>
  <si>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</si>
  <si>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</si>
  <si>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</si>
  <si>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</si>
  <si>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</si>
  <si>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</si>
  <si>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</si>
  <si>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</si>
  <si>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</si>
  <si>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</si>
  <si>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</si>
  <si>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</si>
  <si>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</si>
  <si>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</si>
  <si>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</si>
  <si>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</si>
  <si>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</si>
  <si>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</si>
  <si>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</si>
  <si>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</si>
  <si>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</si>
  <si>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</si>
  <si>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</si>
  <si>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</si>
  <si>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</si>
  <si>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</si>
  <si>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</si>
  <si>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</si>
  <si>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</si>
  <si>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</si>
  <si>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</si>
  <si>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</si>
  <si>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</si>
  <si>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</si>
  <si>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</si>
  <si>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</si>
  <si>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</si>
  <si>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</si>
  <si>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</si>
  <si>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</si>
  <si>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</si>
  <si>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</si>
  <si>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</si>
  <si>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</si>
  <si>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</si>
  <si>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</si>
  <si>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</si>
  <si>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</si>
  <si>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</si>
  <si>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</si>
  <si>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</si>
  <si>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</si>
  <si>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</si>
  <si>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</si>
  <si>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</si>
  <si>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</si>
  <si>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</si>
  <si>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</si>
  <si>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</si>
  <si>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</si>
  <si>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</si>
  <si>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</si>
  <si>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</si>
  <si>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</si>
  <si>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</si>
  <si>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</si>
  <si>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</si>
  <si>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</si>
  <si>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</si>
  <si>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</si>
  <si>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</si>
  <si>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</si>
  <si>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</si>
  <si>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</si>
  <si>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</si>
  <si>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</si>
  <si>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</si>
  <si>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</si>
  <si>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</si>
  <si>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</si>
  <si>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</si>
  <si>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</si>
  <si>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</si>
  <si>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</si>
  <si>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</si>
  <si>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</si>
  <si>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</si>
  <si>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</si>
  <si>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</si>
  <si>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</si>
  <si>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</si>
  <si>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</si>
  <si>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</si>
  <si>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</si>
  <si>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</si>
  <si>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</si>
  <si>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</si>
  <si>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</si>
  <si>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</si>
  <si>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</si>
  <si>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</si>
  <si>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</si>
  <si>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</si>
  <si>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</si>
  <si>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</si>
  <si>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</si>
  <si>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</si>
  <si>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</si>
  <si>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</si>
  <si>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</si>
  <si>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</si>
  <si>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</si>
  <si>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</si>
  <si>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</si>
  <si>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</si>
  <si>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</si>
  <si>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</si>
  <si>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</si>
  <si>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</si>
  <si>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</si>
  <si>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</si>
  <si>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</si>
  <si>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</si>
  <si>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</si>
  <si>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</si>
  <si>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</si>
  <si>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</si>
  <si>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</si>
  <si>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</si>
  <si>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</si>
  <si>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</si>
  <si>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</si>
  <si>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</si>
  <si>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</si>
  <si>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</si>
  <si>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</si>
  <si>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</si>
  <si>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</si>
  <si>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</si>
  <si>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</si>
  <si>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</si>
  <si>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</si>
  <si>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</si>
  <si>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</si>
  <si>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</si>
  <si>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</si>
  <si>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</si>
  <si>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</si>
  <si>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</si>
  <si>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</si>
  <si>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</si>
  <si>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</si>
  <si>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</si>
  <si>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</si>
  <si>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</si>
  <si>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</si>
  <si>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</si>
  <si>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</si>
  <si>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</si>
  <si>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</si>
  <si>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</si>
  <si>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</si>
  <si>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</si>
  <si>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</si>
  <si>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</si>
  <si>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</si>
  <si>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</si>
  <si>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</si>
  <si>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</si>
  <si>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</si>
  <si>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</si>
  <si>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</si>
  <si>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</si>
  <si>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</si>
  <si>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</si>
  <si>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</si>
  <si>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</si>
  <si>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</si>
  <si>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</si>
  <si>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</si>
  <si>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</si>
  <si>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</si>
  <si>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</si>
  <si>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</si>
  <si>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</si>
  <si>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</si>
  <si>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</si>
  <si>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</si>
  <si>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</si>
  <si>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</si>
  <si>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</si>
  <si>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</si>
  <si>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</si>
  <si>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</si>
  <si>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</si>
  <si>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</si>
  <si>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</si>
  <si>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</si>
  <si>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</si>
  <si>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</si>
  <si>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</si>
  <si>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</si>
  <si>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</si>
  <si>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</si>
  <si>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</si>
  <si>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</si>
  <si>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</si>
  <si>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</si>
  <si>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</si>
  <si>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</si>
  <si>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</si>
  <si>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</si>
  <si>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</si>
  <si>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</si>
  <si>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</si>
  <si>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</si>
  <si>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</si>
  <si>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</si>
  <si>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</si>
  <si>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</si>
  <si>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</si>
  <si>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</si>
  <si>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</si>
  <si>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</si>
  <si>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</si>
  <si>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</si>
  <si>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</si>
  <si>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</si>
  <si>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</si>
  <si>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</si>
  <si>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</si>
  <si>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</si>
  <si>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</si>
  <si>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</si>
  <si>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</si>
  <si>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</si>
  <si>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</si>
  <si>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</si>
  <si>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</si>
  <si>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</si>
  <si>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</si>
  <si>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</si>
  <si>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</si>
  <si>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</si>
  <si>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</si>
  <si>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</si>
  <si>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</si>
  <si>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</si>
  <si>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</si>
  <si>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</si>
  <si>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</si>
  <si>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</si>
  <si>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</si>
  <si>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</si>
  <si>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</si>
  <si>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</si>
  <si>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</si>
  <si>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</si>
  <si>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</si>
  <si>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</si>
  <si>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</si>
  <si>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</si>
  <si>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</si>
  <si>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</si>
  <si>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</si>
  <si>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</si>
  <si>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</si>
  <si>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</si>
  <si>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</si>
  <si>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</si>
  <si>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</si>
  <si>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</si>
  <si>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</si>
  <si>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</si>
  <si>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</si>
  <si>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</si>
  <si>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</si>
  <si>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</si>
  <si>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</si>
  <si>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</si>
  <si>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</si>
  <si>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</si>
  <si>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</si>
  <si>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</si>
  <si>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</si>
  <si>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</si>
  <si>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</si>
  <si>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</si>
  <si>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</si>
  <si>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</si>
  <si>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</si>
  <si>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</si>
  <si>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</si>
  <si>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</si>
  <si>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</si>
  <si>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</si>
  <si>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</si>
  <si>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</si>
  <si>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</si>
  <si>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</si>
  <si>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</si>
  <si>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</si>
  <si>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</si>
  <si>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</si>
  <si>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</si>
  <si>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</si>
  <si>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</si>
  <si>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</si>
  <si>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</si>
  <si>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</si>
  <si>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</si>
  <si>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</si>
  <si>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</si>
  <si>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</si>
  <si>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</si>
  <si>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</si>
  <si>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</si>
  <si>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</si>
  <si>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</si>
  <si>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</si>
  <si>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</si>
  <si>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</si>
  <si>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</si>
  <si>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</si>
  <si>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</si>
  <si>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</si>
  <si>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</si>
  <si>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</si>
  <si>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</si>
  <si>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</si>
  <si>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</si>
  <si>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</si>
  <si>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</si>
  <si>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</si>
  <si>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</si>
  <si>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</si>
  <si>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</si>
  <si>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</si>
  <si>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</si>
  <si>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</si>
  <si>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</si>
  <si>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</si>
  <si>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</si>
  <si>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</si>
  <si>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</si>
  <si>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</si>
  <si>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</si>
  <si>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</si>
  <si>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</si>
  <si>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</si>
  <si>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</si>
  <si>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</si>
  <si>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</si>
  <si>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</si>
  <si>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</si>
  <si>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</si>
  <si>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</si>
  <si>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</si>
  <si>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</si>
  <si>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</si>
  <si>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</si>
  <si>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</si>
  <si>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</si>
  <si>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</si>
  <si>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</si>
  <si>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</si>
  <si>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</si>
  <si>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</si>
  <si>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</si>
  <si>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</si>
  <si>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</si>
  <si>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</si>
  <si>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</si>
  <si>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</si>
  <si>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</si>
  <si>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</si>
  <si>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</si>
  <si>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</si>
  <si>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</si>
  <si>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</si>
  <si>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</si>
  <si>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</si>
  <si>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</si>
  <si>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</si>
  <si>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</si>
  <si>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</si>
  <si>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</si>
  <si>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</si>
  <si>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</si>
  <si>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</si>
  <si>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</si>
  <si>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</si>
  <si>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</si>
  <si>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</si>
  <si>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</si>
  <si>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</si>
  <si>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</si>
  <si>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</si>
  <si>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</si>
  <si>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</si>
  <si>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</si>
  <si>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</si>
  <si>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</si>
  <si>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</si>
  <si>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</si>
  <si>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</si>
  <si>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</si>
  <si>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</si>
  <si>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</si>
  <si>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</si>
  <si>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</si>
  <si>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</si>
  <si>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</si>
  <si>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</si>
  <si>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</si>
  <si>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</si>
  <si>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</si>
  <si>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</si>
  <si>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</si>
  <si>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</si>
  <si>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</si>
  <si>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</si>
  <si>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</si>
  <si>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</si>
  <si>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</si>
  <si>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</si>
  <si>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</si>
  <si>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</si>
  <si>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</si>
  <si>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</si>
  <si>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</si>
  <si>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</si>
  <si>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</si>
  <si>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</si>
  <si>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</si>
  <si>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</si>
  <si>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</si>
  <si>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</si>
  <si>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</si>
  <si>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</si>
  <si>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</si>
  <si>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</si>
  <si>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</si>
  <si>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</si>
  <si>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</si>
  <si>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</si>
  <si>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</si>
  <si>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</si>
  <si>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</si>
  <si>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</si>
  <si>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</si>
  <si>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</si>
  <si>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</si>
  <si>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</si>
  <si>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</si>
  <si>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</si>
  <si>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</si>
  <si>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</si>
  <si>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</si>
  <si>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</si>
  <si>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</si>
  <si>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</si>
  <si>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</si>
  <si>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</si>
  <si>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</si>
  <si>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</si>
  <si>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</si>
  <si>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</si>
  <si>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</si>
  <si>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</si>
  <si>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</si>
  <si>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</si>
  <si>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</si>
  <si>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</si>
  <si>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</si>
  <si>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</si>
  <si>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</si>
  <si>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</si>
  <si>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</si>
  <si>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</si>
  <si>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</si>
  <si>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</si>
  <si>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</si>
  <si>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</si>
  <si>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</si>
  <si>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</si>
  <si>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</si>
  <si>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</si>
  <si>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</si>
  <si>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</si>
  <si>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</si>
  <si>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</si>
  <si>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</si>
  <si>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</si>
  <si>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</si>
  <si>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</si>
  <si>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</si>
  <si>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</si>
  <si>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</si>
  <si>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</si>
  <si>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</si>
  <si>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</si>
  <si>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</si>
  <si>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</si>
  <si>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</si>
  <si>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</si>
  <si>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</si>
  <si>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</si>
  <si>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</si>
  <si>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</si>
  <si>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</si>
  <si>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</si>
  <si>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</si>
  <si>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</si>
  <si>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</si>
  <si>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</si>
  <si>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</si>
  <si>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</si>
  <si>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</si>
  <si>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</si>
  <si>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</si>
  <si>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</si>
  <si>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</si>
  <si>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</si>
  <si>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</si>
  <si>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</si>
  <si>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</si>
  <si>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</si>
  <si>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</si>
  <si>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</si>
  <si>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</si>
  <si>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</si>
  <si>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</si>
  <si>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</si>
  <si>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</si>
  <si>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</si>
  <si>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</si>
  <si>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</si>
  <si>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</si>
  <si>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</si>
  <si>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</si>
  <si>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</si>
  <si>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</si>
  <si>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</si>
  <si>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</si>
  <si>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</si>
  <si>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</si>
  <si>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</si>
  <si>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</si>
  <si>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</si>
  <si>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</si>
  <si>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</si>
  <si>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</si>
  <si>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</si>
  <si>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</si>
  <si>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</si>
  <si>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</si>
  <si>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</si>
  <si>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</si>
  <si>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</si>
  <si>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</si>
  <si>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</si>
  <si>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</si>
  <si>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</si>
  <si>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</si>
  <si>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</si>
  <si>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</si>
  <si>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</si>
  <si>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</si>
  <si>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</si>
  <si>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</si>
  <si>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</si>
  <si>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</si>
  <si>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</si>
  <si>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</si>
  <si>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</si>
  <si>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</si>
  <si>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</si>
  <si>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</si>
  <si>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</si>
  <si>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</si>
  <si>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</si>
  <si>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</si>
  <si>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</si>
  <si>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</si>
  <si>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</si>
  <si>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</si>
  <si>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</si>
  <si>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</si>
  <si>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</si>
  <si>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</si>
  <si>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</si>
  <si>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</si>
  <si>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</si>
  <si>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</si>
  <si>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</si>
  <si>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</si>
  <si>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</si>
  <si>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</si>
  <si>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</si>
  <si>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</si>
  <si>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</si>
  <si>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</si>
  <si>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</si>
  <si>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</si>
  <si>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</si>
  <si>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</si>
  <si>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</si>
  <si>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</si>
  <si>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</si>
  <si>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</si>
  <si>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</si>
  <si>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</si>
  <si>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</si>
  <si>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</si>
  <si>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</si>
  <si>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</si>
  <si>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</si>
  <si>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</si>
  <si>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</si>
  <si>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</si>
  <si>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</si>
  <si>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</si>
  <si>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</si>
  <si>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</si>
  <si>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</si>
  <si>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</si>
  <si>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</si>
  <si>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</si>
  <si>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</si>
  <si>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</si>
  <si>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</si>
  <si>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</si>
  <si>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</si>
  <si>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</si>
  <si>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</si>
  <si>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</si>
  <si>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</si>
  <si>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</si>
  <si>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</si>
  <si>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</si>
  <si>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</si>
  <si>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</si>
  <si>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</si>
  <si>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</si>
  <si>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</si>
  <si>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</si>
  <si>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</si>
  <si>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</si>
  <si>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</si>
  <si>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</si>
  <si>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</si>
  <si>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</si>
  <si>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</si>
  <si>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</si>
  <si>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</si>
  <si>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</si>
  <si>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</si>
  <si>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</si>
  <si>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</si>
  <si>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</si>
  <si>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</si>
  <si>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</si>
  <si>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</si>
  <si>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</si>
  <si>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</si>
  <si>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</si>
  <si>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</si>
  <si>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</si>
  <si>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</si>
  <si>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</si>
  <si>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</si>
  <si>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</si>
  <si>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</si>
  <si>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</si>
  <si>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</si>
  <si>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</si>
  <si>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</si>
  <si>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</si>
  <si>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</si>
  <si>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</si>
  <si>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</si>
  <si>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</si>
  <si>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</si>
  <si>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</si>
  <si>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</si>
  <si>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</si>
  <si>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</si>
  <si>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</si>
  <si>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</si>
  <si>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</si>
  <si>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</si>
  <si>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</si>
  <si>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</si>
  <si>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</si>
  <si>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</si>
  <si>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</si>
  <si>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</si>
  <si>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</si>
  <si>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</si>
  <si>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</si>
  <si>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</si>
  <si>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</si>
  <si>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</si>
  <si>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</si>
  <si>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</si>
  <si>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</si>
  <si>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</si>
  <si>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</si>
  <si>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</si>
  <si>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</si>
  <si>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</si>
  <si>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</si>
  <si>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</si>
  <si>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</si>
  <si>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</si>
  <si>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</si>
  <si>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</si>
  <si>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</si>
  <si>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</si>
  <si>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</si>
  <si>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</si>
  <si>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</si>
  <si>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</si>
  <si>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</si>
  <si>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</si>
  <si>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</si>
  <si>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</si>
  <si>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</si>
  <si>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</si>
  <si>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</si>
  <si>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</si>
  <si>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</si>
  <si>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</si>
  <si>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</si>
  <si>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</si>
  <si>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</si>
  <si>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</si>
  <si>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</si>
  <si>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</si>
  <si>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</si>
  <si>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</si>
  <si>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</si>
  <si>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</si>
  <si>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</si>
  <si>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</si>
  <si>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</si>
  <si>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</si>
  <si>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</si>
  <si>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</si>
  <si>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</si>
  <si>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</si>
  <si>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</si>
  <si>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</si>
  <si>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</si>
  <si>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</si>
  <si>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</si>
  <si>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</si>
  <si>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</si>
  <si>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</si>
  <si>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</si>
  <si>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</si>
  <si>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</si>
  <si>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</si>
  <si>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</si>
  <si>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</si>
  <si>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</si>
  <si>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</si>
  <si>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</si>
  <si>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</si>
  <si>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</si>
  <si>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</si>
  <si>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</si>
  <si>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</si>
  <si>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</si>
  <si>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</si>
  <si>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</si>
  <si>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</si>
  <si>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</si>
  <si>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</si>
  <si>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</si>
  <si>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</si>
  <si>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</si>
  <si>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</si>
  <si>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</si>
  <si>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</si>
  <si>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</si>
  <si>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</si>
  <si>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</si>
  <si>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</si>
  <si>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</si>
  <si>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</si>
  <si>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</si>
  <si>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</si>
  <si>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</si>
  <si>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</si>
  <si>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</si>
  <si>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</si>
  <si>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</si>
  <si>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</si>
  <si>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</si>
  <si>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</si>
  <si>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</si>
  <si>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</si>
  <si>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</si>
  <si>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</si>
  <si>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</si>
  <si>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</si>
  <si>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</si>
  <si>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</si>
  <si>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</si>
  <si>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</si>
  <si>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</si>
  <si>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</si>
  <si>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</si>
  <si>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</si>
  <si>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</si>
  <si>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</si>
  <si>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</si>
  <si>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</si>
  <si>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</si>
  <si>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</si>
  <si>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</si>
  <si>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</si>
  <si>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</si>
  <si>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</si>
  <si>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</si>
  <si>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</si>
  <si>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</si>
  <si>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</si>
  <si>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</si>
  <si>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</si>
  <si>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</si>
  <si>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</si>
  <si>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</si>
  <si>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</si>
  <si>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</si>
  <si>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</si>
  <si>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</si>
  <si>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</si>
  <si>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</si>
  <si>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</si>
  <si>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</si>
  <si>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</si>
  <si>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</si>
  <si>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</si>
  <si>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</si>
  <si>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</si>
  <si>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</si>
  <si>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</si>
  <si>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</si>
  <si>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</si>
  <si>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</si>
  <si>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</si>
  <si>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</si>
  <si>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</si>
  <si>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</si>
  <si>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</si>
  <si>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</si>
  <si>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</si>
  <si>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</si>
  <si>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</si>
  <si>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</si>
  <si>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</si>
  <si>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</si>
  <si>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</si>
  <si>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</si>
  <si>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</si>
  <si>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</si>
  <si>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</si>
  <si>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</si>
  <si>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</si>
  <si>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</si>
  <si>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</si>
  <si>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</si>
  <si>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</si>
  <si>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</si>
  <si>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</si>
  <si>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</si>
  <si>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</si>
  <si>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</si>
  <si>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</si>
  <si>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</si>
  <si>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</si>
  <si>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</si>
  <si>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</si>
  <si>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</si>
  <si>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</si>
  <si>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</si>
  <si>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</si>
  <si>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</si>
  <si>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</si>
  <si>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</si>
  <si>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</si>
  <si>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</si>
  <si>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</si>
  <si>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</si>
  <si>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</si>
  <si>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</si>
  <si>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</si>
  <si>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</si>
  <si>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</si>
  <si>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</si>
  <si>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</si>
  <si>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</si>
  <si>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</si>
  <si>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</si>
  <si>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</si>
  <si>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</si>
  <si>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</si>
  <si>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</si>
  <si>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</si>
  <si>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</si>
  <si>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</si>
  <si>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</si>
  <si>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</si>
  <si>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</si>
  <si>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</si>
  <si>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</si>
  <si>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</si>
  <si>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</si>
  <si>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</si>
  <si>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</si>
  <si>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</si>
  <si>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</si>
  <si>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</si>
  <si>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</si>
  <si>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</si>
  <si>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</si>
  <si>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</si>
  <si>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</si>
  <si>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</si>
  <si>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</si>
  <si>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</si>
  <si>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</si>
  <si>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</si>
  <si>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</si>
  <si>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</si>
  <si>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</si>
  <si>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</si>
  <si>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</si>
  <si>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</si>
  <si>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</si>
  <si>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</si>
  <si>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</si>
  <si>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</si>
  <si>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</si>
  <si>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</si>
  <si>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</si>
  <si>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</si>
  <si>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</si>
  <si>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</si>
  <si>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</si>
  <si>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</si>
  <si>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</si>
  <si>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</si>
  <si>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</si>
  <si>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</si>
  <si>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</si>
  <si>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</si>
  <si>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</si>
  <si>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</si>
  <si>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</si>
  <si>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</si>
  <si>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</si>
  <si>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</si>
  <si>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</si>
  <si>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</si>
  <si>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</si>
  <si>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</si>
  <si>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</si>
  <si>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</si>
  <si>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</si>
  <si>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</si>
  <si>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</si>
  <si>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</si>
  <si>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</si>
  <si>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</si>
  <si>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</si>
  <si>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</si>
  <si>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</si>
  <si>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</si>
  <si>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</si>
  <si>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</si>
  <si>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</si>
  <si>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</si>
  <si>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</si>
  <si>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</si>
  <si>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</si>
  <si>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</si>
  <si>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</si>
  <si>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</si>
  <si>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</si>
  <si>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</si>
  <si>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</si>
  <si>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</si>
  <si>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</si>
  <si>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</si>
  <si>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</si>
  <si>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</si>
  <si>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</si>
  <si>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</si>
  <si>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</si>
  <si>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</si>
  <si>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</si>
  <si>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</si>
  <si>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</si>
  <si>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</si>
  <si>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</si>
  <si>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</si>
  <si>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</si>
  <si>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</si>
  <si>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</si>
  <si>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</si>
  <si>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</si>
  <si>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</si>
  <si>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</si>
  <si>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</si>
  <si>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</si>
  <si>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</si>
  <si>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</si>
  <si>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</si>
  <si>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</si>
  <si>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</si>
  <si>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</si>
  <si>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</si>
  <si>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</si>
  <si>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</si>
  <si>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</si>
  <si>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</si>
  <si>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</si>
  <si>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</si>
  <si>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</si>
  <si>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</si>
  <si>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</si>
  <si>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</si>
  <si>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</si>
  <si>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</si>
  <si>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</si>
  <si>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</si>
  <si>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</si>
  <si>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</si>
  <si>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</si>
  <si>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</si>
  <si>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</si>
  <si>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</si>
  <si>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</si>
  <si>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</si>
  <si>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</si>
  <si>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</si>
  <si>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</si>
  <si>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</si>
  <si>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</si>
  <si>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</si>
  <si>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</si>
  <si>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</si>
  <si>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</si>
  <si>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</si>
  <si>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</si>
  <si>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</si>
  <si>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</si>
  <si>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</si>
  <si>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</si>
  <si>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</si>
  <si>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</si>
  <si>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</si>
  <si>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</si>
  <si>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</si>
  <si>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</si>
  <si>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</si>
  <si>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</si>
  <si>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</si>
  <si>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</si>
  <si>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</si>
  <si>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</si>
  <si>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</si>
  <si>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</si>
  <si>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</si>
  <si>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</si>
  <si>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</si>
  <si>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</si>
  <si>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</si>
  <si>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</si>
  <si>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</si>
  <si>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</si>
  <si>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</si>
  <si>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</si>
  <si>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</si>
  <si>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</si>
  <si>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</si>
  <si>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</si>
  <si>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</si>
  <si>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</si>
  <si>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</si>
  <si>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</si>
  <si>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</si>
  <si>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</si>
  <si>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</si>
  <si>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</si>
  <si>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</si>
  <si>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</si>
  <si>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</si>
  <si>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</si>
  <si>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</si>
  <si>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</si>
  <si>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</si>
  <si>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</si>
  <si>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</si>
  <si>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</si>
  <si>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</si>
  <si>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</si>
  <si>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</si>
  <si>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</si>
  <si>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</si>
  <si>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</si>
  <si>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</si>
  <si>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</si>
  <si>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</si>
  <si>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</si>
  <si>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</si>
  <si>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</si>
  <si>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</si>
  <si>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</si>
  <si>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</si>
  <si>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</si>
  <si>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</si>
  <si>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</si>
  <si>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</si>
  <si>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</si>
  <si>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</si>
  <si>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</si>
  <si>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</si>
  <si>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</si>
  <si>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</si>
  <si>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</si>
  <si>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</si>
  <si>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</si>
  <si>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</si>
  <si>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</si>
  <si>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</si>
  <si>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</si>
  <si>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</si>
  <si>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</si>
  <si>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</si>
  <si>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</si>
  <si>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</si>
  <si>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</si>
  <si>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</si>
  <si>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</si>
  <si>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</si>
  <si>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</si>
  <si>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</si>
  <si>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</si>
  <si>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</si>
  <si>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</si>
  <si>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</si>
  <si>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</si>
  <si>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</si>
  <si>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</si>
  <si>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</si>
  <si>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</si>
  <si>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</si>
  <si>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</si>
  <si>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</si>
  <si>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</si>
  <si>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</si>
  <si>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</si>
  <si>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</si>
  <si>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</si>
  <si>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</si>
  <si>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</si>
  <si>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</si>
  <si>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</si>
  <si>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</si>
  <si>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</si>
  <si>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</si>
  <si>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</si>
  <si>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</si>
  <si>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</si>
  <si>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</si>
  <si>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</si>
  <si>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</si>
  <si>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</si>
  <si>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</si>
  <si>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</si>
  <si>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</si>
  <si>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</si>
  <si>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</si>
  <si>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</si>
  <si>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</si>
  <si>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</si>
  <si>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</si>
  <si>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</si>
  <si>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</si>
  <si>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</si>
  <si>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</si>
  <si>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</si>
  <si>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</si>
  <si>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</si>
  <si>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</si>
  <si>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</si>
  <si>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</si>
  <si>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</si>
  <si>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</si>
  <si>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</si>
  <si>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</si>
  <si>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</si>
  <si>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</si>
  <si>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</si>
  <si>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</si>
  <si>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</si>
  <si>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</si>
  <si>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</si>
  <si>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</si>
  <si>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</si>
  <si>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</si>
  <si>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</si>
  <si>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</si>
  <si>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</si>
  <si>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</si>
  <si>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</si>
  <si>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</si>
  <si>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</si>
  <si>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</si>
  <si>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</si>
  <si>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</si>
  <si>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</si>
  <si>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</si>
  <si>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</si>
  <si>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</si>
  <si>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</si>
  <si>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</si>
  <si>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</si>
  <si>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</si>
  <si>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</si>
  <si>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</si>
  <si>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</si>
  <si>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</si>
  <si>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</si>
  <si>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</si>
  <si>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</si>
  <si>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</si>
  <si>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</si>
  <si>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</si>
  <si>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</si>
  <si>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</si>
  <si>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</si>
  <si>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</si>
  <si>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</si>
  <si>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</si>
  <si>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</si>
  <si>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</si>
  <si>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</si>
  <si>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</si>
  <si>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</si>
  <si>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</si>
  <si>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</si>
  <si>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</si>
  <si>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</si>
  <si>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</si>
  <si>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</si>
  <si>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</si>
  <si>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</si>
  <si>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</si>
  <si>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</si>
  <si>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</si>
  <si>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</si>
  <si>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</si>
  <si>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</si>
  <si>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</si>
  <si>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</si>
  <si>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</si>
  <si>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</si>
  <si>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</si>
  <si>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</si>
  <si>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</si>
  <si>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</si>
  <si>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</si>
  <si>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</si>
  <si>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</si>
  <si>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</si>
  <si>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</si>
  <si>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</si>
  <si>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</si>
  <si>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</si>
  <si>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</si>
  <si>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</si>
  <si>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</si>
  <si>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</si>
  <si>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</si>
  <si>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</si>
  <si>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</si>
  <si>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</si>
  <si>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</si>
  <si>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</si>
  <si>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</si>
  <si>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</si>
  <si>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</si>
  <si>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</si>
  <si>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</si>
  <si>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</si>
  <si>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</si>
  <si>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</si>
  <si>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</si>
  <si>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</si>
  <si>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</si>
  <si>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</si>
  <si>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</si>
  <si>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</si>
  <si>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</si>
  <si>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</si>
  <si>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</si>
  <si>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</si>
  <si>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</si>
  <si>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</si>
  <si>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</si>
  <si>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</si>
  <si>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</si>
  <si>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</si>
  <si>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</si>
  <si>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</si>
  <si>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</si>
  <si>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</si>
  <si>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</si>
  <si>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</si>
  <si>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</si>
  <si>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</si>
  <si>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</si>
  <si>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</si>
  <si>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</si>
  <si>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</si>
  <si>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</si>
  <si>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</si>
  <si>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</si>
  <si>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</si>
  <si>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</si>
  <si>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</si>
  <si>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</si>
  <si>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</si>
  <si>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</si>
  <si>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</si>
  <si>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</si>
  <si>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</si>
  <si>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</si>
  <si>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</si>
  <si>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</si>
  <si>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</si>
  <si>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</si>
  <si>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</si>
  <si>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</si>
  <si>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</si>
  <si>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</si>
  <si>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</si>
  <si>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</si>
  <si>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</si>
  <si>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</si>
  <si>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</si>
  <si>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</si>
  <si>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</si>
  <si>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</si>
  <si>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</si>
  <si>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</si>
  <si>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</si>
  <si>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</si>
  <si>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</si>
  <si>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</si>
  <si>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</si>
  <si>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</si>
  <si>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</si>
  <si>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</si>
  <si>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</si>
  <si>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</si>
  <si>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</si>
  <si>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</si>
  <si>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</si>
  <si>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</si>
  <si>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</si>
  <si>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</si>
  <si>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</si>
  <si>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</si>
  <si>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</si>
  <si>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</si>
  <si>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</si>
  <si>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</si>
  <si>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</si>
  <si>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</si>
  <si>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</si>
  <si>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</si>
  <si>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</si>
  <si>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</si>
  <si>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</si>
  <si>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</si>
  <si>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</si>
  <si>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</si>
  <si>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</si>
  <si>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</si>
  <si>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</si>
  <si>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</si>
  <si>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</si>
  <si>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</si>
  <si>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</si>
  <si>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</si>
  <si>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</si>
  <si>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</si>
  <si>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</si>
  <si>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</si>
  <si>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</si>
  <si>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</si>
  <si>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</si>
  <si>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</si>
  <si>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</si>
  <si>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</si>
  <si>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</si>
  <si>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</si>
  <si>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</si>
  <si>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</si>
  <si>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</si>
  <si>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</si>
  <si>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</si>
  <si>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</si>
  <si>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</si>
  <si>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</si>
  <si>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</si>
  <si>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</si>
  <si>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</si>
  <si>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</si>
  <si>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</si>
  <si>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</si>
  <si>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</si>
  <si>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</si>
  <si>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</si>
  <si>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</si>
  <si>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</si>
  <si>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</si>
  <si>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</si>
  <si>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</si>
  <si>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</si>
  <si>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</si>
  <si>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</si>
  <si>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</si>
  <si>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</si>
  <si>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</si>
  <si>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</si>
  <si>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</si>
  <si>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</si>
  <si>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</si>
  <si>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</si>
  <si>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</si>
  <si>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</si>
  <si>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</si>
  <si>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</si>
  <si>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</si>
  <si>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</si>
  <si>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</si>
  <si>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</si>
  <si>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</si>
  <si>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</si>
  <si>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</si>
  <si>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</si>
  <si>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</si>
  <si>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</si>
  <si>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</si>
  <si>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</si>
  <si>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</si>
  <si>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</si>
  <si>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</si>
  <si>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</si>
  <si>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</si>
  <si>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</si>
  <si>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</si>
  <si>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</si>
  <si>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</si>
  <si>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</si>
  <si>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</si>
  <si>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</si>
  <si>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</si>
  <si>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</si>
  <si>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</si>
  <si>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</si>
  <si>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</si>
  <si>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</si>
  <si>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</si>
  <si>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</si>
  <si>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</si>
  <si>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</si>
  <si>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</si>
  <si>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</si>
  <si>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</si>
  <si>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</si>
  <si>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</si>
  <si>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</si>
  <si>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</si>
  <si>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</si>
  <si>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</si>
  <si>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</si>
  <si>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</si>
  <si>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</si>
  <si>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</si>
  <si>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</si>
  <si>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</si>
  <si>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</si>
  <si>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</si>
  <si>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</si>
  <si>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</si>
  <si>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</si>
  <si>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</si>
  <si>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</si>
  <si>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</si>
  <si>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</si>
  <si>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</si>
  <si>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</si>
  <si>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</si>
  <si>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</si>
  <si>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</si>
  <si>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</si>
  <si>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</si>
  <si>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</si>
  <si>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</si>
  <si>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</si>
  <si>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</si>
  <si>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</si>
  <si>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</si>
  <si>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</si>
  <si>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</si>
  <si>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</si>
  <si>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</si>
  <si>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</si>
  <si>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</si>
  <si>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</si>
  <si>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</si>
  <si>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</si>
  <si>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</si>
  <si>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</si>
  <si>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</si>
  <si>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</si>
  <si>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</si>
  <si>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</si>
  <si>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</si>
  <si>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</si>
  <si>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</si>
  <si>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</si>
  <si>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</si>
  <si>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</si>
  <si>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</si>
  <si>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</si>
  <si>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</si>
  <si>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</si>
  <si>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</si>
  <si>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</si>
  <si>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</si>
  <si>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</si>
  <si>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</si>
  <si>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</si>
  <si>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</si>
  <si>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</si>
  <si>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</si>
  <si>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</si>
  <si>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</si>
  <si>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</si>
  <si>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</si>
  <si>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</si>
  <si>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</si>
  <si>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</si>
  <si>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</si>
  <si>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</si>
  <si>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</si>
  <si>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</si>
  <si>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</si>
  <si>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</si>
  <si>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</si>
  <si>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</si>
  <si>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</si>
  <si>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</si>
  <si>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</si>
  <si>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</si>
  <si>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</si>
  <si>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</si>
  <si>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</si>
  <si>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</si>
  <si>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</si>
  <si>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</si>
  <si>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</si>
  <si>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</si>
  <si>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</si>
  <si>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</si>
  <si>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</si>
  <si>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</si>
  <si>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</si>
  <si>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</si>
  <si>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</si>
  <si>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</si>
  <si>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</si>
  <si>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</si>
  <si>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</si>
  <si>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</si>
  <si>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</si>
  <si>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</si>
  <si>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</si>
  <si>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</si>
  <si>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</si>
  <si>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</si>
  <si>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</si>
  <si>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</si>
  <si>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</si>
  <si>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</si>
  <si>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</si>
  <si>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</si>
  <si>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</si>
  <si>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</si>
  <si>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</si>
  <si>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</si>
  <si>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</si>
  <si>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</si>
  <si>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</si>
  <si>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</si>
  <si>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</si>
  <si>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</si>
  <si>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</si>
  <si>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</si>
  <si>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</si>
  <si>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</si>
  <si>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</si>
  <si>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</si>
  <si>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</si>
  <si>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</si>
  <si>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</si>
  <si>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</si>
  <si>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</si>
  <si>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</si>
  <si>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</si>
  <si>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</si>
  <si>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</si>
  <si>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</si>
  <si>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</si>
  <si>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</si>
  <si>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</si>
  <si>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</si>
  <si>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</si>
  <si>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</si>
  <si>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</si>
  <si>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</si>
  <si>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</si>
  <si>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</si>
  <si>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</si>
  <si>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</si>
  <si>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</si>
  <si>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</si>
  <si>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</si>
  <si>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</si>
  <si>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</si>
  <si>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</si>
  <si>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</si>
  <si>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</si>
  <si>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</si>
  <si>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</si>
  <si>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</si>
  <si>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</si>
  <si>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</si>
  <si>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</si>
  <si>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</si>
  <si>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</si>
  <si>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</si>
  <si>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</si>
  <si>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</si>
  <si>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</si>
  <si>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</si>
  <si>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</si>
  <si>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</si>
  <si>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</si>
  <si>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</si>
  <si>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</si>
  <si>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</si>
  <si>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</si>
  <si>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</si>
  <si>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</si>
  <si>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</si>
  <si>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</si>
  <si>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</si>
  <si>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</si>
  <si>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</si>
  <si>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</si>
  <si>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</si>
  <si>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</si>
  <si>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</si>
  <si>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</si>
  <si>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</si>
  <si>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</si>
  <si>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</si>
  <si>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</si>
  <si>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</si>
  <si>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</si>
  <si>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</si>
  <si>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</si>
  <si>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</si>
  <si>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</si>
  <si>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</si>
  <si>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</si>
  <si>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</si>
  <si>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</si>
  <si>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</si>
  <si>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</si>
  <si>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</si>
  <si>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</si>
  <si>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</si>
  <si>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</si>
  <si>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</si>
  <si>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</si>
  <si>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</si>
  <si>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</si>
  <si>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</si>
  <si>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</si>
  <si>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</si>
  <si>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</si>
  <si>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</si>
  <si>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</si>
  <si>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</si>
  <si>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</si>
  <si>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</si>
  <si>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</si>
  <si>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</si>
  <si>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</si>
  <si>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</si>
  <si>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</si>
  <si>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</si>
  <si>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</si>
  <si>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</si>
  <si>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</si>
  <si>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</si>
  <si>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</si>
  <si>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</si>
  <si>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</si>
  <si>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</si>
  <si>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</si>
  <si>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</si>
  <si>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</si>
  <si>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</si>
  <si>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</si>
  <si>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</si>
  <si>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</si>
  <si>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</si>
  <si>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</si>
  <si>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</si>
  <si>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</si>
  <si>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</si>
  <si>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</si>
  <si>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</si>
  <si>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</si>
  <si>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</si>
  <si>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</si>
  <si>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</si>
  <si>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</si>
  <si>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</si>
  <si>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</si>
  <si>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</si>
  <si>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</si>
  <si>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</si>
  <si>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</si>
  <si>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</si>
  <si>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</si>
  <si>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Livingston</t>
  </si>
  <si>
    <t>Livingston Area Career Center</t>
  </si>
  <si>
    <t>1100 Indiana Avenue</t>
  </si>
  <si>
    <t>Pontiac</t>
  </si>
  <si>
    <t>tgraves@pontiac90.org</t>
  </si>
  <si>
    <t>x</t>
  </si>
  <si>
    <t>Phillips &amp; Associates, CPAs, P.C.</t>
  </si>
  <si>
    <t>Richard W. Phillips</t>
  </si>
  <si>
    <t>1600 Hunt Drive, Suite B</t>
  </si>
  <si>
    <t>Normal</t>
  </si>
  <si>
    <t>IL</t>
  </si>
  <si>
    <t>rwp6505@aol.com</t>
  </si>
  <si>
    <t>066-004933</t>
  </si>
  <si>
    <t>Tera Graves</t>
  </si>
  <si>
    <t xml:space="preserve">INSTRUCTIONS:  If your review and testing of State, Local, and Federal Programs revealed any of the following statements to be true, then check the box on the left and </t>
  </si>
  <si>
    <t>statements pursuant to the Illinois Government Ethics Act. [5 ILCS 420/4A-101]</t>
  </si>
  <si>
    <t>One or more custodians of funds failed to comply with the bonding requirements pursuant to Illinois School Code [105 ILCS 5/8-2;10-20.19;19-6].</t>
  </si>
  <si>
    <t>One or more contracts were executed or purchases made contrary to the provisions of the Illinois School Code [105 ILCS 5/10-20.21].</t>
  </si>
  <si>
    <t xml:space="preserve">One or more violations of the Public Funds Deposit Act or the Public Funds Investment Act were noted [30 ILCS 225/1 et. seq. and 30 ILCS 235/1 et. seq.]. </t>
  </si>
  <si>
    <t xml:space="preserve">Corporate Personal Property Replacement Tax monies were deposited and/or used without first satisfying the lien imposed pursuant to the Illinois State Revenue </t>
  </si>
  <si>
    <t xml:space="preserve">One or more interfund loans were made in non-conformity with the applicable authorizing statute or without statutory authorization per Illinois School Code [105 ILCS </t>
  </si>
  <si>
    <t>One or more interfund loans were outstanding beyond the term provided by statute Illinois School Code [105 ILCS 5/10-22.33, 20-4, 20-5].</t>
  </si>
  <si>
    <t xml:space="preserve">One or more permanent transfers were made in non-conformity with the applicable authorizing statute/regulation or without statutory/regulatory authorization per Illinois </t>
  </si>
  <si>
    <t>ISBE rules pursuant to Illinois School Code [105 ILCS 5/2-3.27; 2-3.28].</t>
  </si>
  <si>
    <t xml:space="preserve">    Budget (ISBE FORM 50-36).  Explain in the comments box below in persuant to Illinois School Code [105 ILCS 5/3-15.1; 5/10-17; 5/17-1].</t>
  </si>
  <si>
    <t>PART B - FINANCIAL DIFFICULTIES/CERTIFICATION Criteria pursuant to the Illinois School Code [105 ILCS 5/1A-8].</t>
  </si>
  <si>
    <t xml:space="preserve">anticipation of current year taxes are still outstanding, as authorized by Illinois School Code [105 ILCS 5/17-16 or 34-23 through 34-27].  </t>
  </si>
  <si>
    <t>The district has issued school or teacher orders for wages as permitted in Illinois School Code [105 ILCS 5/8-16, 32-7.2 and 34-76] or issued funding</t>
  </si>
  <si>
    <t>bonds for this purpose pursuant to Illinois School Code [105 ILCS 5/8-6; 32-7.2; 34-76; and 19-8].</t>
  </si>
  <si>
    <t>PHILLIPS &amp; ASSOCIATES CPAS PC</t>
  </si>
  <si>
    <t>X</t>
  </si>
  <si>
    <t>Pontiac Township High School DistricT #90</t>
  </si>
  <si>
    <t>Pontiac Township High School District #90</t>
  </si>
  <si>
    <t>Pontiac Township high School District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</si>
</sst>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2" fillId="10" borderId="101" xfId="0" applyFont="1" applyFill="1" applyBorder="1" applyAlignment="1">
      <alignment horizontal="center" vertical="center"/>
    </xf>
    <xf numFmtId="0" fontId="72"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3"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4"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3"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4"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3"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1"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5"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6"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8" fillId="0" borderId="0" xfId="0" applyFont="1" applyBorder="1" applyAlignment="1" applyProtection="1">
      <alignment horizontal="left" vertical="center"/>
    </xf>
    <xf numFmtId="0" fontId="51" fillId="0" borderId="0" xfId="0" applyFont="1" applyBorder="1" applyAlignment="1" applyProtection="1">
      <alignment vertical="center"/>
    </xf>
    <xf numFmtId="0" fontId="79"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7"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5"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6"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4"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2"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7"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7"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7"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7"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0"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2"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3"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5"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4"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7"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09"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1" fillId="0" borderId="2" xfId="0" applyFont="1" applyBorder="1" applyAlignment="1">
      <alignment vertical="top" wrapText="1"/>
    </xf>
    <xf numFmtId="0" fontId="52"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9"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9"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2" fillId="0" borderId="0" xfId="0" applyFont="1" applyAlignment="1">
      <alignment horizontal="left" vertical="top"/>
    </xf>
    <xf numFmtId="0" fontId="52" fillId="0" borderId="21" xfId="0" applyFont="1" applyBorder="1" applyAlignment="1"/>
    <xf numFmtId="164" fontId="109"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09"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1"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1" fillId="0" borderId="129" xfId="0" applyNumberFormat="1" applyFont="1" applyBorder="1" applyAlignment="1">
      <alignment horizontal="left" vertical="center"/>
    </xf>
    <xf numFmtId="0" fontId="109" fillId="0" borderId="129" xfId="0" applyFont="1" applyBorder="1" applyAlignment="1">
      <alignment vertical="top"/>
    </xf>
    <xf numFmtId="0" fontId="109" fillId="0" borderId="129" xfId="0" applyFont="1" applyBorder="1" applyAlignment="1">
      <alignment horizontal="left" vertical="top"/>
    </xf>
    <xf numFmtId="0" fontId="52" fillId="0" borderId="126" xfId="0" applyFont="1" applyBorder="1" applyAlignment="1"/>
    <xf numFmtId="164" fontId="109"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79"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2"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3"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5" fillId="0" borderId="22" xfId="3" applyFont="1" applyBorder="1" applyAlignment="1" applyProtection="1">
      <alignment horizontal="center"/>
      <protection locked="0"/>
    </xf>
    <xf numFmtId="0" fontId="94"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4"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1"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5" fillId="0" borderId="0" xfId="3" applyFont="1" applyAlignment="1" applyProtection="1">
      <alignment vertical="top"/>
    </xf>
    <xf numFmtId="0" fontId="59" fillId="0" borderId="0" xfId="3" applyFont="1" applyProtection="1"/>
    <xf numFmtId="0" fontId="115"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9"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5"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0" fontId="4" fillId="0" borderId="0" xfId="17"/>
    <xf numFmtId="0" fontId="95" fillId="0" borderId="141" xfId="17" applyFont="1" applyBorder="1" applyAlignment="1">
      <alignment horizontal="left" vertical="top"/>
    </xf>
    <xf numFmtId="0" fontId="122" fillId="0" borderId="142" xfId="17" applyFont="1" applyBorder="1" applyAlignment="1">
      <alignment horizontal="center" vertical="top"/>
    </xf>
    <xf numFmtId="0" fontId="122" fillId="0" borderId="143"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1" fillId="24" borderId="157" xfId="17" applyFont="1" applyFill="1" applyBorder="1" applyAlignment="1">
      <alignment horizontal="center" vertical="center" wrapText="1"/>
    </xf>
    <xf numFmtId="38" fontId="121"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3" fillId="21" borderId="158" xfId="17" applyFont="1" applyFill="1" applyBorder="1" applyAlignment="1" applyProtection="1">
      <alignment horizontal="left" vertical="top" wrapText="1"/>
    </xf>
    <xf numFmtId="49" fontId="123" fillId="21" borderId="158" xfId="17" applyNumberFormat="1" applyFont="1" applyFill="1" applyBorder="1" applyAlignment="1" applyProtection="1">
      <alignment horizontal="center" vertical="top"/>
    </xf>
    <xf numFmtId="0" fontId="123" fillId="21" borderId="158" xfId="17" applyFont="1" applyFill="1" applyBorder="1" applyAlignment="1" applyProtection="1">
      <alignment vertical="top"/>
    </xf>
    <xf numFmtId="38" fontId="123" fillId="21" borderId="158" xfId="17" applyNumberFormat="1" applyFont="1" applyFill="1" applyBorder="1" applyAlignment="1" applyProtection="1">
      <alignment horizontal="right" vertical="top"/>
    </xf>
    <xf numFmtId="38" fontId="123"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6" fillId="0" borderId="0" xfId="18" applyFont="1"/>
    <xf numFmtId="0" fontId="97" fillId="24" borderId="0" xfId="18" applyFont="1" applyFill="1" applyAlignment="1">
      <alignment horizontal="centerContinuous" vertical="center"/>
    </xf>
    <xf numFmtId="0" fontId="96" fillId="24" borderId="0" xfId="18" applyFont="1" applyFill="1" applyAlignment="1">
      <alignment horizontal="centerContinuous"/>
    </xf>
    <xf numFmtId="0" fontId="84" fillId="0" borderId="138"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1" fillId="0" borderId="0" xfId="18" applyFont="1" applyAlignment="1">
      <alignment wrapText="1"/>
    </xf>
    <xf numFmtId="0" fontId="128" fillId="0" borderId="163"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5"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60" xfId="18" applyFont="1" applyBorder="1" applyAlignment="1">
      <alignment horizontal="left" vertical="center" wrapText="1"/>
    </xf>
    <xf numFmtId="0" fontId="100" fillId="0" borderId="161" xfId="18" applyFont="1" applyBorder="1" applyAlignment="1">
      <alignment horizontal="left" vertical="center" wrapText="1"/>
    </xf>
    <xf numFmtId="49" fontId="100" fillId="18"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3" xfId="18" applyFont="1" applyFill="1" applyBorder="1" applyAlignment="1">
      <alignment horizontal="left" vertical="center" wrapText="1"/>
    </xf>
    <xf numFmtId="0" fontId="96"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29"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6" fillId="24" borderId="0" xfId="18" applyFont="1" applyFill="1" applyAlignment="1">
      <alignment horizontal="centerContinuous" vertical="center"/>
    </xf>
    <xf numFmtId="0" fontId="100" fillId="24" borderId="139" xfId="18" applyFont="1" applyFill="1" applyBorder="1" applyAlignment="1">
      <alignment horizontal="center" vertical="center" wrapText="1"/>
    </xf>
    <xf numFmtId="0" fontId="100" fillId="24" borderId="164" xfId="18" applyFont="1" applyFill="1" applyBorder="1" applyAlignment="1">
      <alignment horizontal="center" vertical="center" wrapText="1"/>
    </xf>
    <xf numFmtId="0" fontId="100" fillId="18" borderId="140" xfId="18" applyFont="1" applyFill="1" applyBorder="1" applyAlignment="1">
      <alignment horizontal="center" vertical="center" wrapText="1"/>
    </xf>
    <xf numFmtId="49" fontId="100"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8"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3" fillId="0" borderId="0" xfId="2" applyFont="1" applyAlignment="1" applyProtection="1">
      <alignment horizontal="right" vertical="center"/>
    </xf>
    <xf numFmtId="0" fontId="30" fillId="0" borderId="0" xfId="2" applyAlignment="1" applyProtection="1">
      <alignment vertical="center"/>
    </xf>
    <xf numFmtId="0" fontId="63" fillId="0" borderId="0" xfId="0" applyFont="1" applyBorder="1" applyAlignment="1" applyProtection="1">
      <alignment horizontal="left" vertical="center"/>
    </xf>
    <xf numFmtId="0" fontId="71" fillId="0" borderId="0" xfId="0" applyFont="1" applyAlignment="1">
      <alignment horizontal="left" vertical="center"/>
    </xf>
    <xf numFmtId="0" fontId="54" fillId="0" borderId="0" xfId="0" applyFont="1" applyAlignment="1">
      <alignment horizontal="left" vertical="center"/>
    </xf>
    <xf numFmtId="0" fontId="59" fillId="0" borderId="0" xfId="0" applyFont="1" applyAlignment="1">
      <alignment horizontal="left" vertical="center"/>
    </xf>
    <xf numFmtId="49" fontId="133" fillId="0" borderId="105" xfId="14" applyNumberFormat="1" applyFont="1" applyBorder="1" applyAlignment="1" applyProtection="1">
      <alignment horizontal="center" vertical="center"/>
      <protection locked="0"/>
    </xf>
    <xf numFmtId="49" fontId="134" fillId="0" borderId="109" xfId="14" applyNumberFormat="1" applyFont="1" applyFill="1" applyBorder="1" applyAlignment="1" applyProtection="1">
      <alignment horizontal="center" vertical="center"/>
      <protection locked="0"/>
    </xf>
    <xf numFmtId="0" fontId="135" fillId="0" borderId="105" xfId="14" applyFont="1" applyBorder="1" applyProtection="1">
      <protection locked="0"/>
    </xf>
    <xf numFmtId="49" fontId="134" fillId="0" borderId="107" xfId="14" applyNumberFormat="1" applyFont="1" applyFill="1" applyBorder="1" applyAlignment="1" applyProtection="1">
      <alignment horizontal="center" vertical="center"/>
      <protection locked="0"/>
    </xf>
    <xf numFmtId="14" fontId="52" fillId="0" borderId="0" xfId="3" applyNumberFormat="1" applyFont="1" applyBorder="1" applyProtection="1"/>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0" fillId="0" borderId="0" xfId="12" applyFont="1" applyBorder="1" applyAlignment="1" applyProtection="1">
      <alignment horizontal="center" vertical="center" wrapText="1"/>
    </xf>
    <xf numFmtId="0" fontId="130" fillId="0" borderId="18" xfId="12" applyFont="1" applyBorder="1" applyAlignment="1" applyProtection="1">
      <alignment horizontal="center" vertical="center" wrapText="1"/>
    </xf>
    <xf numFmtId="0" fontId="130" fillId="0" borderId="129" xfId="12" applyFont="1" applyBorder="1" applyAlignment="1" applyProtection="1">
      <alignment horizontal="center" vertical="center" wrapText="1"/>
    </xf>
    <xf numFmtId="0" fontId="130"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3" fillId="0" borderId="0" xfId="0" applyFont="1" applyBorder="1" applyAlignment="1" applyProtection="1">
      <alignment horizontal="center" vertical="center"/>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1" fillId="0" borderId="0" xfId="0" applyFont="1" applyAlignment="1">
      <alignment horizontal="left" vertical="center"/>
    </xf>
    <xf numFmtId="0" fontId="54" fillId="0" borderId="0" xfId="0" applyFont="1" applyAlignment="1">
      <alignment horizontal="left"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6"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6" fillId="0" borderId="74" xfId="10" applyFont="1" applyBorder="1" applyAlignment="1">
      <alignment horizontal="center"/>
    </xf>
    <xf numFmtId="0" fontId="54"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4" borderId="141" xfId="17" applyFont="1" applyFill="1" applyBorder="1" applyAlignment="1">
      <alignment horizontal="center" vertical="center"/>
    </xf>
    <xf numFmtId="0" fontId="122" fillId="24" borderId="142" xfId="17" applyFont="1" applyFill="1" applyBorder="1" applyAlignment="1">
      <alignment horizontal="center" vertical="center"/>
    </xf>
    <xf numFmtId="0" fontId="122" fillId="24" borderId="143" xfId="17" applyFont="1" applyFill="1" applyBorder="1" applyAlignment="1">
      <alignment horizontal="center" vertical="center"/>
    </xf>
    <xf numFmtId="0" fontId="122" fillId="24" borderId="98" xfId="17" applyFont="1" applyFill="1" applyBorder="1" applyAlignment="1">
      <alignment horizontal="center" vertical="center"/>
    </xf>
    <xf numFmtId="0" fontId="122" fillId="24" borderId="78" xfId="17" applyFont="1" applyFill="1" applyBorder="1" applyAlignment="1">
      <alignment horizontal="center" vertical="center"/>
    </xf>
    <xf numFmtId="0" fontId="122" fillId="24"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7"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3"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79"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5" fillId="0" borderId="113"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5" fillId="0" borderId="117"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3" borderId="126" xfId="0" applyFont="1" applyFill="1" applyBorder="1" applyAlignment="1">
      <alignment horizontal="center" vertical="center"/>
    </xf>
    <xf numFmtId="0" fontId="108" fillId="13" borderId="129" xfId="0" applyFont="1" applyFill="1" applyBorder="1" applyAlignment="1">
      <alignment horizontal="center" vertical="center"/>
    </xf>
    <xf numFmtId="0" fontId="108" fillId="13" borderId="154" xfId="0" applyFont="1" applyFill="1" applyBorder="1" applyAlignment="1">
      <alignment horizontal="center" vertical="center"/>
    </xf>
    <xf numFmtId="164" fontId="108" fillId="13" borderId="17" xfId="0" applyNumberFormat="1" applyFont="1" applyFill="1" applyBorder="1" applyAlignment="1">
      <alignment horizontal="center" vertical="center"/>
    </xf>
    <xf numFmtId="164" fontId="108" fillId="13" borderId="0" xfId="0" applyNumberFormat="1" applyFont="1" applyFill="1" applyBorder="1" applyAlignment="1">
      <alignment horizontal="center" vertical="center"/>
    </xf>
    <xf numFmtId="164" fontId="108"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09" fillId="13" borderId="129" xfId="0" applyNumberFormat="1" applyFont="1" applyFill="1" applyBorder="1" applyAlignment="1">
      <alignment horizontal="center" vertical="top"/>
    </xf>
    <xf numFmtId="164" fontId="109" fillId="13" borderId="154" xfId="0" applyNumberFormat="1" applyFont="1" applyFill="1" applyBorder="1" applyAlignment="1">
      <alignment horizontal="center" vertical="top"/>
    </xf>
    <xf numFmtId="0" fontId="109"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09"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09"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542925</xdr:colOff>
          <xdr:row>119</xdr:row>
          <xdr:rowOff>295275</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1985" name="Object 1" hidden="1">
              <a:extLst>
                <a:ext uri="{63B3BB69-23CF-44E3-9099-C40C66FF867C}">
                  <a14:compatExt spid="_x0000_s419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c r="C5" s="26" t="s">
        <v>966</v>
      </c>
      <c r="D5" s="84"/>
      <c r="E5" s="84"/>
      <c r="H5" s="38"/>
      <c r="I5" s="2008" t="s">
        <v>701</v>
      </c>
      <c r="J5" s="2007"/>
      <c r="K5" s="2007"/>
      <c r="L5" s="2007"/>
      <c r="M5" s="2007"/>
      <c r="N5" s="2007"/>
      <c r="O5" s="2007"/>
      <c r="P5" s="2007"/>
      <c r="Q5" s="2007"/>
      <c r="R5" s="2007"/>
      <c r="S5" s="2007"/>
    </row>
    <row r="6" spans="1:28" ht="14.1" customHeight="1" x14ac:dyDescent="0.2">
      <c r="B6" s="104" t="s">
        <v>2066</v>
      </c>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2066</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17053090041</v>
      </c>
      <c r="B13" s="2034"/>
      <c r="C13" s="2034"/>
      <c r="D13" s="2034"/>
      <c r="E13" s="2034"/>
      <c r="F13" s="2034"/>
      <c r="G13" s="2034"/>
      <c r="H13" s="2035"/>
      <c r="I13" s="31"/>
      <c r="J13" s="30"/>
      <c r="K13" s="28"/>
      <c r="L13" s="30"/>
      <c r="M13" s="30"/>
      <c r="N13" s="30"/>
      <c r="O13" s="30"/>
      <c r="P13" s="30"/>
      <c r="Q13" s="30"/>
      <c r="R13" s="30"/>
      <c r="S13" s="30"/>
      <c r="T13" s="2038" t="s">
        <v>2067</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2061</v>
      </c>
      <c r="B15" s="2036"/>
      <c r="C15" s="2036"/>
      <c r="D15" s="2036"/>
      <c r="E15" s="2036"/>
      <c r="F15" s="2036"/>
      <c r="G15" s="2036"/>
      <c r="H15" s="2037"/>
      <c r="T15" s="2042" t="s">
        <v>2068</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2062</v>
      </c>
      <c r="B17" s="1993"/>
      <c r="C17" s="1993"/>
      <c r="D17" s="1993"/>
      <c r="E17" s="1993"/>
      <c r="F17" s="1993"/>
      <c r="G17" s="1993"/>
      <c r="H17" s="2018"/>
      <c r="T17" s="2049" t="s">
        <v>2069</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2063</v>
      </c>
      <c r="B19" s="1978"/>
      <c r="C19" s="1978"/>
      <c r="D19" s="1978"/>
      <c r="E19" s="1978"/>
      <c r="F19" s="1978"/>
      <c r="G19" s="1978"/>
      <c r="H19" s="1958"/>
      <c r="I19" s="30"/>
      <c r="J19" s="99"/>
      <c r="K19" s="40"/>
      <c r="L19" s="38"/>
      <c r="M19" s="112" t="s">
        <v>333</v>
      </c>
      <c r="P19" s="27"/>
      <c r="Q19" s="27"/>
      <c r="R19" s="27"/>
      <c r="S19" s="31"/>
      <c r="T19" s="2032" t="s">
        <v>2070</v>
      </c>
      <c r="U19" s="1957"/>
      <c r="V19" s="1957"/>
      <c r="W19" s="1958"/>
      <c r="X19" s="2047" t="s">
        <v>2071</v>
      </c>
      <c r="Y19" s="2048"/>
      <c r="Z19" s="2045">
        <v>61761</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2064</v>
      </c>
      <c r="B21" s="1957"/>
      <c r="C21" s="1957"/>
      <c r="D21" s="1957"/>
      <c r="E21" s="1957"/>
      <c r="F21" s="1957"/>
      <c r="G21" s="1957"/>
      <c r="H21" s="1958"/>
      <c r="I21" s="2012" t="s">
        <v>699</v>
      </c>
      <c r="J21" s="2007"/>
      <c r="K21" s="2007"/>
      <c r="L21" s="2007"/>
      <c r="M21" s="2007"/>
      <c r="N21" s="2007"/>
      <c r="O21" s="2007"/>
      <c r="P21" s="2007"/>
      <c r="Q21" s="2007"/>
      <c r="R21" s="2007"/>
      <c r="S21" s="2013"/>
      <c r="T21" s="2056">
        <v>3094522417</v>
      </c>
      <c r="U21" s="2057"/>
      <c r="V21" s="2057"/>
      <c r="W21" s="2057"/>
      <c r="X21" s="2062">
        <v>3098889261</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2065</v>
      </c>
      <c r="B23" s="2010"/>
      <c r="C23" s="2010"/>
      <c r="D23" s="2010"/>
      <c r="E23" s="2010"/>
      <c r="F23" s="2010"/>
      <c r="G23" s="2010"/>
      <c r="H23" s="2011"/>
      <c r="T23" s="1992" t="s">
        <v>2073</v>
      </c>
      <c r="U23" s="2055"/>
      <c r="V23" s="2055"/>
      <c r="W23" s="2055"/>
      <c r="X23" s="2059">
        <v>43434</v>
      </c>
      <c r="Y23" s="2060"/>
      <c r="Z23" s="2060"/>
      <c r="AA23" s="2061"/>
    </row>
    <row r="24" spans="1:27" ht="14.1" customHeight="1" x14ac:dyDescent="0.2">
      <c r="A24" s="88" t="s">
        <v>698</v>
      </c>
      <c r="B24" s="49"/>
      <c r="C24" s="49"/>
      <c r="D24" s="49"/>
      <c r="E24" s="49"/>
      <c r="F24" s="49"/>
      <c r="G24" s="49"/>
      <c r="H24" s="61"/>
      <c r="J24" s="1979" t="str">
        <f>IF(B5="x",IF(AUDITCHECK!D29="AFR form Incomplete.","",IF(AUDITCHECK!D29="Deficit reduction plan is required.","School District must complete a deficit reduction plan in the 2018-2019 Budget",)),"")</f>
        <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61764</v>
      </c>
      <c r="B25" s="1957"/>
      <c r="C25" s="1957"/>
      <c r="D25" s="1957"/>
      <c r="E25" s="1957"/>
      <c r="F25" s="1957"/>
      <c r="G25" s="1957"/>
      <c r="H25" s="1958"/>
      <c r="I25" s="113"/>
      <c r="J25" s="1981"/>
      <c r="K25" s="1981"/>
      <c r="L25" s="1981"/>
      <c r="M25" s="1981"/>
      <c r="N25" s="1981"/>
      <c r="O25" s="1981"/>
      <c r="P25" s="1981"/>
      <c r="Q25" s="1981"/>
      <c r="R25" s="1981"/>
      <c r="S25" s="1982"/>
      <c r="T25" s="2052" t="s">
        <v>2072</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2066</v>
      </c>
      <c r="M29" s="40" t="s">
        <v>101</v>
      </c>
      <c r="N29" s="32" t="s">
        <v>1604</v>
      </c>
      <c r="O29" s="32"/>
      <c r="P29" s="32"/>
      <c r="Q29" s="32"/>
      <c r="R29" s="32"/>
      <c r="S29" s="123"/>
      <c r="T29" s="6"/>
      <c r="U29" s="6"/>
      <c r="V29" s="6"/>
      <c r="W29" s="6"/>
      <c r="X29" s="6"/>
      <c r="Y29" s="6"/>
      <c r="Z29" s="6"/>
      <c r="AA29" s="132"/>
    </row>
    <row r="30" spans="1:27" ht="13.5" customHeight="1" x14ac:dyDescent="0.2">
      <c r="A30" s="153"/>
      <c r="B30" s="136" t="s">
        <v>2066</v>
      </c>
      <c r="C30" s="124" t="s">
        <v>1226</v>
      </c>
      <c r="D30" s="28"/>
      <c r="E30" s="28"/>
      <c r="F30" s="140"/>
      <c r="G30" s="114"/>
      <c r="H30" s="114"/>
      <c r="I30" s="54"/>
      <c r="J30" s="102"/>
      <c r="K30" s="28" t="s">
        <v>597</v>
      </c>
      <c r="L30" s="102" t="s">
        <v>2066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2066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2074</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2065</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v>8158422557</v>
      </c>
      <c r="B42" s="1976"/>
      <c r="C42" s="1977"/>
      <c r="D42" s="1975">
        <v>8158421005</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2051</v>
      </c>
      <c r="R47" s="41"/>
      <c r="S47" s="41"/>
      <c r="T47" s="41"/>
      <c r="U47" s="41"/>
      <c r="V47" s="41"/>
      <c r="W47" s="41"/>
      <c r="X47" s="41"/>
      <c r="Y47" s="41"/>
      <c r="Z47" s="41"/>
      <c r="AA47" s="41"/>
    </row>
    <row r="48" spans="1:27" x14ac:dyDescent="0.2">
      <c r="Q48" s="41" t="s">
        <v>2052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0" customWidth="1"/>
    <col min="2" max="3" width="17.7109375" style="710" customWidth="1"/>
    <col min="4" max="5" width="17.7109375" style="711" customWidth="1"/>
    <col min="6" max="6" width="17.7109375" style="326" customWidth="1"/>
    <col min="7" max="7" width="4.28515625" style="326" customWidth="1"/>
    <col min="8" max="8" width="33.28515625" style="326" customWidth="1"/>
    <col min="9" max="16384" width="9.140625" style="326"/>
  </cols>
  <sheetData>
    <row r="1" spans="1:6" ht="33.75" customHeight="1" x14ac:dyDescent="0.2">
      <c r="A1" s="1901" t="s">
        <v>106</v>
      </c>
    </row>
    <row r="2" spans="1:6" ht="39.75" customHeight="1" x14ac:dyDescent="0.2">
      <c r="A2" s="2200" t="s">
        <v>1890</v>
      </c>
      <c r="B2" s="1547" t="s">
        <v>2021</v>
      </c>
      <c r="C2" s="712" t="s">
        <v>1895</v>
      </c>
      <c r="D2" s="712" t="s">
        <v>1896</v>
      </c>
      <c r="E2" s="712" t="s">
        <v>1897</v>
      </c>
      <c r="F2" s="712" t="s">
        <v>1898</v>
      </c>
    </row>
    <row r="3" spans="1:6" ht="12" customHeight="1" x14ac:dyDescent="0.2">
      <c r="A3" s="2201"/>
      <c r="B3" s="1544"/>
      <c r="C3" s="1545"/>
      <c r="D3" s="1546" t="s">
        <v>274</v>
      </c>
      <c r="E3" s="1545"/>
      <c r="F3" s="1546" t="s">
        <v>275</v>
      </c>
    </row>
    <row r="4" spans="1:6" ht="13.7" customHeight="1" x14ac:dyDescent="0.2">
      <c r="A4" s="713" t="s">
        <v>1217</v>
      </c>
      <c r="B4" s="1768">
        <f>'Revenues 9-14'!C5</f>
        <v>0</v>
      </c>
      <c r="C4" s="1543"/>
      <c r="D4" s="1771">
        <f>B4-C4</f>
        <v>0</v>
      </c>
      <c r="E4" s="1543"/>
      <c r="F4" s="1771">
        <f>E4-C4</f>
        <v>0</v>
      </c>
    </row>
    <row r="5" spans="1:6" ht="13.7" customHeight="1" x14ac:dyDescent="0.2">
      <c r="A5" s="713" t="s">
        <v>925</v>
      </c>
      <c r="B5" s="1769">
        <f>'Revenues 9-14'!D5</f>
        <v>0</v>
      </c>
      <c r="C5" s="582"/>
      <c r="D5" s="1772">
        <f t="shared" ref="D5:D18" si="0">B5-C5</f>
        <v>0</v>
      </c>
      <c r="E5" s="582"/>
      <c r="F5" s="1772">
        <f>E5-C5</f>
        <v>0</v>
      </c>
    </row>
    <row r="6" spans="1:6" ht="13.7" customHeight="1" x14ac:dyDescent="0.2">
      <c r="A6" s="713" t="s">
        <v>431</v>
      </c>
      <c r="B6" s="1769">
        <f>'Revenues 9-14'!E5</f>
        <v>0</v>
      </c>
      <c r="C6" s="582"/>
      <c r="D6" s="1772">
        <f t="shared" si="0"/>
        <v>0</v>
      </c>
      <c r="E6" s="582"/>
      <c r="F6" s="1772">
        <f t="shared" ref="F6:F18" si="1">E6-C6</f>
        <v>0</v>
      </c>
    </row>
    <row r="7" spans="1:6" ht="13.7" customHeight="1" x14ac:dyDescent="0.2">
      <c r="A7" s="713" t="s">
        <v>157</v>
      </c>
      <c r="B7" s="1769">
        <f>'Revenues 9-14'!F5</f>
        <v>0</v>
      </c>
      <c r="C7" s="582"/>
      <c r="D7" s="1772">
        <f t="shared" si="0"/>
        <v>0</v>
      </c>
      <c r="E7" s="582"/>
      <c r="F7" s="1772">
        <f t="shared" si="1"/>
        <v>0</v>
      </c>
    </row>
    <row r="8" spans="1:6" ht="13.7" customHeight="1" x14ac:dyDescent="0.2">
      <c r="A8" s="713" t="s">
        <v>1241</v>
      </c>
      <c r="B8" s="1769">
        <f>'Revenues 9-14'!G5</f>
        <v>0</v>
      </c>
      <c r="C8" s="582"/>
      <c r="D8" s="1772">
        <f t="shared" si="0"/>
        <v>0</v>
      </c>
      <c r="E8" s="582"/>
      <c r="F8" s="1772">
        <f t="shared" si="1"/>
        <v>0</v>
      </c>
    </row>
    <row r="9" spans="1:6" ht="13.7" customHeight="1" x14ac:dyDescent="0.2">
      <c r="A9" s="713" t="s">
        <v>428</v>
      </c>
      <c r="B9" s="1769">
        <f>'Revenues 9-14'!H5</f>
        <v>0</v>
      </c>
      <c r="C9" s="582"/>
      <c r="D9" s="1772">
        <f t="shared" si="0"/>
        <v>0</v>
      </c>
      <c r="E9" s="582"/>
      <c r="F9" s="1772">
        <f t="shared" si="1"/>
        <v>0</v>
      </c>
    </row>
    <row r="10" spans="1:6" ht="13.7" customHeight="1" x14ac:dyDescent="0.2">
      <c r="A10" s="713" t="s">
        <v>427</v>
      </c>
      <c r="B10" s="1769">
        <f>'Revenues 9-14'!I5</f>
        <v>0</v>
      </c>
      <c r="C10" s="582"/>
      <c r="D10" s="1772">
        <f t="shared" si="0"/>
        <v>0</v>
      </c>
      <c r="E10" s="582"/>
      <c r="F10" s="1772">
        <f t="shared" si="1"/>
        <v>0</v>
      </c>
    </row>
    <row r="11" spans="1:6" x14ac:dyDescent="0.2">
      <c r="A11" s="713" t="s">
        <v>429</v>
      </c>
      <c r="B11" s="1769">
        <f>'Revenues 9-14'!J5</f>
        <v>0</v>
      </c>
      <c r="C11" s="582"/>
      <c r="D11" s="1772">
        <f t="shared" si="0"/>
        <v>0</v>
      </c>
      <c r="E11" s="582"/>
      <c r="F11" s="1772">
        <f t="shared" si="1"/>
        <v>0</v>
      </c>
    </row>
    <row r="12" spans="1:6" ht="13.7" customHeight="1" x14ac:dyDescent="0.2">
      <c r="A12" s="713" t="s">
        <v>159</v>
      </c>
      <c r="B12" s="1769">
        <f>'Revenues 9-14'!K5</f>
        <v>0</v>
      </c>
      <c r="C12" s="582"/>
      <c r="D12" s="1772">
        <f t="shared" si="0"/>
        <v>0</v>
      </c>
      <c r="E12" s="582"/>
      <c r="F12" s="1772">
        <f t="shared" si="1"/>
        <v>0</v>
      </c>
    </row>
    <row r="13" spans="1:6" ht="13.7" customHeight="1" x14ac:dyDescent="0.2">
      <c r="A13" s="713" t="s">
        <v>993</v>
      </c>
      <c r="B13" s="1769">
        <f>SUM('Revenues 9-14'!C6:D6)</f>
        <v>0</v>
      </c>
      <c r="C13" s="582"/>
      <c r="D13" s="1772">
        <f t="shared" si="0"/>
        <v>0</v>
      </c>
      <c r="E13" s="582"/>
      <c r="F13" s="1772">
        <f t="shared" si="1"/>
        <v>0</v>
      </c>
    </row>
    <row r="14" spans="1:6" ht="13.7" customHeight="1" x14ac:dyDescent="0.2">
      <c r="A14" s="713" t="s">
        <v>430</v>
      </c>
      <c r="B14" s="1769">
        <f>SUM('Revenues 9-14'!C7:D7,'Revenues 9-14'!F7:H7)</f>
        <v>0</v>
      </c>
      <c r="C14" s="582"/>
      <c r="D14" s="1772">
        <f t="shared" si="0"/>
        <v>0</v>
      </c>
      <c r="E14" s="582"/>
      <c r="F14" s="1772">
        <f t="shared" si="1"/>
        <v>0</v>
      </c>
    </row>
    <row r="15" spans="1:6" ht="13.7" customHeight="1" x14ac:dyDescent="0.2">
      <c r="A15" s="713" t="s">
        <v>1220</v>
      </c>
      <c r="B15" s="1769">
        <f>'Revenues 9-14'!E9</f>
        <v>0</v>
      </c>
      <c r="C15" s="582"/>
      <c r="D15" s="1772">
        <f t="shared" si="0"/>
        <v>0</v>
      </c>
      <c r="E15" s="582"/>
      <c r="F15" s="1772">
        <f t="shared" si="1"/>
        <v>0</v>
      </c>
    </row>
    <row r="16" spans="1:6" ht="13.7" customHeight="1" x14ac:dyDescent="0.2">
      <c r="A16" s="713" t="s">
        <v>1221</v>
      </c>
      <c r="B16" s="1769">
        <f>'Revenues 9-14'!G8</f>
        <v>0</v>
      </c>
      <c r="C16" s="582"/>
      <c r="D16" s="1772">
        <f t="shared" si="0"/>
        <v>0</v>
      </c>
      <c r="E16" s="582"/>
      <c r="F16" s="1772">
        <f t="shared" si="1"/>
        <v>0</v>
      </c>
    </row>
    <row r="17" spans="1:6" ht="13.7" customHeight="1" x14ac:dyDescent="0.2">
      <c r="A17" s="713" t="s">
        <v>1222</v>
      </c>
      <c r="B17" s="1769">
        <f>'Revenues 9-14'!C10</f>
        <v>0</v>
      </c>
      <c r="C17" s="582"/>
      <c r="D17" s="1772">
        <f t="shared" si="0"/>
        <v>0</v>
      </c>
      <c r="E17" s="582"/>
      <c r="F17" s="1772">
        <f t="shared" si="1"/>
        <v>0</v>
      </c>
    </row>
    <row r="18" spans="1:6" ht="13.7" customHeight="1" x14ac:dyDescent="0.2">
      <c r="A18" s="713" t="s">
        <v>786</v>
      </c>
      <c r="B18" s="1769">
        <f>SUM('Revenues 9-14'!C11:K11)</f>
        <v>0</v>
      </c>
      <c r="C18" s="582"/>
      <c r="D18" s="1772">
        <f t="shared" si="0"/>
        <v>0</v>
      </c>
      <c r="E18" s="582"/>
      <c r="F18" s="1772">
        <f t="shared" si="1"/>
        <v>0</v>
      </c>
    </row>
    <row r="19" spans="1:6" ht="13.7" customHeight="1" thickBot="1" x14ac:dyDescent="0.25">
      <c r="A19" s="1773" t="s">
        <v>1223</v>
      </c>
      <c r="B19" s="1770">
        <f>SUM(B4:B18)</f>
        <v>0</v>
      </c>
      <c r="C19" s="1770">
        <f>SUM(C4:C18)</f>
        <v>0</v>
      </c>
      <c r="D19" s="1770">
        <f>SUM(D4:D18)</f>
        <v>0</v>
      </c>
      <c r="E19" s="1770">
        <f>SUM(E4:E18)</f>
        <v>0</v>
      </c>
      <c r="F19" s="1770">
        <f>SUM(F4:F18)</f>
        <v>0</v>
      </c>
    </row>
    <row r="20" spans="1:6" ht="13.5" thickTop="1" x14ac:dyDescent="0.2">
      <c r="B20" s="711"/>
      <c r="F20" s="714"/>
    </row>
    <row r="21" spans="1:6" x14ac:dyDescent="0.2">
      <c r="A21" s="715" t="s">
        <v>1900</v>
      </c>
      <c r="B21" s="716"/>
      <c r="F21" s="714"/>
    </row>
    <row r="22" spans="1:6" x14ac:dyDescent="0.2">
      <c r="A22" s="717" t="s">
        <v>649</v>
      </c>
      <c r="B22" s="718"/>
    </row>
    <row r="23" spans="1:6" ht="9.6" customHeight="1" x14ac:dyDescent="0.2">
      <c r="A23" s="326"/>
      <c r="B23" s="326"/>
      <c r="C23" s="326"/>
      <c r="D23" s="326"/>
      <c r="E23" s="326"/>
    </row>
    <row r="24" spans="1:6" x14ac:dyDescent="0.2">
      <c r="A24" s="348"/>
      <c r="D24" s="326"/>
      <c r="E24" s="326"/>
    </row>
    <row r="25" spans="1:6" x14ac:dyDescent="0.2">
      <c r="A25" s="348"/>
      <c r="D25" s="326"/>
      <c r="E25" s="326"/>
    </row>
    <row r="26" spans="1:6" x14ac:dyDescent="0.2">
      <c r="A26" s="326"/>
      <c r="B26" s="326"/>
      <c r="C26" s="326"/>
      <c r="D26" s="326"/>
      <c r="E26" s="326"/>
    </row>
    <row r="27" spans="1:6" x14ac:dyDescent="0.2">
      <c r="A27" s="326"/>
      <c r="B27" s="326"/>
      <c r="C27" s="326"/>
      <c r="D27" s="326"/>
      <c r="E27" s="326"/>
    </row>
    <row r="28" spans="1:6" x14ac:dyDescent="0.2">
      <c r="A28" s="326"/>
      <c r="B28" s="326"/>
      <c r="C28" s="326"/>
      <c r="D28" s="326"/>
      <c r="E28" s="326"/>
    </row>
    <row r="29" spans="1:6" x14ac:dyDescent="0.2">
      <c r="A29" s="326"/>
      <c r="B29" s="326"/>
      <c r="C29" s="326"/>
      <c r="D29" s="326"/>
      <c r="E29" s="326"/>
    </row>
    <row r="30" spans="1:6" x14ac:dyDescent="0.2">
      <c r="A30" s="326"/>
      <c r="B30" s="326"/>
      <c r="C30" s="326"/>
      <c r="D30" s="326"/>
      <c r="E30" s="326"/>
    </row>
    <row r="31" spans="1:6" x14ac:dyDescent="0.2">
      <c r="A31" s="326"/>
      <c r="B31" s="326"/>
      <c r="C31" s="326"/>
      <c r="D31" s="326"/>
      <c r="E31" s="326"/>
    </row>
    <row r="32" spans="1:6" x14ac:dyDescent="0.2">
      <c r="A32" s="326"/>
      <c r="B32" s="326"/>
      <c r="C32" s="326"/>
      <c r="D32" s="326"/>
      <c r="E32" s="326"/>
    </row>
    <row r="33" spans="1:5" ht="9.6" customHeight="1" x14ac:dyDescent="0.2">
      <c r="A33" s="326"/>
      <c r="B33" s="326"/>
      <c r="C33" s="326"/>
      <c r="D33" s="326"/>
      <c r="E33" s="326"/>
    </row>
    <row r="34" spans="1:5" ht="9.6" customHeight="1" x14ac:dyDescent="0.2">
      <c r="A34" s="326"/>
      <c r="B34" s="326"/>
      <c r="C34" s="326"/>
      <c r="D34" s="326"/>
      <c r="E34" s="326"/>
    </row>
    <row r="35" spans="1:5" ht="9.6" customHeight="1" x14ac:dyDescent="0.2">
      <c r="A35" s="326"/>
      <c r="B35" s="326"/>
      <c r="C35" s="326"/>
      <c r="D35" s="326"/>
      <c r="E35" s="326"/>
    </row>
    <row r="36" spans="1:5" x14ac:dyDescent="0.2">
      <c r="A36" s="326"/>
      <c r="B36" s="326"/>
      <c r="C36" s="326"/>
      <c r="D36" s="326"/>
      <c r="E36" s="326"/>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398" customWidth="1"/>
    <col min="2" max="2" width="12.140625" style="720" customWidth="1"/>
    <col min="3" max="5" width="16.7109375" style="720" customWidth="1"/>
    <col min="6" max="6" width="13.42578125" style="381" customWidth="1"/>
    <col min="7" max="7" width="14.7109375" style="381" customWidth="1"/>
    <col min="8" max="10" width="16.7109375" style="381" customWidth="1"/>
    <col min="11" max="16384" width="9.140625" style="381"/>
  </cols>
  <sheetData>
    <row r="1" spans="1:7" ht="27" customHeight="1" x14ac:dyDescent="0.2">
      <c r="A1" s="2222" t="s">
        <v>650</v>
      </c>
      <c r="B1" s="2220"/>
      <c r="C1" s="719"/>
    </row>
    <row r="2" spans="1:7" ht="33.75" x14ac:dyDescent="0.2">
      <c r="A2" s="2227" t="s">
        <v>1890</v>
      </c>
      <c r="B2" s="2228"/>
      <c r="C2" s="1902" t="s">
        <v>2022</v>
      </c>
      <c r="D2" s="721" t="s">
        <v>2029</v>
      </c>
      <c r="E2" s="721" t="s">
        <v>2030</v>
      </c>
      <c r="F2" s="1902" t="s">
        <v>2023</v>
      </c>
    </row>
    <row r="3" spans="1:7" ht="15.75" customHeight="1" x14ac:dyDescent="0.2">
      <c r="A3" s="2229" t="s">
        <v>1176</v>
      </c>
      <c r="B3" s="2230"/>
      <c r="C3" s="2223"/>
      <c r="D3" s="2224"/>
      <c r="E3" s="2224"/>
      <c r="F3" s="2225"/>
    </row>
    <row r="4" spans="1:7" ht="12.75" customHeight="1" thickBot="1" x14ac:dyDescent="0.25">
      <c r="A4" s="2217" t="s">
        <v>651</v>
      </c>
      <c r="B4" s="2218"/>
      <c r="C4" s="578"/>
      <c r="D4" s="578"/>
      <c r="E4" s="578"/>
      <c r="F4" s="1774">
        <f>SUM(C4+D4)-E4</f>
        <v>0</v>
      </c>
    </row>
    <row r="5" spans="1:7" ht="15.75" customHeight="1" thickTop="1" x14ac:dyDescent="0.2">
      <c r="A5" s="2221" t="s">
        <v>1172</v>
      </c>
      <c r="B5" s="2216"/>
      <c r="C5" s="2210"/>
      <c r="D5" s="2211"/>
      <c r="E5" s="2211"/>
      <c r="F5" s="2212"/>
    </row>
    <row r="6" spans="1:7" ht="12.75" customHeight="1" thickBot="1" x14ac:dyDescent="0.25">
      <c r="A6" s="722" t="s">
        <v>66</v>
      </c>
      <c r="B6" s="723"/>
      <c r="C6" s="724"/>
      <c r="D6" s="582"/>
      <c r="E6" s="724"/>
      <c r="F6" s="1774">
        <f t="shared" ref="F6:F14" si="0">SUM(C6+D6)-E6</f>
        <v>0</v>
      </c>
    </row>
    <row r="7" spans="1:7" ht="12.75" customHeight="1" thickTop="1" thickBot="1" x14ac:dyDescent="0.25">
      <c r="A7" s="722" t="s">
        <v>6</v>
      </c>
      <c r="B7" s="723"/>
      <c r="C7" s="724"/>
      <c r="D7" s="582"/>
      <c r="E7" s="724"/>
      <c r="F7" s="1774">
        <f t="shared" si="0"/>
        <v>0</v>
      </c>
    </row>
    <row r="8" spans="1:7" ht="12.75" customHeight="1" thickTop="1" thickBot="1" x14ac:dyDescent="0.25">
      <c r="A8" s="722" t="s">
        <v>529</v>
      </c>
      <c r="B8" s="723"/>
      <c r="C8" s="724"/>
      <c r="D8" s="582"/>
      <c r="E8" s="724"/>
      <c r="F8" s="1774">
        <f t="shared" si="0"/>
        <v>0</v>
      </c>
    </row>
    <row r="9" spans="1:7" ht="12.75" customHeight="1" thickTop="1" thickBot="1" x14ac:dyDescent="0.25">
      <c r="A9" s="722" t="s">
        <v>530</v>
      </c>
      <c r="B9" s="723"/>
      <c r="C9" s="724"/>
      <c r="D9" s="582"/>
      <c r="E9" s="724"/>
      <c r="F9" s="1774">
        <f t="shared" si="0"/>
        <v>0</v>
      </c>
    </row>
    <row r="10" spans="1:7" ht="12.75" customHeight="1" thickTop="1" thickBot="1" x14ac:dyDescent="0.25">
      <c r="A10" s="722" t="s">
        <v>531</v>
      </c>
      <c r="B10" s="723"/>
      <c r="C10" s="724"/>
      <c r="D10" s="582"/>
      <c r="E10" s="724"/>
      <c r="F10" s="1774">
        <f t="shared" si="0"/>
        <v>0</v>
      </c>
    </row>
    <row r="11" spans="1:7" ht="12.75" customHeight="1" thickTop="1" thickBot="1" x14ac:dyDescent="0.25">
      <c r="A11" s="722" t="s">
        <v>359</v>
      </c>
      <c r="B11" s="723"/>
      <c r="C11" s="724"/>
      <c r="D11" s="582"/>
      <c r="E11" s="724"/>
      <c r="F11" s="1774">
        <f t="shared" si="0"/>
        <v>0</v>
      </c>
    </row>
    <row r="12" spans="1:7" ht="12.75" customHeight="1" thickTop="1" thickBot="1" x14ac:dyDescent="0.25">
      <c r="A12" s="722" t="s">
        <v>1219</v>
      </c>
      <c r="B12" s="723"/>
      <c r="C12" s="724"/>
      <c r="D12" s="582"/>
      <c r="E12" s="724"/>
      <c r="F12" s="1774">
        <f t="shared" si="0"/>
        <v>0</v>
      </c>
    </row>
    <row r="13" spans="1:7" ht="12.75" customHeight="1" thickTop="1" thickBot="1" x14ac:dyDescent="0.25">
      <c r="A13" s="722" t="s">
        <v>406</v>
      </c>
      <c r="B13" s="723"/>
      <c r="C13" s="724"/>
      <c r="D13" s="582"/>
      <c r="E13" s="724"/>
      <c r="F13" s="1774">
        <f t="shared" si="0"/>
        <v>0</v>
      </c>
    </row>
    <row r="14" spans="1:7" ht="12.75" customHeight="1" thickTop="1" thickBot="1" x14ac:dyDescent="0.25">
      <c r="A14" s="722" t="s">
        <v>468</v>
      </c>
      <c r="B14" s="723"/>
      <c r="C14" s="724"/>
      <c r="D14" s="582"/>
      <c r="E14" s="724"/>
      <c r="F14" s="1774">
        <f t="shared" si="0"/>
        <v>0</v>
      </c>
    </row>
    <row r="15" spans="1:7" ht="14.25" thickTop="1" thickBot="1" x14ac:dyDescent="0.25">
      <c r="A15" s="2213" t="s">
        <v>652</v>
      </c>
      <c r="B15" s="2214"/>
      <c r="C15" s="1774">
        <f>SUM(C6:C14)</f>
        <v>0</v>
      </c>
      <c r="D15" s="1774">
        <f>SUM(D6:D14)</f>
        <v>0</v>
      </c>
      <c r="E15" s="1774">
        <f>SUM(E6:E14)</f>
        <v>0</v>
      </c>
      <c r="F15" s="1774">
        <f>SUM(F6:F14)</f>
        <v>0</v>
      </c>
      <c r="G15" s="549"/>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4"/>
      <c r="D17" s="582"/>
      <c r="E17" s="724"/>
      <c r="F17" s="1774">
        <f>SUM(C17+D17)-E17</f>
        <v>0</v>
      </c>
    </row>
    <row r="18" spans="1:11" ht="12.75" customHeight="1" thickTop="1" thickBot="1" x14ac:dyDescent="0.25">
      <c r="A18" s="2208" t="s">
        <v>6</v>
      </c>
      <c r="B18" s="2209"/>
      <c r="C18" s="724"/>
      <c r="D18" s="582"/>
      <c r="E18" s="724"/>
      <c r="F18" s="1774">
        <f>SUM(C18+D18)-E18</f>
        <v>0</v>
      </c>
    </row>
    <row r="19" spans="1:11" ht="12.75" customHeight="1" thickTop="1" thickBot="1" x14ac:dyDescent="0.25">
      <c r="A19" s="2208" t="s">
        <v>406</v>
      </c>
      <c r="B19" s="2209"/>
      <c r="C19" s="724"/>
      <c r="D19" s="582"/>
      <c r="E19" s="724"/>
      <c r="F19" s="1774">
        <f>SUM(C19+D19)-E19</f>
        <v>0</v>
      </c>
    </row>
    <row r="20" spans="1:11" ht="12.75" customHeight="1" thickTop="1" thickBot="1" x14ac:dyDescent="0.25">
      <c r="A20" s="2208" t="s">
        <v>468</v>
      </c>
      <c r="B20" s="2209"/>
      <c r="C20" s="724"/>
      <c r="D20" s="582"/>
      <c r="E20" s="724"/>
      <c r="F20" s="1774">
        <f>SUM(C20+D20)-E20</f>
        <v>0</v>
      </c>
    </row>
    <row r="21" spans="1:11" ht="14.25" thickTop="1" thickBot="1" x14ac:dyDescent="0.25">
      <c r="A21" s="2213" t="s">
        <v>653</v>
      </c>
      <c r="B21" s="2214"/>
      <c r="C21" s="1774">
        <f>SUM(C17:C20)</f>
        <v>0</v>
      </c>
      <c r="D21" s="1774">
        <f>SUM(D17:D20)</f>
        <v>0</v>
      </c>
      <c r="E21" s="1774">
        <f>SUM(E17:E20)</f>
        <v>0</v>
      </c>
      <c r="F21" s="1774">
        <f>SUM(F17:F20)</f>
        <v>0</v>
      </c>
      <c r="G21" s="549"/>
    </row>
    <row r="22" spans="1:11" ht="15.75" customHeight="1" thickTop="1" x14ac:dyDescent="0.2">
      <c r="A22" s="2215" t="s">
        <v>1174</v>
      </c>
      <c r="B22" s="2216"/>
      <c r="C22" s="2210"/>
      <c r="D22" s="2211"/>
      <c r="E22" s="2211"/>
      <c r="F22" s="2212"/>
    </row>
    <row r="23" spans="1:11" ht="13.5" thickBot="1" x14ac:dyDescent="0.25">
      <c r="A23" s="2217" t="s">
        <v>654</v>
      </c>
      <c r="B23" s="2218"/>
      <c r="C23" s="578"/>
      <c r="D23" s="578"/>
      <c r="E23" s="578"/>
      <c r="F23" s="1774">
        <f>SUM(C23+D23)-E23</f>
        <v>0</v>
      </c>
      <c r="G23" s="549"/>
    </row>
    <row r="24" spans="1:11" ht="15.75" customHeight="1" thickTop="1" x14ac:dyDescent="0.2">
      <c r="A24" s="2215" t="s">
        <v>1175</v>
      </c>
      <c r="B24" s="2216"/>
      <c r="C24" s="2210"/>
      <c r="D24" s="2211"/>
      <c r="E24" s="2211"/>
      <c r="F24" s="2212"/>
    </row>
    <row r="25" spans="1:11" ht="13.5" thickBot="1" x14ac:dyDescent="0.25">
      <c r="A25" s="2217" t="s">
        <v>655</v>
      </c>
      <c r="B25" s="2218"/>
      <c r="C25" s="578"/>
      <c r="D25" s="578"/>
      <c r="E25" s="578"/>
      <c r="F25" s="1774">
        <f>SUM(C25+D25)-E25</f>
        <v>0</v>
      </c>
      <c r="G25" s="549"/>
    </row>
    <row r="26" spans="1:11" ht="15.75" customHeight="1" thickTop="1" x14ac:dyDescent="0.2">
      <c r="A26" s="2221" t="s">
        <v>678</v>
      </c>
      <c r="B26" s="2216"/>
      <c r="C26" s="725"/>
      <c r="D26" s="725"/>
      <c r="E26" s="725"/>
      <c r="F26" s="726"/>
    </row>
    <row r="27" spans="1:11" ht="13.5" thickBot="1" x14ac:dyDescent="0.25">
      <c r="A27" s="2213" t="s">
        <v>1130</v>
      </c>
      <c r="B27" s="2214"/>
      <c r="C27" s="582"/>
      <c r="D27" s="582"/>
      <c r="E27" s="582"/>
      <c r="F27" s="1774">
        <f>SUM(C27+D27)-E27</f>
        <v>0</v>
      </c>
      <c r="G27" s="549"/>
    </row>
    <row r="28" spans="1:11" ht="7.5" customHeight="1" thickTop="1" x14ac:dyDescent="0.2">
      <c r="A28" s="591"/>
    </row>
    <row r="29" spans="1:11" ht="23.25" customHeight="1" x14ac:dyDescent="0.2">
      <c r="A29" s="2219" t="s">
        <v>603</v>
      </c>
      <c r="B29" s="2220"/>
      <c r="C29" s="727"/>
      <c r="D29" s="727"/>
      <c r="E29" s="727"/>
      <c r="F29" s="727"/>
      <c r="G29" s="727"/>
      <c r="H29" s="727"/>
      <c r="I29" s="727"/>
      <c r="J29" s="727"/>
    </row>
    <row r="30" spans="1:11" ht="33.75" x14ac:dyDescent="0.2">
      <c r="A30" s="1548" t="s">
        <v>1131</v>
      </c>
      <c r="B30" s="728" t="s">
        <v>1186</v>
      </c>
      <c r="C30" s="1903" t="s">
        <v>604</v>
      </c>
      <c r="D30" s="1903" t="s">
        <v>1758</v>
      </c>
      <c r="E30" s="1903" t="s">
        <v>2024</v>
      </c>
      <c r="F30" s="1903" t="s">
        <v>2025</v>
      </c>
      <c r="G30" s="1903" t="s">
        <v>2028</v>
      </c>
      <c r="H30" s="1903" t="s">
        <v>2026</v>
      </c>
      <c r="I30" s="1903" t="s">
        <v>2027</v>
      </c>
      <c r="J30" s="1904" t="s">
        <v>2</v>
      </c>
      <c r="K30" s="729"/>
    </row>
    <row r="31" spans="1:11" ht="12" customHeight="1" x14ac:dyDescent="0.2">
      <c r="A31" s="730"/>
      <c r="B31" s="731"/>
      <c r="C31" s="732"/>
      <c r="D31" s="733"/>
      <c r="E31" s="732"/>
      <c r="F31" s="732"/>
      <c r="G31" s="732"/>
      <c r="H31" s="732"/>
      <c r="I31" s="1775">
        <f>((E31+F31)-H31)+G31</f>
        <v>0</v>
      </c>
      <c r="J31" s="732"/>
      <c r="K31" s="734"/>
    </row>
    <row r="32" spans="1:11" ht="12" customHeight="1" x14ac:dyDescent="0.2">
      <c r="A32" s="730"/>
      <c r="B32" s="731"/>
      <c r="C32" s="732"/>
      <c r="D32" s="733"/>
      <c r="E32" s="732"/>
      <c r="F32" s="732"/>
      <c r="G32" s="732"/>
      <c r="H32" s="732"/>
      <c r="I32" s="1775">
        <f>((E32+F32)-H32)+G32</f>
        <v>0</v>
      </c>
      <c r="J32" s="732"/>
      <c r="K32" s="734"/>
    </row>
    <row r="33" spans="1:11" ht="12" customHeight="1" x14ac:dyDescent="0.2">
      <c r="A33" s="730"/>
      <c r="B33" s="731"/>
      <c r="C33" s="732"/>
      <c r="D33" s="733"/>
      <c r="E33" s="732"/>
      <c r="F33" s="732"/>
      <c r="G33" s="732"/>
      <c r="H33" s="732"/>
      <c r="I33" s="1775">
        <f t="shared" ref="I33:I48" si="1">((E33+F33)-H33)+G33</f>
        <v>0</v>
      </c>
      <c r="J33" s="732"/>
      <c r="K33" s="734"/>
    </row>
    <row r="34" spans="1:11" ht="12" customHeight="1" x14ac:dyDescent="0.2">
      <c r="A34" s="730"/>
      <c r="B34" s="731"/>
      <c r="C34" s="732"/>
      <c r="D34" s="733"/>
      <c r="E34" s="732"/>
      <c r="F34" s="732"/>
      <c r="G34" s="732"/>
      <c r="H34" s="732"/>
      <c r="I34" s="1775">
        <f t="shared" si="1"/>
        <v>0</v>
      </c>
      <c r="J34" s="732"/>
      <c r="K34" s="735"/>
    </row>
    <row r="35" spans="1:11" ht="12" customHeight="1" x14ac:dyDescent="0.2">
      <c r="A35" s="730"/>
      <c r="B35" s="731"/>
      <c r="C35" s="736"/>
      <c r="D35" s="733"/>
      <c r="E35" s="736"/>
      <c r="F35" s="736"/>
      <c r="G35" s="736"/>
      <c r="H35" s="736"/>
      <c r="I35" s="1775">
        <f t="shared" si="1"/>
        <v>0</v>
      </c>
      <c r="J35" s="736"/>
      <c r="K35" s="735"/>
    </row>
    <row r="36" spans="1:11" ht="12" customHeight="1" x14ac:dyDescent="0.2">
      <c r="A36" s="730"/>
      <c r="B36" s="731"/>
      <c r="C36" s="732"/>
      <c r="D36" s="733"/>
      <c r="E36" s="732"/>
      <c r="F36" s="732"/>
      <c r="G36" s="732"/>
      <c r="H36" s="732"/>
      <c r="I36" s="1775">
        <f t="shared" si="1"/>
        <v>0</v>
      </c>
      <c r="J36" s="732"/>
      <c r="K36" s="737"/>
    </row>
    <row r="37" spans="1:11" ht="12" customHeight="1" x14ac:dyDescent="0.2">
      <c r="A37" s="730"/>
      <c r="B37" s="731"/>
      <c r="C37" s="464"/>
      <c r="D37" s="738"/>
      <c r="E37" s="464"/>
      <c r="F37" s="464"/>
      <c r="G37" s="464"/>
      <c r="H37" s="464"/>
      <c r="I37" s="1775">
        <f t="shared" si="1"/>
        <v>0</v>
      </c>
      <c r="J37" s="464"/>
      <c r="K37" s="735"/>
    </row>
    <row r="38" spans="1:11" ht="12" customHeight="1" x14ac:dyDescent="0.2">
      <c r="A38" s="730"/>
      <c r="B38" s="731"/>
      <c r="C38" s="732"/>
      <c r="D38" s="739"/>
      <c r="E38" s="740"/>
      <c r="F38" s="740"/>
      <c r="G38" s="740"/>
      <c r="H38" s="740"/>
      <c r="I38" s="1775">
        <f t="shared" si="1"/>
        <v>0</v>
      </c>
      <c r="J38" s="741" t="s">
        <v>282</v>
      </c>
      <c r="K38" s="742"/>
    </row>
    <row r="39" spans="1:11" ht="12" customHeight="1" x14ac:dyDescent="0.2">
      <c r="A39" s="730"/>
      <c r="B39" s="731"/>
      <c r="C39" s="732"/>
      <c r="D39" s="739"/>
      <c r="E39" s="740"/>
      <c r="F39" s="740"/>
      <c r="G39" s="740"/>
      <c r="H39" s="740"/>
      <c r="I39" s="1775">
        <f t="shared" si="1"/>
        <v>0</v>
      </c>
      <c r="J39" s="741"/>
      <c r="K39" s="742"/>
    </row>
    <row r="40" spans="1:11" ht="12" customHeight="1" x14ac:dyDescent="0.2">
      <c r="A40" s="730"/>
      <c r="B40" s="731"/>
      <c r="C40" s="732"/>
      <c r="D40" s="739"/>
      <c r="E40" s="740"/>
      <c r="F40" s="740"/>
      <c r="G40" s="740"/>
      <c r="H40" s="740"/>
      <c r="I40" s="1775">
        <f t="shared" si="1"/>
        <v>0</v>
      </c>
      <c r="J40" s="741"/>
      <c r="K40" s="742"/>
    </row>
    <row r="41" spans="1:11" ht="12" customHeight="1" x14ac:dyDescent="0.2">
      <c r="A41" s="730"/>
      <c r="B41" s="731"/>
      <c r="C41" s="732"/>
      <c r="D41" s="739"/>
      <c r="E41" s="740"/>
      <c r="F41" s="740"/>
      <c r="G41" s="740"/>
      <c r="H41" s="740"/>
      <c r="I41" s="1775">
        <f t="shared" si="1"/>
        <v>0</v>
      </c>
      <c r="J41" s="741"/>
      <c r="K41" s="742"/>
    </row>
    <row r="42" spans="1:11" ht="12" customHeight="1" x14ac:dyDescent="0.2">
      <c r="A42" s="730"/>
      <c r="B42" s="731"/>
      <c r="C42" s="732"/>
      <c r="D42" s="739"/>
      <c r="E42" s="740"/>
      <c r="F42" s="740"/>
      <c r="G42" s="740"/>
      <c r="H42" s="740"/>
      <c r="I42" s="1775">
        <f t="shared" si="1"/>
        <v>0</v>
      </c>
      <c r="J42" s="741"/>
      <c r="K42" s="742"/>
    </row>
    <row r="43" spans="1:11" ht="12" customHeight="1" x14ac:dyDescent="0.2">
      <c r="A43" s="730"/>
      <c r="B43" s="731"/>
      <c r="C43" s="732"/>
      <c r="D43" s="739"/>
      <c r="E43" s="740"/>
      <c r="F43" s="740"/>
      <c r="G43" s="740"/>
      <c r="H43" s="740"/>
      <c r="I43" s="1775">
        <f t="shared" si="1"/>
        <v>0</v>
      </c>
      <c r="J43" s="741"/>
      <c r="K43" s="742"/>
    </row>
    <row r="44" spans="1:11" ht="12" customHeight="1" x14ac:dyDescent="0.2">
      <c r="A44" s="730"/>
      <c r="B44" s="731"/>
      <c r="C44" s="732"/>
      <c r="D44" s="733"/>
      <c r="E44" s="732"/>
      <c r="F44" s="732"/>
      <c r="G44" s="732"/>
      <c r="H44" s="732"/>
      <c r="I44" s="1775">
        <f t="shared" si="1"/>
        <v>0</v>
      </c>
      <c r="J44" s="732"/>
      <c r="K44" s="735"/>
    </row>
    <row r="45" spans="1:11" ht="12" customHeight="1" x14ac:dyDescent="0.2">
      <c r="A45" s="730"/>
      <c r="B45" s="731"/>
      <c r="C45" s="732"/>
      <c r="D45" s="733"/>
      <c r="E45" s="732"/>
      <c r="F45" s="732"/>
      <c r="G45" s="732"/>
      <c r="H45" s="732"/>
      <c r="I45" s="1775">
        <f t="shared" si="1"/>
        <v>0</v>
      </c>
      <c r="J45" s="732"/>
      <c r="K45" s="735"/>
    </row>
    <row r="46" spans="1:11" ht="12" customHeight="1" x14ac:dyDescent="0.2">
      <c r="A46" s="730"/>
      <c r="B46" s="731"/>
      <c r="C46" s="732"/>
      <c r="D46" s="733"/>
      <c r="E46" s="732"/>
      <c r="F46" s="732"/>
      <c r="G46" s="732"/>
      <c r="H46" s="732"/>
      <c r="I46" s="1775">
        <f t="shared" si="1"/>
        <v>0</v>
      </c>
      <c r="J46" s="732"/>
      <c r="K46" s="735"/>
    </row>
    <row r="47" spans="1:11" ht="12" customHeight="1" x14ac:dyDescent="0.2">
      <c r="A47" s="730"/>
      <c r="B47" s="731"/>
      <c r="C47" s="736"/>
      <c r="D47" s="733"/>
      <c r="E47" s="736"/>
      <c r="F47" s="736"/>
      <c r="G47" s="736"/>
      <c r="H47" s="736"/>
      <c r="I47" s="1775">
        <f t="shared" si="1"/>
        <v>0</v>
      </c>
      <c r="J47" s="736"/>
      <c r="K47" s="735"/>
    </row>
    <row r="48" spans="1:11" ht="12" customHeight="1" x14ac:dyDescent="0.2">
      <c r="A48" s="730"/>
      <c r="B48" s="731"/>
      <c r="C48" s="732"/>
      <c r="D48" s="733"/>
      <c r="E48" s="732"/>
      <c r="F48" s="732"/>
      <c r="G48" s="732"/>
      <c r="H48" s="732"/>
      <c r="I48" s="1775">
        <f t="shared" si="1"/>
        <v>0</v>
      </c>
      <c r="J48" s="732"/>
      <c r="K48" s="735"/>
    </row>
    <row r="49" spans="1:11" ht="12" customHeight="1" x14ac:dyDescent="0.2">
      <c r="A49" s="730"/>
      <c r="B49" s="731"/>
      <c r="C49" s="1775">
        <f>SUM(C31:C48)</f>
        <v>0</v>
      </c>
      <c r="D49" s="743"/>
      <c r="E49" s="1775">
        <f t="shared" ref="E49:J49" si="2">SUM(E31:E48)</f>
        <v>0</v>
      </c>
      <c r="F49" s="1775">
        <f t="shared" si="2"/>
        <v>0</v>
      </c>
      <c r="G49" s="1775">
        <f t="shared" si="2"/>
        <v>0</v>
      </c>
      <c r="H49" s="1775">
        <f t="shared" si="2"/>
        <v>0</v>
      </c>
      <c r="I49" s="1775">
        <f t="shared" si="2"/>
        <v>0</v>
      </c>
      <c r="J49" s="1775">
        <f t="shared" si="2"/>
        <v>0</v>
      </c>
      <c r="K49" s="735"/>
    </row>
    <row r="50" spans="1:11" ht="6" customHeight="1" x14ac:dyDescent="0.2">
      <c r="A50" s="744"/>
      <c r="B50" s="734"/>
      <c r="C50" s="734"/>
      <c r="D50" s="734"/>
      <c r="E50" s="734"/>
      <c r="F50" s="734"/>
      <c r="G50" s="734"/>
      <c r="H50" s="734"/>
      <c r="I50" s="734"/>
      <c r="J50" s="744"/>
    </row>
    <row r="51" spans="1:11" x14ac:dyDescent="0.2">
      <c r="A51" s="745" t="s">
        <v>1899</v>
      </c>
      <c r="B51" s="744"/>
      <c r="C51" s="735"/>
      <c r="D51" s="735"/>
      <c r="E51" s="735"/>
      <c r="F51" s="735"/>
      <c r="G51" s="735"/>
      <c r="H51" s="734"/>
      <c r="I51" s="734"/>
      <c r="J51" s="744"/>
    </row>
    <row r="52" spans="1:11" ht="11.25" customHeight="1" x14ac:dyDescent="0.2">
      <c r="A52" s="746" t="s">
        <v>968</v>
      </c>
      <c r="B52" s="2202" t="s">
        <v>605</v>
      </c>
      <c r="C52" s="2203"/>
      <c r="D52" s="2203"/>
      <c r="E52" s="747" t="s">
        <v>900</v>
      </c>
      <c r="F52" s="2204"/>
      <c r="G52" s="2205"/>
      <c r="H52" s="734"/>
      <c r="I52" s="734"/>
      <c r="J52" s="744"/>
    </row>
    <row r="53" spans="1:11" ht="11.25" customHeight="1" x14ac:dyDescent="0.2">
      <c r="A53" s="748" t="s">
        <v>969</v>
      </c>
      <c r="B53" s="749" t="s">
        <v>1008</v>
      </c>
      <c r="C53" s="744"/>
      <c r="D53" s="735"/>
      <c r="E53" s="747" t="s">
        <v>518</v>
      </c>
      <c r="F53" s="2206"/>
      <c r="G53" s="2207"/>
      <c r="H53" s="734"/>
      <c r="I53" s="734"/>
      <c r="J53" s="744"/>
    </row>
    <row r="54" spans="1:11" ht="11.25" customHeight="1" x14ac:dyDescent="0.2">
      <c r="A54" s="750" t="s">
        <v>970</v>
      </c>
      <c r="B54" s="745" t="s">
        <v>1009</v>
      </c>
      <c r="C54" s="744"/>
      <c r="D54" s="735"/>
      <c r="E54" s="747" t="s">
        <v>519</v>
      </c>
      <c r="F54" s="2206"/>
      <c r="G54" s="2207"/>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1" customWidth="1"/>
    <col min="2" max="2" width="3.28515625" style="381" customWidth="1"/>
    <col min="3" max="3" width="4.7109375" style="381" customWidth="1"/>
    <col min="4" max="4" width="3.28515625" style="381" customWidth="1"/>
    <col min="5" max="5" width="44.5703125" style="405" customWidth="1"/>
    <col min="6" max="6" width="18.140625" style="381" customWidth="1"/>
    <col min="7" max="9" width="15.7109375" style="381" customWidth="1"/>
    <col min="10" max="10" width="16.7109375" style="381" customWidth="1"/>
    <col min="11" max="11" width="15.7109375" style="202" customWidth="1"/>
    <col min="12" max="12" width="4.7109375" style="381" customWidth="1"/>
    <col min="13" max="13" width="7.7109375" style="381" customWidth="1"/>
    <col min="14" max="16384" width="9.140625" style="381"/>
  </cols>
  <sheetData>
    <row r="1" spans="1:11" ht="28.5" customHeight="1" x14ac:dyDescent="0.2">
      <c r="A1" s="2231" t="s">
        <v>911</v>
      </c>
      <c r="B1" s="2232"/>
      <c r="C1" s="2232"/>
      <c r="D1" s="2232"/>
      <c r="E1" s="2232"/>
      <c r="F1" s="2232"/>
      <c r="G1" s="2233"/>
      <c r="H1" s="1549"/>
      <c r="I1" s="758"/>
      <c r="J1" s="430"/>
    </row>
    <row r="2" spans="1:11" ht="26.25" x14ac:dyDescent="0.2">
      <c r="A2" s="2250" t="s">
        <v>1762</v>
      </c>
      <c r="B2" s="2251"/>
      <c r="C2" s="2251"/>
      <c r="D2" s="2251"/>
      <c r="E2" s="2252"/>
      <c r="F2" s="759" t="s">
        <v>960</v>
      </c>
      <c r="G2" s="760" t="s">
        <v>1759</v>
      </c>
      <c r="H2" s="760" t="s">
        <v>430</v>
      </c>
      <c r="I2" s="760" t="s">
        <v>1220</v>
      </c>
      <c r="J2" s="760" t="s">
        <v>1904</v>
      </c>
      <c r="K2" s="760" t="s">
        <v>140</v>
      </c>
    </row>
    <row r="3" spans="1:11" x14ac:dyDescent="0.2">
      <c r="A3" s="2253" t="s">
        <v>1698</v>
      </c>
      <c r="B3" s="2254"/>
      <c r="C3" s="2254"/>
      <c r="D3" s="2254"/>
      <c r="E3" s="2255"/>
      <c r="F3" s="761"/>
      <c r="G3" s="762"/>
      <c r="H3" s="762"/>
      <c r="I3" s="762"/>
      <c r="J3" s="763"/>
      <c r="K3" s="763"/>
    </row>
    <row r="4" spans="1:11" x14ac:dyDescent="0.2">
      <c r="A4" s="2256" t="s">
        <v>387</v>
      </c>
      <c r="B4" s="2257"/>
      <c r="C4" s="2257"/>
      <c r="D4" s="2257"/>
      <c r="E4" s="2203"/>
      <c r="F4" s="764"/>
      <c r="G4" s="765"/>
      <c r="H4" s="766"/>
      <c r="I4" s="765"/>
      <c r="J4" s="767"/>
      <c r="K4" s="767"/>
    </row>
    <row r="5" spans="1:11" x14ac:dyDescent="0.2">
      <c r="A5" s="2234" t="s">
        <v>1129</v>
      </c>
      <c r="B5" s="2235"/>
      <c r="C5" s="2235"/>
      <c r="D5" s="2235"/>
      <c r="E5" s="2236"/>
      <c r="F5" s="768" t="s">
        <v>903</v>
      </c>
      <c r="G5" s="769"/>
      <c r="H5" s="762"/>
      <c r="I5" s="770"/>
      <c r="J5" s="771"/>
      <c r="K5" s="771"/>
    </row>
    <row r="6" spans="1:11" x14ac:dyDescent="0.2">
      <c r="A6" s="772" t="s">
        <v>744</v>
      </c>
      <c r="B6" s="773"/>
      <c r="C6" s="773"/>
      <c r="D6" s="773"/>
      <c r="E6" s="774"/>
      <c r="F6" s="775" t="s">
        <v>904</v>
      </c>
      <c r="G6" s="762"/>
      <c r="H6" s="762"/>
      <c r="I6" s="762"/>
      <c r="J6" s="763"/>
      <c r="K6" s="763"/>
    </row>
    <row r="7" spans="1:11" x14ac:dyDescent="0.2">
      <c r="A7" s="776" t="s">
        <v>264</v>
      </c>
      <c r="B7" s="777"/>
      <c r="C7" s="777"/>
      <c r="D7" s="777"/>
      <c r="E7" s="778"/>
      <c r="F7" s="768" t="s">
        <v>905</v>
      </c>
      <c r="G7" s="765"/>
      <c r="H7" s="765"/>
      <c r="I7" s="765"/>
      <c r="J7" s="779"/>
      <c r="K7" s="763"/>
    </row>
    <row r="8" spans="1:11" x14ac:dyDescent="0.2">
      <c r="A8" s="776" t="s">
        <v>363</v>
      </c>
      <c r="B8" s="777"/>
      <c r="C8" s="777"/>
      <c r="D8" s="777"/>
      <c r="E8" s="778"/>
      <c r="F8" s="768" t="s">
        <v>906</v>
      </c>
      <c r="G8" s="780"/>
      <c r="H8" s="780"/>
      <c r="I8" s="780"/>
      <c r="J8" s="763"/>
      <c r="K8" s="767"/>
    </row>
    <row r="9" spans="1:11" x14ac:dyDescent="0.2">
      <c r="A9" s="776" t="s">
        <v>140</v>
      </c>
      <c r="B9" s="777"/>
      <c r="C9" s="777"/>
      <c r="D9" s="777"/>
      <c r="E9" s="778"/>
      <c r="F9" s="775" t="s">
        <v>908</v>
      </c>
      <c r="G9" s="780"/>
      <c r="H9" s="769"/>
      <c r="I9" s="769"/>
      <c r="J9" s="779"/>
      <c r="K9" s="763"/>
    </row>
    <row r="10" spans="1:11" x14ac:dyDescent="0.2">
      <c r="A10" s="2234" t="s">
        <v>1905</v>
      </c>
      <c r="B10" s="2235"/>
      <c r="C10" s="2235"/>
      <c r="D10" s="2235"/>
      <c r="E10" s="2237"/>
      <c r="F10" s="781" t="s">
        <v>917</v>
      </c>
      <c r="G10" s="780"/>
      <c r="H10" s="782"/>
      <c r="I10" s="762"/>
      <c r="J10" s="763"/>
      <c r="K10" s="763"/>
    </row>
    <row r="11" spans="1:11" x14ac:dyDescent="0.2">
      <c r="A11" s="2234" t="s">
        <v>162</v>
      </c>
      <c r="B11" s="2235"/>
      <c r="C11" s="2235"/>
      <c r="D11" s="2235"/>
      <c r="E11" s="2236"/>
      <c r="F11" s="768" t="s">
        <v>907</v>
      </c>
      <c r="G11" s="769"/>
      <c r="H11" s="762"/>
      <c r="I11" s="762"/>
      <c r="J11" s="763"/>
      <c r="K11" s="771"/>
    </row>
    <row r="12" spans="1:11" ht="13.5" thickBot="1" x14ac:dyDescent="0.25">
      <c r="A12" s="2261" t="s">
        <v>961</v>
      </c>
      <c r="B12" s="2262"/>
      <c r="C12" s="2262"/>
      <c r="D12" s="2262"/>
      <c r="E12" s="2263"/>
      <c r="F12" s="1776"/>
      <c r="G12" s="1777">
        <f>SUM(G5:G11)</f>
        <v>0</v>
      </c>
      <c r="H12" s="1777">
        <f>SUM(H5:H11)</f>
        <v>0</v>
      </c>
      <c r="I12" s="1777">
        <f>SUM(I5:I11)</f>
        <v>0</v>
      </c>
      <c r="J12" s="1777">
        <f>SUM(J5:J11)</f>
        <v>0</v>
      </c>
      <c r="K12" s="1777">
        <f>SUM(K5:K11)</f>
        <v>0</v>
      </c>
    </row>
    <row r="13" spans="1:11" ht="13.5" thickTop="1" x14ac:dyDescent="0.2">
      <c r="A13" s="2258" t="s">
        <v>388</v>
      </c>
      <c r="B13" s="2259"/>
      <c r="C13" s="2259"/>
      <c r="D13" s="2259"/>
      <c r="E13" s="2260"/>
      <c r="F13" s="783"/>
      <c r="G13" s="784"/>
      <c r="H13" s="785"/>
      <c r="I13" s="786"/>
      <c r="J13" s="786"/>
      <c r="K13" s="786"/>
    </row>
    <row r="14" spans="1:11" x14ac:dyDescent="0.2">
      <c r="A14" s="2241" t="s">
        <v>476</v>
      </c>
      <c r="B14" s="2241"/>
      <c r="C14" s="2241"/>
      <c r="D14" s="2241"/>
      <c r="E14" s="2242"/>
      <c r="F14" s="787" t="s">
        <v>909</v>
      </c>
      <c r="G14" s="780"/>
      <c r="H14" s="762"/>
      <c r="I14" s="769"/>
      <c r="J14" s="771"/>
      <c r="K14" s="763"/>
    </row>
    <row r="15" spans="1:11" x14ac:dyDescent="0.2">
      <c r="A15" s="2235" t="s">
        <v>4</v>
      </c>
      <c r="B15" s="2235"/>
      <c r="C15" s="2235"/>
      <c r="D15" s="2235"/>
      <c r="E15" s="2236"/>
      <c r="F15" s="787" t="s">
        <v>910</v>
      </c>
      <c r="G15" s="769"/>
      <c r="H15" s="762"/>
      <c r="I15" s="762"/>
      <c r="J15" s="763"/>
      <c r="K15" s="763"/>
    </row>
    <row r="16" spans="1:11" x14ac:dyDescent="0.2">
      <c r="A16" s="2235" t="s">
        <v>316</v>
      </c>
      <c r="B16" s="2235"/>
      <c r="C16" s="2235"/>
      <c r="D16" s="2235"/>
      <c r="E16" s="2236"/>
      <c r="F16" s="787" t="s">
        <v>980</v>
      </c>
      <c r="G16" s="770"/>
      <c r="H16" s="765"/>
      <c r="I16" s="765"/>
      <c r="J16" s="767"/>
      <c r="K16" s="767"/>
    </row>
    <row r="17" spans="1:11" x14ac:dyDescent="0.2">
      <c r="A17" s="2266" t="s">
        <v>992</v>
      </c>
      <c r="B17" s="2266"/>
      <c r="C17" s="2266"/>
      <c r="D17" s="2266"/>
      <c r="E17" s="2267"/>
      <c r="F17" s="788"/>
      <c r="G17" s="789"/>
      <c r="H17" s="790"/>
      <c r="I17" s="790"/>
      <c r="J17" s="791"/>
      <c r="K17" s="792"/>
    </row>
    <row r="18" spans="1:11" x14ac:dyDescent="0.2">
      <c r="A18" s="2245" t="s">
        <v>386</v>
      </c>
      <c r="B18" s="2246"/>
      <c r="C18" s="2246"/>
      <c r="D18" s="2246"/>
      <c r="E18" s="2247"/>
      <c r="F18" s="787" t="s">
        <v>989</v>
      </c>
      <c r="G18" s="780"/>
      <c r="H18" s="780"/>
      <c r="I18" s="780"/>
      <c r="J18" s="763"/>
      <c r="K18" s="793"/>
    </row>
    <row r="19" spans="1:11" ht="21.75" customHeight="1" x14ac:dyDescent="0.2">
      <c r="A19" s="2243" t="s">
        <v>1901</v>
      </c>
      <c r="B19" s="2243"/>
      <c r="C19" s="2243"/>
      <c r="D19" s="2243"/>
      <c r="E19" s="2244"/>
      <c r="F19" s="787" t="s">
        <v>990</v>
      </c>
      <c r="G19" s="780"/>
      <c r="H19" s="780"/>
      <c r="I19" s="780"/>
      <c r="J19" s="763"/>
      <c r="K19" s="793"/>
    </row>
    <row r="20" spans="1:11" x14ac:dyDescent="0.2">
      <c r="A20" s="2245" t="s">
        <v>1906</v>
      </c>
      <c r="B20" s="2246"/>
      <c r="C20" s="2246"/>
      <c r="D20" s="2246"/>
      <c r="E20" s="2247"/>
      <c r="F20" s="787" t="s">
        <v>991</v>
      </c>
      <c r="G20" s="780"/>
      <c r="H20" s="780"/>
      <c r="I20" s="780"/>
      <c r="J20" s="763"/>
      <c r="K20" s="793"/>
    </row>
    <row r="21" spans="1:11" ht="13.5" thickBot="1" x14ac:dyDescent="0.25">
      <c r="A21" s="2264" t="s">
        <v>659</v>
      </c>
      <c r="B21" s="2264"/>
      <c r="C21" s="2264"/>
      <c r="D21" s="2264"/>
      <c r="E21" s="2264"/>
      <c r="F21" s="1778"/>
      <c r="G21" s="790"/>
      <c r="H21" s="794"/>
      <c r="I21" s="794"/>
      <c r="J21" s="1779">
        <f>SUM(J18:J20)</f>
        <v>0</v>
      </c>
      <c r="K21" s="791"/>
    </row>
    <row r="22" spans="1:11" ht="13.5" thickTop="1" x14ac:dyDescent="0.2">
      <c r="A22" s="2235" t="s">
        <v>1907</v>
      </c>
      <c r="B22" s="2235"/>
      <c r="C22" s="2235"/>
      <c r="D22" s="2235"/>
      <c r="E22" s="2236"/>
      <c r="F22" s="787" t="s">
        <v>917</v>
      </c>
      <c r="G22" s="780"/>
      <c r="H22" s="762"/>
      <c r="I22" s="762"/>
      <c r="J22" s="795"/>
      <c r="K22" s="763"/>
    </row>
    <row r="23" spans="1:11" ht="13.5" thickBot="1" x14ac:dyDescent="0.25">
      <c r="A23" s="2265" t="s">
        <v>962</v>
      </c>
      <c r="B23" s="2264"/>
      <c r="C23" s="2264"/>
      <c r="D23" s="2264"/>
      <c r="E23" s="2264"/>
      <c r="F23" s="1780"/>
      <c r="G23" s="1777">
        <f>SUM(G14:G16,G21,G22)</f>
        <v>0</v>
      </c>
      <c r="H23" s="1777">
        <f>SUM(H14:H16,H21,H22)</f>
        <v>0</v>
      </c>
      <c r="I23" s="1777">
        <f>SUM(I14:I16,I21,I22)</f>
        <v>0</v>
      </c>
      <c r="J23" s="1777">
        <f>SUM(J14:J16,J21,J22)</f>
        <v>0</v>
      </c>
      <c r="K23" s="1777">
        <f>SUM(K14:K16,K21,K22)</f>
        <v>0</v>
      </c>
    </row>
    <row r="24" spans="1:11" ht="14.25" thickTop="1" thickBot="1" x14ac:dyDescent="0.25">
      <c r="A24" s="2265" t="s">
        <v>2010</v>
      </c>
      <c r="B24" s="2264"/>
      <c r="C24" s="2264"/>
      <c r="D24" s="2264"/>
      <c r="E24" s="2264"/>
      <c r="F24" s="1781"/>
      <c r="G24" s="1782">
        <f>SUM(G3,G12)-G23</f>
        <v>0</v>
      </c>
      <c r="H24" s="1782">
        <f>SUM(H3,H12)-H23</f>
        <v>0</v>
      </c>
      <c r="I24" s="1782">
        <f>SUM(I3,I12)-I23</f>
        <v>0</v>
      </c>
      <c r="J24" s="1782">
        <f>SUM(J3,J12)-J23</f>
        <v>0</v>
      </c>
      <c r="K24" s="1782">
        <f>SUM(K3,K12)-K23</f>
        <v>0</v>
      </c>
    </row>
    <row r="25" spans="1:11" ht="13.5" thickTop="1" x14ac:dyDescent="0.2">
      <c r="A25" s="796" t="s">
        <v>440</v>
      </c>
      <c r="B25" s="797"/>
      <c r="C25" s="797"/>
      <c r="D25" s="797"/>
      <c r="E25" s="798"/>
      <c r="F25" s="799">
        <v>714</v>
      </c>
      <c r="G25" s="800"/>
      <c r="H25" s="800"/>
      <c r="I25" s="800"/>
      <c r="J25" s="795"/>
      <c r="K25" s="795"/>
    </row>
    <row r="26" spans="1:11" ht="13.5" thickBot="1" x14ac:dyDescent="0.25">
      <c r="A26" s="796" t="s">
        <v>360</v>
      </c>
      <c r="B26" s="797"/>
      <c r="C26" s="797"/>
      <c r="D26" s="797"/>
      <c r="E26" s="798"/>
      <c r="F26" s="799">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8" t="s">
        <v>2020</v>
      </c>
      <c r="B28" s="1899"/>
      <c r="C28" s="1899"/>
      <c r="D28" s="1899"/>
      <c r="E28" s="1900"/>
      <c r="F28" s="801"/>
      <c r="G28" s="802"/>
    </row>
    <row r="29" spans="1:11" x14ac:dyDescent="0.2">
      <c r="B29" s="498"/>
      <c r="C29" s="498"/>
      <c r="D29" s="498"/>
      <c r="F29" s="202"/>
      <c r="G29" s="803"/>
    </row>
    <row r="30" spans="1:11" x14ac:dyDescent="0.2">
      <c r="A30" s="804" t="s">
        <v>593</v>
      </c>
      <c r="B30" s="805"/>
      <c r="C30" s="804" t="s">
        <v>401</v>
      </c>
      <c r="D30" s="805"/>
      <c r="E30" s="806" t="s">
        <v>792</v>
      </c>
      <c r="F30" s="202"/>
      <c r="G30" s="803"/>
    </row>
    <row r="31" spans="1:11" x14ac:dyDescent="0.2">
      <c r="A31" s="807"/>
      <c r="D31" s="236"/>
      <c r="E31" s="808" t="s">
        <v>793</v>
      </c>
      <c r="F31" s="809" t="s">
        <v>560</v>
      </c>
      <c r="G31" s="762"/>
      <c r="H31" s="2238"/>
      <c r="I31" s="2239"/>
      <c r="J31" s="2239"/>
      <c r="K31" s="2239"/>
    </row>
    <row r="32" spans="1:11" x14ac:dyDescent="0.2">
      <c r="A32" s="807"/>
      <c r="B32" s="236"/>
      <c r="C32" s="236"/>
      <c r="D32" s="236"/>
      <c r="E32" s="803"/>
      <c r="F32" s="809" t="s">
        <v>561</v>
      </c>
      <c r="G32" s="762"/>
      <c r="H32" s="2240"/>
      <c r="I32" s="2239"/>
      <c r="J32" s="2239"/>
      <c r="K32" s="2239"/>
    </row>
    <row r="33" spans="1:11" ht="1.5" customHeight="1" x14ac:dyDescent="0.2">
      <c r="A33" s="810" t="s">
        <v>1231</v>
      </c>
      <c r="B33" s="361"/>
      <c r="C33" s="361"/>
      <c r="D33" s="361"/>
      <c r="E33" s="361"/>
      <c r="F33" s="361"/>
      <c r="G33" s="811"/>
      <c r="H33" s="2240"/>
      <c r="I33" s="2239"/>
      <c r="J33" s="2239"/>
      <c r="K33" s="2239"/>
    </row>
    <row r="34" spans="1:11" x14ac:dyDescent="0.2">
      <c r="A34" s="812" t="s">
        <v>1908</v>
      </c>
      <c r="B34" s="361"/>
      <c r="C34" s="361"/>
      <c r="D34" s="361"/>
      <c r="E34" s="361"/>
      <c r="F34" s="361"/>
      <c r="G34" s="811"/>
    </row>
    <row r="35" spans="1:11" ht="15" x14ac:dyDescent="0.2">
      <c r="A35" s="823" t="s">
        <v>963</v>
      </c>
      <c r="B35" s="813"/>
      <c r="C35" s="813"/>
      <c r="D35" s="813"/>
      <c r="E35" s="813"/>
      <c r="F35" s="813"/>
      <c r="G35" s="814"/>
      <c r="H35" s="815"/>
    </row>
    <row r="36" spans="1:11" x14ac:dyDescent="0.2">
      <c r="A36" s="776" t="s">
        <v>1171</v>
      </c>
      <c r="B36" s="816"/>
      <c r="C36" s="816"/>
      <c r="D36" s="816"/>
      <c r="E36" s="816"/>
      <c r="F36" s="817"/>
      <c r="G36" s="763"/>
    </row>
    <row r="37" spans="1:11" x14ac:dyDescent="0.2">
      <c r="A37" s="818" t="s">
        <v>952</v>
      </c>
      <c r="B37" s="816"/>
      <c r="C37" s="816"/>
      <c r="D37" s="816"/>
      <c r="E37" s="816"/>
      <c r="F37" s="817"/>
      <c r="G37" s="763"/>
    </row>
    <row r="38" spans="1:11" x14ac:dyDescent="0.2">
      <c r="A38" s="818" t="s">
        <v>1050</v>
      </c>
      <c r="B38" s="816"/>
      <c r="C38" s="816"/>
      <c r="D38" s="816"/>
      <c r="E38" s="816"/>
      <c r="F38" s="817"/>
      <c r="G38" s="763"/>
    </row>
    <row r="39" spans="1:11" x14ac:dyDescent="0.2">
      <c r="A39" s="818" t="s">
        <v>1051</v>
      </c>
      <c r="B39" s="816"/>
      <c r="C39" s="816"/>
      <c r="D39" s="816"/>
      <c r="E39" s="816"/>
      <c r="F39" s="817"/>
      <c r="G39" s="763"/>
    </row>
    <row r="40" spans="1:11" x14ac:dyDescent="0.2">
      <c r="A40" s="818" t="s">
        <v>1052</v>
      </c>
      <c r="B40" s="816"/>
      <c r="C40" s="816"/>
      <c r="D40" s="816"/>
      <c r="E40" s="816"/>
      <c r="F40" s="817"/>
      <c r="G40" s="763"/>
    </row>
    <row r="41" spans="1:11" x14ac:dyDescent="0.2">
      <c r="A41" s="2235" t="s">
        <v>562</v>
      </c>
      <c r="B41" s="2248"/>
      <c r="C41" s="2248"/>
      <c r="D41" s="2248"/>
      <c r="E41" s="2248"/>
      <c r="F41" s="2249"/>
      <c r="G41" s="763"/>
    </row>
    <row r="42" spans="1:11" x14ac:dyDescent="0.2">
      <c r="A42" s="818" t="s">
        <v>1027</v>
      </c>
      <c r="B42" s="816"/>
      <c r="C42" s="816"/>
      <c r="D42" s="816"/>
      <c r="E42" s="816"/>
      <c r="F42" s="817"/>
      <c r="G42" s="763"/>
    </row>
    <row r="43" spans="1:11" x14ac:dyDescent="0.2">
      <c r="A43" s="818" t="s">
        <v>1028</v>
      </c>
      <c r="B43" s="816"/>
      <c r="C43" s="816"/>
      <c r="D43" s="816"/>
      <c r="E43" s="816"/>
      <c r="F43" s="817"/>
      <c r="G43" s="763"/>
    </row>
    <row r="44" spans="1:11" x14ac:dyDescent="0.2">
      <c r="A44" s="818" t="s">
        <v>1029</v>
      </c>
      <c r="B44" s="816"/>
      <c r="C44" s="816"/>
      <c r="D44" s="816"/>
      <c r="E44" s="816"/>
      <c r="F44" s="817"/>
      <c r="G44" s="763"/>
    </row>
    <row r="45" spans="1:11" ht="6.75" customHeight="1" x14ac:dyDescent="0.2"/>
    <row r="46" spans="1:11" ht="15" x14ac:dyDescent="0.2">
      <c r="A46" s="1550" t="s">
        <v>1902</v>
      </c>
      <c r="B46" s="405" t="s">
        <v>1760</v>
      </c>
    </row>
    <row r="47" spans="1:11" s="821" customFormat="1" ht="12.75" customHeight="1" x14ac:dyDescent="0.2">
      <c r="A47" s="819"/>
      <c r="B47" s="820" t="s">
        <v>1761</v>
      </c>
      <c r="E47" s="820"/>
      <c r="K47" s="822"/>
    </row>
    <row r="48" spans="1:11" ht="12.75" customHeight="1" x14ac:dyDescent="0.2">
      <c r="A48" s="1551" t="s">
        <v>1903</v>
      </c>
      <c r="B48" s="405"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6" customWidth="1"/>
    <col min="2" max="2" width="5.7109375" style="454" customWidth="1"/>
    <col min="3" max="6" width="12.85546875" style="454" customWidth="1"/>
    <col min="7" max="7" width="6.42578125" style="454" customWidth="1"/>
    <col min="8" max="8" width="14.140625" style="454" customWidth="1"/>
    <col min="9" max="9" width="12.85546875" style="454" customWidth="1"/>
    <col min="10" max="10" width="16.85546875" style="454" customWidth="1"/>
    <col min="11" max="11" width="15.5703125" style="454" customWidth="1"/>
    <col min="12" max="12" width="13.85546875" style="454" customWidth="1"/>
    <col min="13" max="16384" width="9.140625" style="454"/>
  </cols>
  <sheetData>
    <row r="1" spans="1:14" ht="33" customHeight="1" x14ac:dyDescent="0.2">
      <c r="A1" s="2270" t="s">
        <v>2019</v>
      </c>
      <c r="B1" s="2271"/>
      <c r="C1" s="2272"/>
      <c r="D1" s="824"/>
      <c r="E1" s="825"/>
      <c r="F1" s="825"/>
      <c r="G1" s="826"/>
      <c r="H1" s="827"/>
      <c r="I1" s="828"/>
      <c r="J1" s="2268"/>
      <c r="K1" s="2269"/>
      <c r="L1" s="2269"/>
    </row>
    <row r="2" spans="1:14" ht="69.75" customHeight="1" x14ac:dyDescent="0.2">
      <c r="A2" s="829" t="s">
        <v>1763</v>
      </c>
      <c r="B2" s="830" t="s">
        <v>396</v>
      </c>
      <c r="C2" s="831" t="s">
        <v>2014</v>
      </c>
      <c r="D2" s="831" t="s">
        <v>2011</v>
      </c>
      <c r="E2" s="831" t="s">
        <v>2012</v>
      </c>
      <c r="F2" s="831" t="s">
        <v>2013</v>
      </c>
      <c r="G2" s="831" t="s">
        <v>626</v>
      </c>
      <c r="H2" s="831" t="s">
        <v>2015</v>
      </c>
      <c r="I2" s="831" t="s">
        <v>2016</v>
      </c>
      <c r="J2" s="831" t="s">
        <v>2031</v>
      </c>
      <c r="K2" s="831" t="s">
        <v>2017</v>
      </c>
      <c r="L2" s="831" t="s">
        <v>2018</v>
      </c>
      <c r="M2" s="832"/>
      <c r="N2" s="832"/>
    </row>
    <row r="3" spans="1:14" ht="13.5" thickBot="1" x14ac:dyDescent="0.25">
      <c r="A3" s="1648" t="s">
        <v>948</v>
      </c>
      <c r="B3" s="1649">
        <v>210</v>
      </c>
      <c r="C3" s="833"/>
      <c r="D3" s="833"/>
      <c r="E3" s="833"/>
      <c r="F3" s="1779">
        <f>(C3+D3)-E3</f>
        <v>0</v>
      </c>
      <c r="G3" s="834"/>
      <c r="H3" s="833"/>
      <c r="I3" s="833"/>
      <c r="J3" s="833"/>
      <c r="K3" s="1788">
        <f>(H3+I3)-J3</f>
        <v>0</v>
      </c>
      <c r="L3" s="1788">
        <f>F3-K3</f>
        <v>0</v>
      </c>
      <c r="M3" s="832"/>
      <c r="N3" s="832"/>
    </row>
    <row r="4" spans="1:14" ht="15" customHeight="1" thickTop="1" x14ac:dyDescent="0.2">
      <c r="A4" s="1650" t="s">
        <v>160</v>
      </c>
      <c r="B4" s="1649">
        <v>220</v>
      </c>
      <c r="C4" s="779"/>
      <c r="D4" s="779"/>
      <c r="E4" s="779"/>
      <c r="F4" s="771"/>
      <c r="G4" s="835"/>
      <c r="H4" s="836"/>
      <c r="I4" s="836"/>
      <c r="J4" s="836"/>
      <c r="K4" s="837"/>
      <c r="L4" s="771"/>
    </row>
    <row r="5" spans="1:14" ht="13.5" thickBot="1" x14ac:dyDescent="0.25">
      <c r="A5" s="776" t="s">
        <v>949</v>
      </c>
      <c r="B5" s="838">
        <v>221</v>
      </c>
      <c r="C5" s="839"/>
      <c r="D5" s="839"/>
      <c r="E5" s="839"/>
      <c r="F5" s="1779">
        <f>(C5+D5)-E5</f>
        <v>0</v>
      </c>
      <c r="G5" s="835"/>
      <c r="H5" s="840"/>
      <c r="I5" s="840"/>
      <c r="J5" s="840"/>
      <c r="K5" s="791"/>
      <c r="L5" s="1788">
        <f>F5-K5</f>
        <v>0</v>
      </c>
    </row>
    <row r="6" spans="1:14" ht="14.25" thickTop="1" thickBot="1" x14ac:dyDescent="0.25">
      <c r="A6" s="776" t="s">
        <v>1179</v>
      </c>
      <c r="B6" s="838">
        <v>222</v>
      </c>
      <c r="C6" s="763"/>
      <c r="D6" s="763"/>
      <c r="E6" s="763"/>
      <c r="F6" s="1779">
        <f>(C6+D6)-E6</f>
        <v>0</v>
      </c>
      <c r="G6" s="835">
        <v>50</v>
      </c>
      <c r="H6" s="763"/>
      <c r="I6" s="763"/>
      <c r="J6" s="763"/>
      <c r="K6" s="1788">
        <f>(H6+I6)-J6</f>
        <v>0</v>
      </c>
      <c r="L6" s="1788">
        <f>F6-K6</f>
        <v>0</v>
      </c>
    </row>
    <row r="7" spans="1:14" ht="15" customHeight="1" thickTop="1" x14ac:dyDescent="0.2">
      <c r="A7" s="1650" t="s">
        <v>161</v>
      </c>
      <c r="B7" s="1649">
        <v>230</v>
      </c>
      <c r="C7" s="779"/>
      <c r="D7" s="779"/>
      <c r="E7" s="779"/>
      <c r="F7" s="771"/>
      <c r="G7" s="841"/>
      <c r="H7" s="779"/>
      <c r="I7" s="779"/>
      <c r="J7" s="779"/>
      <c r="K7" s="771"/>
      <c r="L7" s="771"/>
    </row>
    <row r="8" spans="1:14" ht="13.5" thickBot="1" x14ac:dyDescent="0.25">
      <c r="A8" s="776" t="s">
        <v>1180</v>
      </c>
      <c r="B8" s="838">
        <v>231</v>
      </c>
      <c r="C8" s="842"/>
      <c r="D8" s="842"/>
      <c r="E8" s="842"/>
      <c r="F8" s="1779">
        <f>(C8+D8)-E8</f>
        <v>0</v>
      </c>
      <c r="G8" s="841">
        <v>50</v>
      </c>
      <c r="H8" s="763"/>
      <c r="I8" s="763"/>
      <c r="J8" s="763"/>
      <c r="K8" s="1788">
        <f>(H8+I8)-J8</f>
        <v>0</v>
      </c>
      <c r="L8" s="1788">
        <f>F8-K8</f>
        <v>0</v>
      </c>
    </row>
    <row r="9" spans="1:14" ht="14.25" thickTop="1" thickBot="1" x14ac:dyDescent="0.25">
      <c r="A9" s="776" t="s">
        <v>1181</v>
      </c>
      <c r="B9" s="838">
        <v>232</v>
      </c>
      <c r="C9" s="763"/>
      <c r="D9" s="763"/>
      <c r="E9" s="763"/>
      <c r="F9" s="1779">
        <f>(C9+D9)-E9</f>
        <v>0</v>
      </c>
      <c r="G9" s="841">
        <v>20</v>
      </c>
      <c r="H9" s="763"/>
      <c r="I9" s="763"/>
      <c r="J9" s="763"/>
      <c r="K9" s="1788">
        <f>(H9+I9)-J9</f>
        <v>0</v>
      </c>
      <c r="L9" s="1788">
        <f>F9-K9</f>
        <v>0</v>
      </c>
    </row>
    <row r="10" spans="1:14" ht="24" thickTop="1" thickBot="1" x14ac:dyDescent="0.25">
      <c r="A10" s="843" t="s">
        <v>1182</v>
      </c>
      <c r="B10" s="838">
        <v>240</v>
      </c>
      <c r="C10" s="844"/>
      <c r="D10" s="844"/>
      <c r="E10" s="844"/>
      <c r="F10" s="1783">
        <f>(C10+D10)-E10</f>
        <v>0</v>
      </c>
      <c r="G10" s="841">
        <v>20</v>
      </c>
      <c r="H10" s="845"/>
      <c r="I10" s="845"/>
      <c r="J10" s="845"/>
      <c r="K10" s="1788">
        <f>(H10+I10)-J10</f>
        <v>0</v>
      </c>
      <c r="L10" s="1788">
        <f>F10-K10</f>
        <v>0</v>
      </c>
    </row>
    <row r="11" spans="1:14" ht="13.5" thickTop="1" x14ac:dyDescent="0.2">
      <c r="A11" s="1651" t="s">
        <v>1198</v>
      </c>
      <c r="B11" s="1649">
        <v>250</v>
      </c>
      <c r="C11" s="779"/>
      <c r="D11" s="779"/>
      <c r="E11" s="779"/>
      <c r="F11" s="771"/>
      <c r="G11" s="841"/>
      <c r="H11" s="779"/>
      <c r="I11" s="779"/>
      <c r="J11" s="779"/>
      <c r="K11" s="771"/>
      <c r="L11" s="771"/>
    </row>
    <row r="12" spans="1:14" ht="13.5" thickBot="1" x14ac:dyDescent="0.25">
      <c r="A12" s="846" t="s">
        <v>1183</v>
      </c>
      <c r="B12" s="838">
        <v>251</v>
      </c>
      <c r="C12" s="842">
        <v>432608</v>
      </c>
      <c r="D12" s="842">
        <v>1876</v>
      </c>
      <c r="E12" s="842"/>
      <c r="F12" s="1779">
        <f>(C12+D12)-E12</f>
        <v>434484</v>
      </c>
      <c r="G12" s="841">
        <v>10</v>
      </c>
      <c r="H12" s="763">
        <v>403241</v>
      </c>
      <c r="I12" s="763">
        <v>7141</v>
      </c>
      <c r="J12" s="763"/>
      <c r="K12" s="1788">
        <f>(H12+I12)-J12</f>
        <v>410382</v>
      </c>
      <c r="L12" s="1788">
        <f>F12-K12</f>
        <v>24102</v>
      </c>
    </row>
    <row r="13" spans="1:14" ht="14.25" thickTop="1" thickBot="1" x14ac:dyDescent="0.25">
      <c r="A13" s="846" t="s">
        <v>1184</v>
      </c>
      <c r="B13" s="838">
        <v>252</v>
      </c>
      <c r="C13" s="842"/>
      <c r="D13" s="842"/>
      <c r="E13" s="842"/>
      <c r="F13" s="1779">
        <f>(C13+D13)-E13</f>
        <v>0</v>
      </c>
      <c r="G13" s="841">
        <v>5</v>
      </c>
      <c r="H13" s="763"/>
      <c r="I13" s="763"/>
      <c r="J13" s="763"/>
      <c r="K13" s="1788">
        <f>(H13+I13)-J13</f>
        <v>0</v>
      </c>
      <c r="L13" s="1788">
        <f>F13-K13</f>
        <v>0</v>
      </c>
    </row>
    <row r="14" spans="1:14" ht="14.25" thickTop="1" thickBot="1" x14ac:dyDescent="0.25">
      <c r="A14" s="846" t="s">
        <v>1185</v>
      </c>
      <c r="B14" s="838">
        <v>253</v>
      </c>
      <c r="C14" s="763">
        <v>11371</v>
      </c>
      <c r="D14" s="763">
        <v>816</v>
      </c>
      <c r="E14" s="763"/>
      <c r="F14" s="1779">
        <f>(C14+D14)-E14</f>
        <v>12187</v>
      </c>
      <c r="G14" s="841">
        <v>3</v>
      </c>
      <c r="H14" s="763">
        <v>7463</v>
      </c>
      <c r="I14" s="763">
        <v>4062</v>
      </c>
      <c r="J14" s="763"/>
      <c r="K14" s="1788">
        <f>(H14+I14)-J14</f>
        <v>11525</v>
      </c>
      <c r="L14" s="1788">
        <f>F14-K14</f>
        <v>662</v>
      </c>
    </row>
    <row r="15" spans="1:14" ht="15" customHeight="1" thickTop="1" thickBot="1" x14ac:dyDescent="0.25">
      <c r="A15" s="1650" t="s">
        <v>549</v>
      </c>
      <c r="B15" s="1649">
        <v>260</v>
      </c>
      <c r="C15" s="842"/>
      <c r="D15" s="842"/>
      <c r="E15" s="842"/>
      <c r="F15" s="1779">
        <f>(C15+D15)-E15</f>
        <v>0</v>
      </c>
      <c r="G15" s="847" t="s">
        <v>917</v>
      </c>
      <c r="H15" s="779"/>
      <c r="I15" s="779"/>
      <c r="J15" s="779"/>
      <c r="K15" s="779"/>
      <c r="L15" s="1788">
        <f>F15-K15</f>
        <v>0</v>
      </c>
    </row>
    <row r="16" spans="1:14" ht="15" customHeight="1" thickTop="1" thickBot="1" x14ac:dyDescent="0.25">
      <c r="A16" s="1784" t="s">
        <v>664</v>
      </c>
      <c r="B16" s="1785">
        <v>200</v>
      </c>
      <c r="C16" s="1779">
        <f>SUM(C3,C5:C6,C8:C10,C12:C15)</f>
        <v>443979</v>
      </c>
      <c r="D16" s="1779">
        <f>SUM(D3,D5:D6,D8:D10,D12:D15)</f>
        <v>2692</v>
      </c>
      <c r="E16" s="1779">
        <f>SUM(E3,E5:E6,E8:E10,E12:E15)</f>
        <v>0</v>
      </c>
      <c r="F16" s="1779">
        <f>SUM(F3,F5:F6,F8:F10,F12:F15)</f>
        <v>446671</v>
      </c>
      <c r="G16" s="841"/>
      <c r="H16" s="1779">
        <f>SUM(H3,H6,H8:H10,H12:H14,)</f>
        <v>410704</v>
      </c>
      <c r="I16" s="1779">
        <f>SUM(I3,I6,I8:I10,I12:I14,)</f>
        <v>11203</v>
      </c>
      <c r="J16" s="1779">
        <f>SUM(J3,J6,J8:J10,J12:J14,)</f>
        <v>0</v>
      </c>
      <c r="K16" s="1779">
        <f>(H16+I16)-J16</f>
        <v>421907</v>
      </c>
      <c r="L16" s="1779">
        <f>F16-K16</f>
        <v>24764</v>
      </c>
    </row>
    <row r="17" spans="1:12" ht="15" customHeight="1" thickTop="1" thickBot="1" x14ac:dyDescent="0.25">
      <c r="A17" s="1652" t="s">
        <v>309</v>
      </c>
      <c r="B17" s="1649">
        <v>700</v>
      </c>
      <c r="C17" s="767"/>
      <c r="D17" s="767"/>
      <c r="E17" s="767"/>
      <c r="F17" s="1779">
        <f>SUM('Expenditures 15-22'!I114,'Expenditures 15-22'!I151,'Expenditures 15-22'!I210,'Expenditures 15-22'!I312,'Expenditures 15-22'!I342,'Expenditures 15-22'!I367)</f>
        <v>0</v>
      </c>
      <c r="G17" s="835">
        <v>10</v>
      </c>
      <c r="H17" s="767"/>
      <c r="I17" s="1788">
        <f>F17/G17</f>
        <v>0</v>
      </c>
      <c r="J17" s="767"/>
      <c r="K17" s="793"/>
      <c r="L17" s="793"/>
    </row>
    <row r="18" spans="1:12" ht="14.25" thickTop="1" thickBot="1" x14ac:dyDescent="0.25">
      <c r="A18" s="1786" t="s">
        <v>706</v>
      </c>
      <c r="B18" s="1787"/>
      <c r="C18" s="769"/>
      <c r="D18" s="769"/>
      <c r="E18" s="769"/>
      <c r="F18" s="848"/>
      <c r="G18" s="849"/>
      <c r="H18" s="771"/>
      <c r="I18" s="1779">
        <f>SUM(I16,I17)</f>
        <v>11203</v>
      </c>
      <c r="J18" s="771"/>
      <c r="K18" s="771"/>
      <c r="L18" s="771"/>
    </row>
    <row r="19" spans="1:12" ht="12" customHeight="1" thickTop="1" x14ac:dyDescent="0.2">
      <c r="F19" s="500"/>
      <c r="L19" s="500"/>
    </row>
    <row r="20" spans="1:12" ht="12" customHeight="1" x14ac:dyDescent="0.2">
      <c r="A20" s="850"/>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1"/>
      <c r="B23" s="498"/>
      <c r="F23" s="500"/>
      <c r="L23" s="500"/>
    </row>
    <row r="24" spans="1:12" ht="12" customHeight="1" x14ac:dyDescent="0.2">
      <c r="B24" s="498"/>
      <c r="F24" s="500"/>
      <c r="L24" s="500"/>
    </row>
    <row r="25" spans="1:12" x14ac:dyDescent="0.2">
      <c r="F25" s="500"/>
      <c r="L25" s="500"/>
    </row>
    <row r="26" spans="1:12" ht="10.9" customHeight="1" x14ac:dyDescent="0.2">
      <c r="A26" s="852"/>
      <c r="B26" s="246"/>
      <c r="D26" s="344"/>
    </row>
    <row r="27" spans="1:12" x14ac:dyDescent="0.2">
      <c r="A27" s="852"/>
      <c r="B27" s="246"/>
      <c r="D27" s="344"/>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76" t="s">
        <v>1699</v>
      </c>
      <c r="B1" s="2277"/>
      <c r="C1" s="2277"/>
      <c r="D1" s="2277"/>
      <c r="E1" s="2277"/>
      <c r="F1" s="2278"/>
      <c r="G1" s="853"/>
    </row>
    <row r="2" spans="1:7" ht="15" customHeight="1" thickBot="1" x14ac:dyDescent="0.25">
      <c r="A2" s="2279" t="s">
        <v>498</v>
      </c>
      <c r="B2" s="2280"/>
      <c r="C2" s="2280"/>
      <c r="D2" s="2280"/>
      <c r="E2" s="2280"/>
      <c r="F2" s="2281"/>
      <c r="G2" s="855"/>
    </row>
    <row r="3" spans="1:7" ht="5.25" customHeight="1" thickTop="1" x14ac:dyDescent="0.2">
      <c r="A3" s="856"/>
      <c r="B3" s="857"/>
      <c r="C3" s="858"/>
      <c r="D3" s="857"/>
      <c r="E3" s="858"/>
      <c r="F3" s="857"/>
      <c r="G3" s="857"/>
    </row>
    <row r="4" spans="1:7" ht="12.2" customHeight="1" x14ac:dyDescent="0.2">
      <c r="A4" s="859" t="s">
        <v>1137</v>
      </c>
      <c r="B4" s="860" t="s">
        <v>117</v>
      </c>
      <c r="D4" s="862" t="s">
        <v>532</v>
      </c>
      <c r="F4" s="860"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3"/>
    </row>
    <row r="7" spans="1:7" s="863" customFormat="1" ht="12" thickTop="1" x14ac:dyDescent="0.2">
      <c r="A7" s="864" t="s">
        <v>523</v>
      </c>
      <c r="B7" s="865"/>
      <c r="C7" s="866"/>
      <c r="D7" s="865"/>
      <c r="E7" s="866"/>
      <c r="F7" s="865"/>
    </row>
    <row r="8" spans="1:7" x14ac:dyDescent="0.2">
      <c r="A8" s="867" t="s">
        <v>479</v>
      </c>
      <c r="B8" s="868" t="s">
        <v>1544</v>
      </c>
      <c r="C8" s="869"/>
      <c r="D8" s="867" t="s">
        <v>522</v>
      </c>
      <c r="E8" s="866" t="s">
        <v>1015</v>
      </c>
      <c r="F8" s="1927">
        <f>'Expenditures 15-22'!K114</f>
        <v>710892</v>
      </c>
      <c r="G8" s="863"/>
    </row>
    <row r="9" spans="1:7" x14ac:dyDescent="0.2">
      <c r="A9" s="867" t="s">
        <v>480</v>
      </c>
      <c r="B9" s="868" t="s">
        <v>1974</v>
      </c>
      <c r="C9" s="869"/>
      <c r="D9" s="867" t="s">
        <v>522</v>
      </c>
      <c r="E9" s="866"/>
      <c r="F9" s="1928">
        <f>'Expenditures 15-22'!K151</f>
        <v>0</v>
      </c>
      <c r="G9" s="870"/>
    </row>
    <row r="10" spans="1:7" x14ac:dyDescent="0.2">
      <c r="A10" s="867" t="s">
        <v>520</v>
      </c>
      <c r="B10" s="868" t="s">
        <v>1975</v>
      </c>
      <c r="C10" s="869"/>
      <c r="D10" s="867" t="s">
        <v>522</v>
      </c>
      <c r="E10" s="866"/>
      <c r="F10" s="1928">
        <f>'Expenditures 15-22'!K174</f>
        <v>0</v>
      </c>
      <c r="G10" s="870"/>
    </row>
    <row r="11" spans="1:7" x14ac:dyDescent="0.2">
      <c r="A11" s="867" t="s">
        <v>481</v>
      </c>
      <c r="B11" s="868" t="s">
        <v>1976</v>
      </c>
      <c r="C11" s="869"/>
      <c r="D11" s="867" t="s">
        <v>522</v>
      </c>
      <c r="E11" s="866"/>
      <c r="F11" s="1928">
        <f>'Expenditures 15-22'!K210</f>
        <v>0</v>
      </c>
      <c r="G11" s="870"/>
    </row>
    <row r="12" spans="1:7" x14ac:dyDescent="0.2">
      <c r="A12" s="867" t="s">
        <v>482</v>
      </c>
      <c r="B12" s="868" t="s">
        <v>1977</v>
      </c>
      <c r="C12" s="869"/>
      <c r="D12" s="867" t="s">
        <v>522</v>
      </c>
      <c r="E12" s="866"/>
      <c r="F12" s="1928">
        <f>'Expenditures 15-22'!K295</f>
        <v>0</v>
      </c>
      <c r="G12" s="870"/>
    </row>
    <row r="13" spans="1:7" x14ac:dyDescent="0.2">
      <c r="A13" s="867" t="s">
        <v>108</v>
      </c>
      <c r="B13" s="868" t="s">
        <v>1978</v>
      </c>
      <c r="C13" s="869"/>
      <c r="D13" s="867" t="s">
        <v>522</v>
      </c>
      <c r="E13" s="866"/>
      <c r="F13" s="1928">
        <f>'Expenditures 15-22'!K342</f>
        <v>0</v>
      </c>
      <c r="G13" s="871"/>
    </row>
    <row r="14" spans="1:7" ht="12" customHeight="1" thickBot="1" x14ac:dyDescent="0.25">
      <c r="A14" s="1789"/>
      <c r="B14" s="1790"/>
      <c r="C14" s="1791"/>
      <c r="D14" s="1792" t="s">
        <v>522</v>
      </c>
      <c r="E14" s="1793" t="s">
        <v>1015</v>
      </c>
      <c r="F14" s="1794">
        <f>SUM(F8:F13)</f>
        <v>710892</v>
      </c>
      <c r="G14" s="863"/>
    </row>
    <row r="15" spans="1:7" ht="3.75" customHeight="1" thickTop="1" x14ac:dyDescent="0.2">
      <c r="A15" s="863"/>
      <c r="B15" s="863"/>
      <c r="C15" s="869"/>
      <c r="D15" s="863"/>
      <c r="E15" s="866"/>
      <c r="F15" s="863"/>
      <c r="G15" s="863"/>
    </row>
    <row r="16" spans="1:7" ht="12" customHeight="1" x14ac:dyDescent="0.2">
      <c r="A16" s="872" t="s">
        <v>533</v>
      </c>
      <c r="B16" s="230"/>
      <c r="C16" s="230"/>
      <c r="D16" s="865"/>
      <c r="E16" s="866"/>
      <c r="F16" s="865"/>
      <c r="G16" s="863"/>
    </row>
    <row r="17" spans="1:7" ht="4.5" customHeight="1" x14ac:dyDescent="0.2">
      <c r="A17" s="872"/>
      <c r="B17" s="230"/>
      <c r="C17" s="230"/>
      <c r="D17" s="865"/>
      <c r="E17" s="866"/>
      <c r="F17" s="865"/>
      <c r="G17" s="863"/>
    </row>
    <row r="18" spans="1:7" x14ac:dyDescent="0.2">
      <c r="A18" s="867" t="s">
        <v>481</v>
      </c>
      <c r="B18" s="868" t="s">
        <v>1068</v>
      </c>
      <c r="C18" s="873">
        <f>'Revenues 9-14'!B43</f>
        <v>1412</v>
      </c>
      <c r="D18" s="874" t="str">
        <f>'Revenues 9-14'!A43</f>
        <v>Regular - Transp Fees from Other Districts (In State)</v>
      </c>
      <c r="E18" s="866" t="s">
        <v>1015</v>
      </c>
      <c r="F18" s="1929">
        <f>'Revenues 9-14'!F43</f>
        <v>0</v>
      </c>
      <c r="G18" s="863"/>
    </row>
    <row r="19" spans="1:7" x14ac:dyDescent="0.2">
      <c r="A19" s="867" t="s">
        <v>481</v>
      </c>
      <c r="B19" s="868" t="s">
        <v>1069</v>
      </c>
      <c r="C19" s="875">
        <f>'Revenues 9-14'!B47</f>
        <v>1421</v>
      </c>
      <c r="D19" s="876" t="str">
        <f>'Revenues 9-14'!A47</f>
        <v>Summer Sch - Transp. Fees from Pupils or Parents (In State)</v>
      </c>
      <c r="E19" s="877"/>
      <c r="F19" s="1930">
        <f>'Revenues 9-14'!F47</f>
        <v>0</v>
      </c>
      <c r="G19" s="863"/>
    </row>
    <row r="20" spans="1:7" x14ac:dyDescent="0.2">
      <c r="A20" s="867" t="s">
        <v>481</v>
      </c>
      <c r="B20" s="868" t="s">
        <v>1070</v>
      </c>
      <c r="C20" s="873">
        <f>'Revenues 9-14'!B48</f>
        <v>1422</v>
      </c>
      <c r="D20" s="874" t="str">
        <f>'Revenues 9-14'!A48</f>
        <v>Summer Sch - Transp. Fees from Other Districts (In State)</v>
      </c>
      <c r="E20" s="866"/>
      <c r="F20" s="1931">
        <f>'Revenues 9-14'!F48</f>
        <v>0</v>
      </c>
      <c r="G20" s="863"/>
    </row>
    <row r="21" spans="1:7" x14ac:dyDescent="0.2">
      <c r="A21" s="867" t="s">
        <v>481</v>
      </c>
      <c r="B21" s="868" t="s">
        <v>1071</v>
      </c>
      <c r="C21" s="875">
        <f>'Revenues 9-14'!B49</f>
        <v>1423</v>
      </c>
      <c r="D21" s="874" t="str">
        <f>'Revenues 9-14'!A49</f>
        <v>Summer Sch - Transp. Fees from Other Sources (In State)</v>
      </c>
      <c r="E21" s="866"/>
      <c r="F21" s="1932">
        <f>'Revenues 9-14'!F49</f>
        <v>0</v>
      </c>
      <c r="G21" s="863"/>
    </row>
    <row r="22" spans="1:7" x14ac:dyDescent="0.2">
      <c r="A22" s="867" t="s">
        <v>481</v>
      </c>
      <c r="B22" s="868" t="s">
        <v>1072</v>
      </c>
      <c r="C22" s="875">
        <f>'Revenues 9-14'!B50</f>
        <v>1424</v>
      </c>
      <c r="D22" s="874" t="str">
        <f>'Revenues 9-14'!A50</f>
        <v>Summer Sch - Transp. Fees from Other Sources (Out of State)</v>
      </c>
      <c r="E22" s="866"/>
      <c r="F22" s="1932">
        <f>'Revenues 9-14'!F50</f>
        <v>0</v>
      </c>
      <c r="G22" s="863"/>
    </row>
    <row r="23" spans="1:7" x14ac:dyDescent="0.2">
      <c r="A23" s="867" t="s">
        <v>481</v>
      </c>
      <c r="B23" s="868" t="s">
        <v>1073</v>
      </c>
      <c r="C23" s="873">
        <f>'Revenues 9-14'!B52</f>
        <v>1432</v>
      </c>
      <c r="D23" s="874" t="str">
        <f>'Revenues 9-14'!A52</f>
        <v>CTE - Transp Fees from Other Districts (In State)</v>
      </c>
      <c r="E23" s="866"/>
      <c r="F23" s="1932">
        <f>'Revenues 9-14'!F52</f>
        <v>0</v>
      </c>
      <c r="G23" s="863"/>
    </row>
    <row r="24" spans="1:7" x14ac:dyDescent="0.2">
      <c r="A24" s="867" t="s">
        <v>481</v>
      </c>
      <c r="B24" s="868" t="s">
        <v>1074</v>
      </c>
      <c r="C24" s="873">
        <f>'Revenues 9-14'!B56</f>
        <v>1442</v>
      </c>
      <c r="D24" s="874" t="str">
        <f>'Revenues 9-14'!A56</f>
        <v>Special Ed - Transp Fees from Other Districts (In State)</v>
      </c>
      <c r="E24" s="866"/>
      <c r="F24" s="1932">
        <f>'Revenues 9-14'!F56</f>
        <v>0</v>
      </c>
      <c r="G24" s="863"/>
    </row>
    <row r="25" spans="1:7" x14ac:dyDescent="0.2">
      <c r="A25" s="867" t="s">
        <v>481</v>
      </c>
      <c r="B25" s="868" t="s">
        <v>1075</v>
      </c>
      <c r="C25" s="873">
        <f>'Revenues 9-14'!B59</f>
        <v>1451</v>
      </c>
      <c r="D25" s="874" t="str">
        <f>'Revenues 9-14'!A59</f>
        <v>Adult - Transp Fees from Pupils or Parents (In State)</v>
      </c>
      <c r="E25" s="866"/>
      <c r="F25" s="1932">
        <f>'Revenues 9-14'!F59</f>
        <v>0</v>
      </c>
      <c r="G25" s="863"/>
    </row>
    <row r="26" spans="1:7" x14ac:dyDescent="0.2">
      <c r="A26" s="867" t="s">
        <v>481</v>
      </c>
      <c r="B26" s="868" t="s">
        <v>1076</v>
      </c>
      <c r="C26" s="873">
        <f>'Revenues 9-14'!B60</f>
        <v>1452</v>
      </c>
      <c r="D26" s="874" t="str">
        <f>'Revenues 9-14'!A60</f>
        <v>Adult - Transp Fees from Other Districts (In State)</v>
      </c>
      <c r="E26" s="866"/>
      <c r="F26" s="1932">
        <f>'Revenues 9-14'!F60</f>
        <v>0</v>
      </c>
      <c r="G26" s="863"/>
    </row>
    <row r="27" spans="1:7" x14ac:dyDescent="0.2">
      <c r="A27" s="867" t="s">
        <v>481</v>
      </c>
      <c r="B27" s="868" t="s">
        <v>1077</v>
      </c>
      <c r="C27" s="873">
        <f>'Revenues 9-14'!B61</f>
        <v>1453</v>
      </c>
      <c r="D27" s="874" t="str">
        <f>'Revenues 9-14'!A61</f>
        <v>Adult - Transp Fees from Other Sources (In State)</v>
      </c>
      <c r="E27" s="866"/>
      <c r="F27" s="1932">
        <f>'Revenues 9-14'!F61</f>
        <v>0</v>
      </c>
      <c r="G27" s="863"/>
    </row>
    <row r="28" spans="1:7" x14ac:dyDescent="0.2">
      <c r="A28" s="867" t="s">
        <v>481</v>
      </c>
      <c r="B28" s="868" t="s">
        <v>1078</v>
      </c>
      <c r="C28" s="873">
        <f>'Revenues 9-14'!B62</f>
        <v>1454</v>
      </c>
      <c r="D28" s="874" t="str">
        <f>'Revenues 9-14'!A62</f>
        <v>Adult - Transp Fees from Other Sources (Out of State)</v>
      </c>
      <c r="E28" s="866"/>
      <c r="F28" s="1932">
        <f>'Revenues 9-14'!F62</f>
        <v>0</v>
      </c>
      <c r="G28" s="863"/>
    </row>
    <row r="29" spans="1:7" x14ac:dyDescent="0.2">
      <c r="A29" s="867" t="s">
        <v>1159</v>
      </c>
      <c r="B29" s="868" t="s">
        <v>1683</v>
      </c>
      <c r="C29" s="878">
        <f>'Revenues 9-14'!B148</f>
        <v>3410</v>
      </c>
      <c r="D29" s="879" t="str">
        <f>'Revenues 9-14'!A148</f>
        <v>Adult Ed (from ICCB)</v>
      </c>
      <c r="E29" s="866"/>
      <c r="F29" s="1932">
        <f>SUM('Revenues 9-14'!D148,F149)</f>
        <v>0</v>
      </c>
      <c r="G29" s="863"/>
    </row>
    <row r="30" spans="1:7" x14ac:dyDescent="0.2">
      <c r="A30" s="867" t="s">
        <v>1159</v>
      </c>
      <c r="B30" s="868" t="s">
        <v>861</v>
      </c>
      <c r="C30" s="878">
        <f>'Revenues 9-14'!B149</f>
        <v>3499</v>
      </c>
      <c r="D30" s="879" t="str">
        <f>'Revenues 9-14'!A149</f>
        <v>Adult Ed - Other (Describe &amp; Itemize)</v>
      </c>
      <c r="E30" s="866"/>
      <c r="F30" s="1933">
        <f>('Revenues 9-14'!D149+'Revenues 9-14'!F149)</f>
        <v>0</v>
      </c>
      <c r="G30" s="863"/>
    </row>
    <row r="31" spans="1:7" x14ac:dyDescent="0.2">
      <c r="A31" s="867" t="s">
        <v>1159</v>
      </c>
      <c r="B31" s="868" t="s">
        <v>862</v>
      </c>
      <c r="C31" s="873">
        <f>'Revenues 9-14'!B218</f>
        <v>4600</v>
      </c>
      <c r="D31" s="881" t="str">
        <f>'Revenues 9-14'!A218</f>
        <v>Fed - Spec Education - Preschool Flow-Through</v>
      </c>
      <c r="E31" s="882"/>
      <c r="F31" s="1932">
        <f>SUM('Revenues 9-14'!D218,'Revenues 9-14'!F218)</f>
        <v>0</v>
      </c>
      <c r="G31" s="863"/>
    </row>
    <row r="32" spans="1:7" x14ac:dyDescent="0.2">
      <c r="A32" s="867" t="s">
        <v>1159</v>
      </c>
      <c r="B32" s="868" t="s">
        <v>800</v>
      </c>
      <c r="C32" s="873">
        <f>'Revenues 9-14'!B219</f>
        <v>4605</v>
      </c>
      <c r="D32" s="883" t="str">
        <f>'Revenues 9-14'!A219</f>
        <v>Fed - Spec Education - Preschool Discretionary</v>
      </c>
      <c r="E32" s="882"/>
      <c r="F32" s="1932">
        <f>SUM('Revenues 9-14'!D219,'Revenues 9-14'!F219)</f>
        <v>0</v>
      </c>
      <c r="G32" s="863"/>
    </row>
    <row r="33" spans="1:7" x14ac:dyDescent="0.2">
      <c r="A33" s="867" t="s">
        <v>480</v>
      </c>
      <c r="B33" s="868" t="s">
        <v>801</v>
      </c>
      <c r="C33" s="873">
        <f>'Revenues 9-14'!B229</f>
        <v>4810</v>
      </c>
      <c r="D33" s="881" t="str">
        <f>'Revenues 9-14'!A229</f>
        <v>Federal - Adult Education</v>
      </c>
      <c r="E33" s="866"/>
      <c r="F33" s="1932">
        <f>'Revenues 9-14'!D229</f>
        <v>0</v>
      </c>
      <c r="G33" s="863"/>
    </row>
    <row r="34" spans="1:7" x14ac:dyDescent="0.2">
      <c r="A34" s="867" t="s">
        <v>479</v>
      </c>
      <c r="B34" s="867" t="s">
        <v>1545</v>
      </c>
      <c r="C34" s="884" t="str">
        <f>'Expenditures 15-22'!B7</f>
        <v>1125</v>
      </c>
      <c r="D34" s="885" t="str">
        <f>'Expenditures 15-22'!A7</f>
        <v>Pre-K Programs</v>
      </c>
      <c r="E34" s="866"/>
      <c r="F34" s="1932">
        <f>'Expenditures 15-22'!K7-SUM('Expenditures 15-22'!G7,'Expenditures 15-22'!I7)</f>
        <v>0</v>
      </c>
      <c r="G34" s="863"/>
    </row>
    <row r="35" spans="1:7" x14ac:dyDescent="0.2">
      <c r="A35" s="867" t="s">
        <v>479</v>
      </c>
      <c r="B35" s="867" t="s">
        <v>1546</v>
      </c>
      <c r="C35" s="884" t="str">
        <f>'Expenditures 15-22'!B9</f>
        <v>1225</v>
      </c>
      <c r="D35" s="885" t="str">
        <f>'Expenditures 15-22'!A9</f>
        <v>Special Education Programs Pre-K</v>
      </c>
      <c r="E35" s="866"/>
      <c r="F35" s="1932">
        <f>'Expenditures 15-22'!K9-SUM('Expenditures 15-22'!G9+'Expenditures 15-22'!I9)</f>
        <v>0</v>
      </c>
      <c r="G35" s="863"/>
    </row>
    <row r="36" spans="1:7" x14ac:dyDescent="0.2">
      <c r="A36" s="867" t="s">
        <v>479</v>
      </c>
      <c r="B36" s="867" t="s">
        <v>118</v>
      </c>
      <c r="C36" s="884" t="str">
        <f>'Expenditures 15-22'!B11</f>
        <v>1275</v>
      </c>
      <c r="D36" s="885" t="str">
        <f>'Expenditures 15-22'!A11</f>
        <v>Remedial and Supplemental Programs Pre-K</v>
      </c>
      <c r="E36" s="866"/>
      <c r="F36" s="1932">
        <f>'Expenditures 15-22'!K11-SUM('Expenditures 15-22'!G11,'Expenditures 15-22'!I11)</f>
        <v>0</v>
      </c>
      <c r="G36" s="863"/>
    </row>
    <row r="37" spans="1:7" x14ac:dyDescent="0.2">
      <c r="A37" s="867" t="s">
        <v>479</v>
      </c>
      <c r="B37" s="867" t="s">
        <v>1547</v>
      </c>
      <c r="C37" s="884">
        <f>'Expenditures 15-22'!B12</f>
        <v>1300</v>
      </c>
      <c r="D37" s="886" t="str">
        <f>'Expenditures 15-22'!A12</f>
        <v>Adult/Continuing Education Programs</v>
      </c>
      <c r="E37" s="866"/>
      <c r="F37" s="1932">
        <f>'Expenditures 15-22'!K12-SUM('Expenditures 15-22'!G12+'Expenditures 15-22'!I12)</f>
        <v>1581</v>
      </c>
      <c r="G37" s="863"/>
    </row>
    <row r="38" spans="1:7" x14ac:dyDescent="0.2">
      <c r="A38" s="867" t="s">
        <v>479</v>
      </c>
      <c r="B38" s="867" t="s">
        <v>1548</v>
      </c>
      <c r="C38" s="884">
        <f>'Expenditures 15-22'!B15</f>
        <v>1600</v>
      </c>
      <c r="D38" s="886" t="str">
        <f>'Expenditures 15-22'!A15</f>
        <v>Summer School Programs</v>
      </c>
      <c r="E38" s="866"/>
      <c r="F38" s="1932">
        <f>'Expenditures 15-22'!K15-SUM('Expenditures 15-22'!G15,'Expenditures 15-22'!I15)</f>
        <v>0</v>
      </c>
      <c r="G38" s="863"/>
    </row>
    <row r="39" spans="1:7" x14ac:dyDescent="0.2">
      <c r="A39" s="867" t="s">
        <v>479</v>
      </c>
      <c r="B39" s="867" t="s">
        <v>119</v>
      </c>
      <c r="C39" s="884" t="str">
        <f>'Expenditures 15-22'!B20</f>
        <v>1910</v>
      </c>
      <c r="D39" s="886" t="str">
        <f>'Expenditures 15-22'!A20</f>
        <v>Pre-K Programs - Private Tuition</v>
      </c>
      <c r="E39" s="866"/>
      <c r="F39" s="1932">
        <f>'Expenditures 15-22'!K20</f>
        <v>0</v>
      </c>
      <c r="G39" s="863"/>
    </row>
    <row r="40" spans="1:7" x14ac:dyDescent="0.2">
      <c r="A40" s="867" t="s">
        <v>479</v>
      </c>
      <c r="B40" s="867" t="s">
        <v>120</v>
      </c>
      <c r="C40" s="884" t="str">
        <f>'Expenditures 15-22'!B21</f>
        <v>1911</v>
      </c>
      <c r="D40" s="886" t="str">
        <f>'Expenditures 15-22'!A21</f>
        <v>Regular K-12 Programs - Private Tuition</v>
      </c>
      <c r="E40" s="866"/>
      <c r="F40" s="1932">
        <f>'Expenditures 15-22'!K21</f>
        <v>0</v>
      </c>
      <c r="G40" s="863"/>
    </row>
    <row r="41" spans="1:7" x14ac:dyDescent="0.2">
      <c r="A41" s="867" t="s">
        <v>479</v>
      </c>
      <c r="B41" s="867" t="s">
        <v>121</v>
      </c>
      <c r="C41" s="884" t="str">
        <f>'Expenditures 15-22'!B22</f>
        <v>1912</v>
      </c>
      <c r="D41" s="886" t="str">
        <f>'Expenditures 15-22'!A22</f>
        <v>Special Education Programs K-12 - Private Tuition</v>
      </c>
      <c r="E41" s="866"/>
      <c r="F41" s="1932">
        <f>'Expenditures 15-22'!K22</f>
        <v>0</v>
      </c>
      <c r="G41" s="863"/>
    </row>
    <row r="42" spans="1:7" x14ac:dyDescent="0.2">
      <c r="A42" s="867" t="s">
        <v>479</v>
      </c>
      <c r="B42" s="867" t="s">
        <v>122</v>
      </c>
      <c r="C42" s="887" t="str">
        <f>'Expenditures 15-22'!B23</f>
        <v>1913</v>
      </c>
      <c r="D42" s="886" t="str">
        <f>'Expenditures 15-22'!A23</f>
        <v>Special Education Programs Pre-K - Tuition</v>
      </c>
      <c r="E42" s="866"/>
      <c r="F42" s="1932">
        <f>'Expenditures 15-22'!K23</f>
        <v>0</v>
      </c>
      <c r="G42" s="863"/>
    </row>
    <row r="43" spans="1:7" x14ac:dyDescent="0.2">
      <c r="A43" s="867" t="s">
        <v>479</v>
      </c>
      <c r="B43" s="867" t="s">
        <v>123</v>
      </c>
      <c r="C43" s="884" t="str">
        <f>'Expenditures 15-22'!B24</f>
        <v>1914</v>
      </c>
      <c r="D43" s="886" t="str">
        <f>'Expenditures 15-22'!A24</f>
        <v>Remedial/Supplemental Programs K-12 - Private Tuition</v>
      </c>
      <c r="E43" s="866"/>
      <c r="F43" s="1932">
        <f>'Expenditures 15-22'!K24</f>
        <v>0</v>
      </c>
      <c r="G43" s="863"/>
    </row>
    <row r="44" spans="1:7" x14ac:dyDescent="0.2">
      <c r="A44" s="867" t="s">
        <v>479</v>
      </c>
      <c r="B44" s="867" t="s">
        <v>124</v>
      </c>
      <c r="C44" s="887" t="str">
        <f>'Expenditures 15-22'!B25</f>
        <v>1915</v>
      </c>
      <c r="D44" s="886" t="str">
        <f>'Expenditures 15-22'!A25</f>
        <v>Remedial/Supplemental Programs Pre-K - Private Tuition</v>
      </c>
      <c r="E44" s="866"/>
      <c r="F44" s="1932">
        <f>'Expenditures 15-22'!K25</f>
        <v>0</v>
      </c>
      <c r="G44" s="863"/>
    </row>
    <row r="45" spans="1:7" x14ac:dyDescent="0.2">
      <c r="A45" s="867" t="s">
        <v>479</v>
      </c>
      <c r="B45" s="867" t="s">
        <v>125</v>
      </c>
      <c r="C45" s="887" t="str">
        <f>'Expenditures 15-22'!B26</f>
        <v>1916</v>
      </c>
      <c r="D45" s="886" t="str">
        <f>'Expenditures 15-22'!A26</f>
        <v>Adult/Continuing Education Programs - Private Tuition</v>
      </c>
      <c r="E45" s="866"/>
      <c r="F45" s="1932">
        <f>'Expenditures 15-22'!K26</f>
        <v>0</v>
      </c>
      <c r="G45" s="863"/>
    </row>
    <row r="46" spans="1:7" x14ac:dyDescent="0.2">
      <c r="A46" s="867" t="s">
        <v>479</v>
      </c>
      <c r="B46" s="867" t="s">
        <v>126</v>
      </c>
      <c r="C46" s="884" t="str">
        <f>'Expenditures 15-22'!B27</f>
        <v>1917</v>
      </c>
      <c r="D46" s="886" t="str">
        <f>'Expenditures 15-22'!A27</f>
        <v>CTE Programs - Private Tuition</v>
      </c>
      <c r="E46" s="866"/>
      <c r="F46" s="1932">
        <f>'Expenditures 15-22'!K27</f>
        <v>0</v>
      </c>
      <c r="G46" s="863"/>
    </row>
    <row r="47" spans="1:7" x14ac:dyDescent="0.2">
      <c r="A47" s="867" t="s">
        <v>479</v>
      </c>
      <c r="B47" s="867" t="s">
        <v>127</v>
      </c>
      <c r="C47" s="888" t="str">
        <f>'Expenditures 15-22'!B28</f>
        <v>1918</v>
      </c>
      <c r="D47" s="889" t="str">
        <f>'Expenditures 15-22'!A28</f>
        <v>Interscholastic Programs - Private Tuition</v>
      </c>
      <c r="E47" s="866"/>
      <c r="F47" s="1932">
        <f>'Expenditures 15-22'!K28</f>
        <v>0</v>
      </c>
      <c r="G47" s="863"/>
    </row>
    <row r="48" spans="1:7" x14ac:dyDescent="0.2">
      <c r="A48" s="867" t="s">
        <v>479</v>
      </c>
      <c r="B48" s="867" t="s">
        <v>128</v>
      </c>
      <c r="C48" s="887" t="str">
        <f>'Expenditures 15-22'!B29</f>
        <v>1919</v>
      </c>
      <c r="D48" s="886" t="str">
        <f>'Expenditures 15-22'!A29</f>
        <v>Summer School Programs - Private Tuition</v>
      </c>
      <c r="E48" s="866"/>
      <c r="F48" s="1932">
        <f>'Expenditures 15-22'!K29</f>
        <v>0</v>
      </c>
      <c r="G48" s="863"/>
    </row>
    <row r="49" spans="1:7" x14ac:dyDescent="0.2">
      <c r="A49" s="867" t="s">
        <v>479</v>
      </c>
      <c r="B49" s="867" t="s">
        <v>129</v>
      </c>
      <c r="C49" s="884" t="str">
        <f>'Expenditures 15-22'!B30</f>
        <v>1920</v>
      </c>
      <c r="D49" s="886" t="str">
        <f>'Expenditures 15-22'!A30</f>
        <v>Gifted Programs - Private Tuition</v>
      </c>
      <c r="E49" s="866"/>
      <c r="F49" s="1932">
        <f>'Expenditures 15-22'!K30</f>
        <v>0</v>
      </c>
      <c r="G49" s="863"/>
    </row>
    <row r="50" spans="1:7" x14ac:dyDescent="0.2">
      <c r="A50" s="867" t="s">
        <v>479</v>
      </c>
      <c r="B50" s="867" t="s">
        <v>130</v>
      </c>
      <c r="C50" s="884" t="str">
        <f>'Expenditures 15-22'!B31</f>
        <v>1921</v>
      </c>
      <c r="D50" s="886" t="str">
        <f>'Expenditures 15-22'!A31</f>
        <v>Bilingual Programs - Private Tuition</v>
      </c>
      <c r="E50" s="866"/>
      <c r="F50" s="1932">
        <f>'Expenditures 15-22'!K31</f>
        <v>0</v>
      </c>
      <c r="G50" s="863"/>
    </row>
    <row r="51" spans="1:7" x14ac:dyDescent="0.2">
      <c r="A51" s="867" t="s">
        <v>479</v>
      </c>
      <c r="B51" s="867" t="s">
        <v>1549</v>
      </c>
      <c r="C51" s="884" t="str">
        <f>'Expenditures 15-22'!B32</f>
        <v>1922</v>
      </c>
      <c r="D51" s="886" t="str">
        <f>'Expenditures 15-22'!A32</f>
        <v>Truants Alternative/Optional Ed Progms - Private Tuition</v>
      </c>
      <c r="E51" s="866"/>
      <c r="F51" s="1932">
        <f>'Expenditures 15-22'!K32</f>
        <v>0</v>
      </c>
      <c r="G51" s="863"/>
    </row>
    <row r="52" spans="1:7" x14ac:dyDescent="0.2">
      <c r="A52" s="867" t="s">
        <v>479</v>
      </c>
      <c r="B52" s="867" t="s">
        <v>1550</v>
      </c>
      <c r="C52" s="887" t="str">
        <f>'Expenditures 15-22'!B75</f>
        <v>3000</v>
      </c>
      <c r="D52" s="886" t="s">
        <v>469</v>
      </c>
      <c r="E52" s="866"/>
      <c r="F52" s="1932">
        <f>'Expenditures 15-22'!K75-SUM('Expenditures 15-22'!G75,'Expenditures 15-22'!I75)</f>
        <v>0</v>
      </c>
      <c r="G52" s="863"/>
    </row>
    <row r="53" spans="1:7" x14ac:dyDescent="0.2">
      <c r="A53" s="867" t="s">
        <v>479</v>
      </c>
      <c r="B53" s="867" t="s">
        <v>1551</v>
      </c>
      <c r="C53" s="887">
        <f>'Expenditures 15-22'!B102</f>
        <v>4000</v>
      </c>
      <c r="D53" s="886" t="str">
        <f>'Expenditures 15-22'!A102</f>
        <v>Total Payments to Other Govt Units</v>
      </c>
      <c r="E53" s="866"/>
      <c r="F53" s="1932">
        <f>'Expenditures 15-22'!K102</f>
        <v>0</v>
      </c>
      <c r="G53" s="863"/>
    </row>
    <row r="54" spans="1:7" x14ac:dyDescent="0.2">
      <c r="A54" s="867" t="s">
        <v>479</v>
      </c>
      <c r="B54" s="867" t="s">
        <v>1552</v>
      </c>
      <c r="C54" s="887" t="s">
        <v>1039</v>
      </c>
      <c r="D54" s="883" t="s">
        <v>1157</v>
      </c>
      <c r="E54" s="866"/>
      <c r="F54" s="1932">
        <f>'Expenditures 15-22'!G114</f>
        <v>2692</v>
      </c>
      <c r="G54" s="863"/>
    </row>
    <row r="55" spans="1:7" x14ac:dyDescent="0.2">
      <c r="A55" s="867" t="s">
        <v>479</v>
      </c>
      <c r="B55" s="867" t="s">
        <v>1553</v>
      </c>
      <c r="C55" s="887" t="s">
        <v>1039</v>
      </c>
      <c r="D55" s="883" t="s">
        <v>309</v>
      </c>
      <c r="E55" s="866"/>
      <c r="F55" s="1932">
        <f>'Expenditures 15-22'!I114</f>
        <v>0</v>
      </c>
      <c r="G55" s="863"/>
    </row>
    <row r="56" spans="1:7" x14ac:dyDescent="0.2">
      <c r="A56" s="867" t="s">
        <v>480</v>
      </c>
      <c r="B56" s="867" t="s">
        <v>1554</v>
      </c>
      <c r="C56" s="884" t="str">
        <f>'Expenditures 15-22'!B130</f>
        <v>3000</v>
      </c>
      <c r="D56" s="890" t="s">
        <v>469</v>
      </c>
      <c r="E56" s="866"/>
      <c r="F56" s="1932">
        <f>'Expenditures 15-22'!K130-SUM('Expenditures 15-22'!G130+'Expenditures 15-22'!I130)</f>
        <v>0</v>
      </c>
      <c r="G56" s="863"/>
    </row>
    <row r="57" spans="1:7" x14ac:dyDescent="0.2">
      <c r="A57" s="867" t="s">
        <v>480</v>
      </c>
      <c r="B57" s="867" t="s">
        <v>1979</v>
      </c>
      <c r="C57" s="887">
        <f>'Expenditures 15-22'!B139</f>
        <v>4000</v>
      </c>
      <c r="D57" s="885" t="str">
        <f>'Expenditures 15-22'!A139</f>
        <v>Total Payments to Other Govt Units</v>
      </c>
      <c r="E57" s="866"/>
      <c r="F57" s="1932">
        <f>'Expenditures 15-22'!K139</f>
        <v>0</v>
      </c>
      <c r="G57" s="863"/>
    </row>
    <row r="58" spans="1:7" x14ac:dyDescent="0.2">
      <c r="A58" s="867" t="s">
        <v>480</v>
      </c>
      <c r="B58" s="867" t="s">
        <v>1980</v>
      </c>
      <c r="C58" s="884" t="s">
        <v>1039</v>
      </c>
      <c r="D58" s="883" t="s">
        <v>1157</v>
      </c>
      <c r="E58" s="866"/>
      <c r="F58" s="1934">
        <f>'Expenditures 15-22'!G151</f>
        <v>0</v>
      </c>
      <c r="G58" s="863"/>
    </row>
    <row r="59" spans="1:7" x14ac:dyDescent="0.2">
      <c r="A59" s="891" t="s">
        <v>480</v>
      </c>
      <c r="B59" s="854" t="s">
        <v>1981</v>
      </c>
      <c r="C59" s="892" t="s">
        <v>1039</v>
      </c>
      <c r="D59" s="854" t="s">
        <v>309</v>
      </c>
      <c r="F59" s="1935">
        <f>'Expenditures 15-22'!I151</f>
        <v>0</v>
      </c>
      <c r="G59" s="863"/>
    </row>
    <row r="60" spans="1:7" x14ac:dyDescent="0.2">
      <c r="A60" s="891" t="s">
        <v>520</v>
      </c>
      <c r="B60" s="854" t="s">
        <v>1982</v>
      </c>
      <c r="C60" s="892">
        <v>4000</v>
      </c>
      <c r="D60" s="854" t="s">
        <v>330</v>
      </c>
      <c r="F60" s="1933">
        <f>'Expenditures 15-22'!K160</f>
        <v>0</v>
      </c>
      <c r="G60" s="863"/>
    </row>
    <row r="61" spans="1:7" x14ac:dyDescent="0.2">
      <c r="A61" s="893" t="s">
        <v>520</v>
      </c>
      <c r="B61" s="893" t="s">
        <v>1983</v>
      </c>
      <c r="C61" s="894" t="str">
        <f>'Expenditures 15-22'!B170</f>
        <v>5300</v>
      </c>
      <c r="D61" s="895" t="s">
        <v>329</v>
      </c>
      <c r="E61" s="877"/>
      <c r="F61" s="1932">
        <f>'Expenditures 15-22'!K170</f>
        <v>0</v>
      </c>
      <c r="G61" s="863"/>
    </row>
    <row r="62" spans="1:7" x14ac:dyDescent="0.2">
      <c r="A62" s="867" t="s">
        <v>481</v>
      </c>
      <c r="B62" s="867" t="s">
        <v>1984</v>
      </c>
      <c r="C62" s="884">
        <f>'Expenditures 15-22'!B185</f>
        <v>3000</v>
      </c>
      <c r="D62" s="874" t="s">
        <v>469</v>
      </c>
      <c r="E62" s="866"/>
      <c r="F62" s="1932">
        <f>'Expenditures 15-22'!K185-SUM('Expenditures 15-22'!G185,'Expenditures 15-22'!I185)</f>
        <v>0</v>
      </c>
      <c r="G62" s="863"/>
    </row>
    <row r="63" spans="1:7" x14ac:dyDescent="0.2">
      <c r="A63" s="867" t="s">
        <v>481</v>
      </c>
      <c r="B63" s="867" t="s">
        <v>1985</v>
      </c>
      <c r="C63" s="884" t="str">
        <f>'Expenditures 15-22'!B196</f>
        <v>4000</v>
      </c>
      <c r="D63" s="885" t="str">
        <f>'Expenditures 15-22'!A196</f>
        <v>Total Payments to Other Govt Units</v>
      </c>
      <c r="E63" s="866"/>
      <c r="F63" s="1932">
        <f>'Expenditures 15-22'!K196</f>
        <v>0</v>
      </c>
      <c r="G63" s="863"/>
    </row>
    <row r="64" spans="1:7" x14ac:dyDescent="0.2">
      <c r="A64" s="893" t="s">
        <v>481</v>
      </c>
      <c r="B64" s="893" t="s">
        <v>1986</v>
      </c>
      <c r="C64" s="894" t="str">
        <f>'Expenditures 15-22'!B206</f>
        <v>5300</v>
      </c>
      <c r="D64" s="890" t="s">
        <v>329</v>
      </c>
      <c r="E64" s="866"/>
      <c r="F64" s="1932">
        <f>'Expenditures 15-22'!K206</f>
        <v>0</v>
      </c>
      <c r="G64" s="863"/>
    </row>
    <row r="65" spans="1:8" x14ac:dyDescent="0.2">
      <c r="A65" s="867" t="s">
        <v>481</v>
      </c>
      <c r="B65" s="867" t="s">
        <v>1987</v>
      </c>
      <c r="C65" s="884" t="s">
        <v>1039</v>
      </c>
      <c r="D65" s="883" t="s">
        <v>1157</v>
      </c>
      <c r="E65" s="866"/>
      <c r="F65" s="1932">
        <f>'Expenditures 15-22'!G210</f>
        <v>0</v>
      </c>
      <c r="G65" s="863"/>
    </row>
    <row r="66" spans="1:8" x14ac:dyDescent="0.2">
      <c r="A66" s="867" t="s">
        <v>481</v>
      </c>
      <c r="B66" s="867" t="s">
        <v>1988</v>
      </c>
      <c r="C66" s="884" t="s">
        <v>1039</v>
      </c>
      <c r="D66" s="883" t="s">
        <v>309</v>
      </c>
      <c r="E66" s="866"/>
      <c r="F66" s="1932">
        <f>'Expenditures 15-22'!I210</f>
        <v>0</v>
      </c>
      <c r="G66" s="863"/>
    </row>
    <row r="67" spans="1:8" x14ac:dyDescent="0.2">
      <c r="A67" s="867" t="s">
        <v>482</v>
      </c>
      <c r="B67" s="867" t="s">
        <v>1989</v>
      </c>
      <c r="C67" s="884" t="str">
        <f>'Expenditures 15-22'!B216</f>
        <v>1125</v>
      </c>
      <c r="D67" s="890" t="str">
        <f>'Expenditures 15-22'!A216</f>
        <v>Pre-K Programs</v>
      </c>
      <c r="E67" s="866"/>
      <c r="F67" s="1932">
        <f>'Expenditures 15-22'!K216</f>
        <v>0</v>
      </c>
      <c r="G67" s="863"/>
    </row>
    <row r="68" spans="1:8" x14ac:dyDescent="0.2">
      <c r="A68" s="867" t="s">
        <v>482</v>
      </c>
      <c r="B68" s="867" t="s">
        <v>1555</v>
      </c>
      <c r="C68" s="884" t="str">
        <f>'Expenditures 15-22'!B218</f>
        <v>1225</v>
      </c>
      <c r="D68" s="890" t="str">
        <f>'Expenditures 15-22'!A218</f>
        <v>Special Education Programs - Pre-K</v>
      </c>
      <c r="E68" s="866"/>
      <c r="F68" s="1932">
        <f>'Expenditures 15-22'!K218</f>
        <v>0</v>
      </c>
      <c r="G68" s="863"/>
    </row>
    <row r="69" spans="1:8" x14ac:dyDescent="0.2">
      <c r="A69" s="867" t="s">
        <v>482</v>
      </c>
      <c r="B69" s="867" t="s">
        <v>1990</v>
      </c>
      <c r="C69" s="884" t="str">
        <f>'Expenditures 15-22'!B220</f>
        <v>1275</v>
      </c>
      <c r="D69" s="890" t="str">
        <f>'Expenditures 15-22'!A220</f>
        <v>Remedial and Supplemental Programs - Pre-K</v>
      </c>
      <c r="E69" s="866"/>
      <c r="F69" s="1932">
        <f>'Expenditures 15-22'!K220</f>
        <v>0</v>
      </c>
      <c r="G69" s="863"/>
    </row>
    <row r="70" spans="1:8" x14ac:dyDescent="0.2">
      <c r="A70" s="867" t="s">
        <v>482</v>
      </c>
      <c r="B70" s="867" t="s">
        <v>1991</v>
      </c>
      <c r="C70" s="884">
        <f>'Expenditures 15-22'!B221</f>
        <v>1300</v>
      </c>
      <c r="D70" s="885" t="str">
        <f>'Expenditures 15-22'!A221</f>
        <v>Adult/Continuing Education Programs</v>
      </c>
      <c r="E70" s="866"/>
      <c r="F70" s="1932">
        <f>'Expenditures 15-22'!K221</f>
        <v>0</v>
      </c>
      <c r="G70" s="863"/>
    </row>
    <row r="71" spans="1:8" x14ac:dyDescent="0.2">
      <c r="A71" s="867" t="s">
        <v>482</v>
      </c>
      <c r="B71" s="867" t="s">
        <v>1992</v>
      </c>
      <c r="C71" s="884">
        <f>'Expenditures 15-22'!B224</f>
        <v>1600</v>
      </c>
      <c r="D71" s="885" t="str">
        <f>'Expenditures 15-22'!A224</f>
        <v>Summer School Programs</v>
      </c>
      <c r="E71" s="866"/>
      <c r="F71" s="1932">
        <f>'Expenditures 15-22'!K224</f>
        <v>0</v>
      </c>
      <c r="G71" s="863"/>
    </row>
    <row r="72" spans="1:8" x14ac:dyDescent="0.2">
      <c r="A72" s="867" t="s">
        <v>482</v>
      </c>
      <c r="B72" s="867" t="s">
        <v>1993</v>
      </c>
      <c r="C72" s="884">
        <f>'Expenditures 15-22'!B280</f>
        <v>3000</v>
      </c>
      <c r="D72" s="874" t="s">
        <v>469</v>
      </c>
      <c r="E72" s="866"/>
      <c r="F72" s="1932">
        <f>'Expenditures 15-22'!K280</f>
        <v>0</v>
      </c>
      <c r="G72" s="863"/>
    </row>
    <row r="73" spans="1:8" x14ac:dyDescent="0.2">
      <c r="A73" s="867" t="s">
        <v>482</v>
      </c>
      <c r="B73" s="867" t="s">
        <v>1994</v>
      </c>
      <c r="C73" s="884" t="str">
        <f>'Expenditures 15-22'!B285</f>
        <v>4000</v>
      </c>
      <c r="D73" s="885" t="str">
        <f>'Expenditures 15-22'!A285</f>
        <v>Total Payments to Other Govt Units</v>
      </c>
      <c r="E73" s="866"/>
      <c r="F73" s="1932">
        <f>'Expenditures 15-22'!K285</f>
        <v>0</v>
      </c>
      <c r="G73" s="863"/>
    </row>
    <row r="74" spans="1:8" x14ac:dyDescent="0.2">
      <c r="A74" s="867" t="s">
        <v>456</v>
      </c>
      <c r="B74" s="867" t="s">
        <v>1995</v>
      </c>
      <c r="C74" s="884" t="s">
        <v>915</v>
      </c>
      <c r="D74" s="885" t="s">
        <v>1567</v>
      </c>
      <c r="E74" s="866"/>
      <c r="F74" s="1936">
        <f>'Expenditures 15-22'!K334</f>
        <v>0</v>
      </c>
      <c r="G74" s="863"/>
    </row>
    <row r="75" spans="1:8" ht="5.25" customHeight="1" x14ac:dyDescent="0.2">
      <c r="A75" s="863"/>
      <c r="B75" s="873"/>
      <c r="C75" s="873"/>
      <c r="D75" s="863"/>
      <c r="E75" s="866"/>
      <c r="F75" s="880"/>
      <c r="G75" s="865"/>
    </row>
    <row r="76" spans="1:8" ht="12" thickBot="1" x14ac:dyDescent="0.25">
      <c r="A76" s="1789"/>
      <c r="B76" s="1795"/>
      <c r="C76" s="1791"/>
      <c r="D76" s="1796" t="s">
        <v>1996</v>
      </c>
      <c r="E76" s="1793" t="s">
        <v>1015</v>
      </c>
      <c r="F76" s="1797">
        <f>SUM(F18:F74)</f>
        <v>4273</v>
      </c>
      <c r="G76" s="863"/>
    </row>
    <row r="77" spans="1:8" s="891" customFormat="1" ht="12" customHeight="1" thickTop="1" thickBot="1" x14ac:dyDescent="0.25">
      <c r="A77" s="1798"/>
      <c r="B77" s="1795"/>
      <c r="C77" s="1791"/>
      <c r="D77" s="1796" t="s">
        <v>1997</v>
      </c>
      <c r="E77" s="1793"/>
      <c r="F77" s="1799">
        <f>(F14-F76)</f>
        <v>706619</v>
      </c>
      <c r="G77" s="867"/>
    </row>
    <row r="78" spans="1:8" s="891" customFormat="1" ht="12" customHeight="1" thickTop="1" x14ac:dyDescent="0.2">
      <c r="A78" s="1800"/>
      <c r="B78" s="1795"/>
      <c r="C78" s="1791"/>
      <c r="D78" s="1796" t="s">
        <v>2043</v>
      </c>
      <c r="E78" s="1793"/>
      <c r="F78" s="896">
        <v>0</v>
      </c>
      <c r="G78" s="897"/>
      <c r="H78" s="867"/>
    </row>
    <row r="79" spans="1:8" s="891" customFormat="1" ht="12" customHeight="1" thickBot="1" x14ac:dyDescent="0.25">
      <c r="A79" s="1801"/>
      <c r="B79" s="1795"/>
      <c r="C79" s="1791"/>
      <c r="D79" s="1796" t="s">
        <v>1998</v>
      </c>
      <c r="E79" s="1793" t="s">
        <v>1015</v>
      </c>
      <c r="F79" s="1802" t="str">
        <f>IF(F78&gt;0,F77/F78," Complete Line 78")</f>
        <v xml:space="preserve"> Complete Line 78</v>
      </c>
      <c r="G79" s="867"/>
    </row>
    <row r="80" spans="1:8" s="891" customFormat="1" ht="8.25" customHeight="1" thickTop="1" x14ac:dyDescent="0.2">
      <c r="A80" s="898"/>
      <c r="B80" s="867"/>
      <c r="C80" s="869"/>
      <c r="D80" s="899"/>
      <c r="E80" s="866"/>
      <c r="F80" s="900"/>
      <c r="G80" s="867"/>
    </row>
    <row r="81" spans="1:7" s="891" customFormat="1" ht="12" thickBot="1" x14ac:dyDescent="0.25">
      <c r="A81" s="2273" t="s">
        <v>1167</v>
      </c>
      <c r="B81" s="2274"/>
      <c r="C81" s="2274"/>
      <c r="D81" s="2274"/>
      <c r="E81" s="2274"/>
      <c r="F81" s="2275"/>
      <c r="G81" s="867"/>
    </row>
    <row r="82" spans="1:7" s="891" customFormat="1" ht="5.25" customHeight="1" thickTop="1" x14ac:dyDescent="0.2">
      <c r="A82" s="867"/>
      <c r="B82" s="867"/>
      <c r="C82" s="869"/>
      <c r="D82" s="867"/>
      <c r="E82" s="869"/>
      <c r="F82" s="867"/>
      <c r="G82" s="901"/>
    </row>
    <row r="83" spans="1:7" ht="12" customHeight="1" x14ac:dyDescent="0.2">
      <c r="A83" s="902" t="s">
        <v>867</v>
      </c>
      <c r="B83" s="903"/>
      <c r="C83" s="904"/>
      <c r="D83" s="905"/>
      <c r="E83" s="904"/>
      <c r="F83" s="903"/>
      <c r="G83" s="903"/>
    </row>
    <row r="84" spans="1:7" x14ac:dyDescent="0.2">
      <c r="A84" s="906" t="s">
        <v>481</v>
      </c>
      <c r="B84" s="907" t="s">
        <v>148</v>
      </c>
      <c r="C84" s="908">
        <f>'Revenues 9-14'!B42</f>
        <v>1411</v>
      </c>
      <c r="D84" s="909" t="str">
        <f>'Revenues 9-14'!A42</f>
        <v>Regular -Transp Fees from Pupils or Parents (In State)</v>
      </c>
      <c r="E84" s="904" t="s">
        <v>1015</v>
      </c>
      <c r="F84" s="1926">
        <f>'Revenues 9-14'!F42</f>
        <v>0</v>
      </c>
      <c r="G84" s="910"/>
    </row>
    <row r="85" spans="1:7" x14ac:dyDescent="0.2">
      <c r="A85" s="906" t="s">
        <v>481</v>
      </c>
      <c r="B85" s="906" t="s">
        <v>192</v>
      </c>
      <c r="C85" s="911">
        <f>'Revenues 9-14'!B44</f>
        <v>1413</v>
      </c>
      <c r="D85" s="909" t="str">
        <f>'Revenues 9-14'!A44</f>
        <v>Regular - Transp Fees from Other Sources (In State)</v>
      </c>
      <c r="E85" s="904"/>
      <c r="F85" s="1808">
        <f>'Revenues 9-14'!F44</f>
        <v>0</v>
      </c>
      <c r="G85" s="912"/>
    </row>
    <row r="86" spans="1:7" x14ac:dyDescent="0.2">
      <c r="A86" s="906" t="s">
        <v>481</v>
      </c>
      <c r="B86" s="906" t="s">
        <v>168</v>
      </c>
      <c r="C86" s="908">
        <f>'Revenues 9-14'!B45</f>
        <v>1415</v>
      </c>
      <c r="D86" s="909" t="str">
        <f>'Revenues 9-14'!A45</f>
        <v>Regular - Transp Fees from Co-curricular Activities (In State)</v>
      </c>
      <c r="E86" s="904"/>
      <c r="F86" s="1808">
        <f>'Revenues 9-14'!F45</f>
        <v>0</v>
      </c>
      <c r="G86" s="912"/>
    </row>
    <row r="87" spans="1:7" x14ac:dyDescent="0.2">
      <c r="A87" s="906" t="s">
        <v>481</v>
      </c>
      <c r="B87" s="906" t="s">
        <v>169</v>
      </c>
      <c r="C87" s="908">
        <v>1416</v>
      </c>
      <c r="D87" s="909" t="str">
        <f>'Revenues 9-14'!A46</f>
        <v>Regular Transp Fees from Other Sources (Out of State)</v>
      </c>
      <c r="E87" s="904"/>
      <c r="F87" s="1808">
        <f>'Revenues 9-14'!F46</f>
        <v>0</v>
      </c>
      <c r="G87" s="912"/>
    </row>
    <row r="88" spans="1:7" x14ac:dyDescent="0.2">
      <c r="A88" s="906" t="s">
        <v>481</v>
      </c>
      <c r="B88" s="906" t="s">
        <v>170</v>
      </c>
      <c r="C88" s="908">
        <f>'Revenues 9-14'!B51</f>
        <v>1431</v>
      </c>
      <c r="D88" s="909" t="str">
        <f>'Revenues 9-14'!A51</f>
        <v>CTE - Transp Fees from Pupils or Parents (In State)</v>
      </c>
      <c r="E88" s="904"/>
      <c r="F88" s="1808">
        <f>'Revenues 9-14'!F51</f>
        <v>0</v>
      </c>
      <c r="G88" s="912"/>
    </row>
    <row r="89" spans="1:7" x14ac:dyDescent="0.2">
      <c r="A89" s="906" t="s">
        <v>481</v>
      </c>
      <c r="B89" s="906" t="s">
        <v>171</v>
      </c>
      <c r="C89" s="908">
        <f>'Revenues 9-14'!B53</f>
        <v>1433</v>
      </c>
      <c r="D89" s="909" t="str">
        <f>'Revenues 9-14'!A53</f>
        <v>CTE - Transp Fees from Other Sources (In State)</v>
      </c>
      <c r="E89" s="904"/>
      <c r="F89" s="1808">
        <f>'Revenues 9-14'!F53</f>
        <v>0</v>
      </c>
      <c r="G89" s="912"/>
    </row>
    <row r="90" spans="1:7" x14ac:dyDescent="0.2">
      <c r="A90" s="906" t="s">
        <v>481</v>
      </c>
      <c r="B90" s="906" t="s">
        <v>172</v>
      </c>
      <c r="C90" s="908">
        <f>'Revenues 9-14'!B54</f>
        <v>1434</v>
      </c>
      <c r="D90" s="909" t="str">
        <f>'Revenues 9-14'!A54</f>
        <v>CTE - Transp Fees from Other Sources (Out of State)</v>
      </c>
      <c r="E90" s="904"/>
      <c r="F90" s="1808">
        <f>'Revenues 9-14'!F54</f>
        <v>0</v>
      </c>
      <c r="G90" s="912"/>
    </row>
    <row r="91" spans="1:7" x14ac:dyDescent="0.2">
      <c r="A91" s="906" t="s">
        <v>481</v>
      </c>
      <c r="B91" s="906" t="s">
        <v>173</v>
      </c>
      <c r="C91" s="913">
        <f>'Revenues 9-14'!B55</f>
        <v>1441</v>
      </c>
      <c r="D91" s="909" t="str">
        <f>'Revenues 9-14'!A55</f>
        <v>Special Ed - Transp Fees from Pupils or Parents (In State)</v>
      </c>
      <c r="E91" s="904"/>
      <c r="F91" s="1808">
        <f>'Revenues 9-14'!F55</f>
        <v>0</v>
      </c>
      <c r="G91" s="912"/>
    </row>
    <row r="92" spans="1:7" x14ac:dyDescent="0.2">
      <c r="A92" s="906" t="s">
        <v>481</v>
      </c>
      <c r="B92" s="906" t="s">
        <v>174</v>
      </c>
      <c r="C92" s="908">
        <f>'Revenues 9-14'!B57</f>
        <v>1443</v>
      </c>
      <c r="D92" s="909" t="str">
        <f>'Revenues 9-14'!A57</f>
        <v>Special Ed - Transp Fees from Other Sources (In State)</v>
      </c>
      <c r="E92" s="904"/>
      <c r="F92" s="1808">
        <f>'Revenues 9-14'!F57</f>
        <v>0</v>
      </c>
      <c r="G92" s="914"/>
    </row>
    <row r="93" spans="1:7" x14ac:dyDescent="0.2">
      <c r="A93" s="906" t="s">
        <v>481</v>
      </c>
      <c r="B93" s="906" t="s">
        <v>175</v>
      </c>
      <c r="C93" s="908">
        <f>'Revenues 9-14'!B58</f>
        <v>1444</v>
      </c>
      <c r="D93" s="909" t="str">
        <f>'Revenues 9-14'!A58</f>
        <v>Special Ed - Transp Fees from Other Sources (Out of State)</v>
      </c>
      <c r="E93" s="904"/>
      <c r="F93" s="1808">
        <f>'Revenues 9-14'!F58</f>
        <v>0</v>
      </c>
      <c r="G93" s="914"/>
    </row>
    <row r="94" spans="1:7" x14ac:dyDescent="0.2">
      <c r="A94" s="906" t="s">
        <v>479</v>
      </c>
      <c r="B94" s="906" t="s">
        <v>176</v>
      </c>
      <c r="C94" s="908">
        <v>1600</v>
      </c>
      <c r="D94" s="915" t="str">
        <f>'Revenues 9-14'!A75</f>
        <v>Total Food Service</v>
      </c>
      <c r="E94" s="904"/>
      <c r="F94" s="1808">
        <f>'Revenues 9-14'!C75</f>
        <v>0</v>
      </c>
      <c r="G94" s="910"/>
    </row>
    <row r="95" spans="1:7" x14ac:dyDescent="0.2">
      <c r="A95" s="906" t="s">
        <v>142</v>
      </c>
      <c r="B95" s="906" t="s">
        <v>177</v>
      </c>
      <c r="C95" s="908">
        <v>1700</v>
      </c>
      <c r="D95" s="916" t="str">
        <f>'Revenues 9-14'!A82</f>
        <v>Total District/School Activity Income</v>
      </c>
      <c r="E95" s="904"/>
      <c r="F95" s="1808">
        <f>SUM('Revenues 9-14'!C82,'Revenues 9-14'!D82)</f>
        <v>9100</v>
      </c>
      <c r="G95" s="910"/>
    </row>
    <row r="96" spans="1:7" x14ac:dyDescent="0.2">
      <c r="A96" s="906" t="s">
        <v>479</v>
      </c>
      <c r="B96" s="906" t="s">
        <v>178</v>
      </c>
      <c r="C96" s="908">
        <f>'Revenues 9-14'!B84</f>
        <v>1811</v>
      </c>
      <c r="D96" s="909" t="str">
        <f>'Revenues 9-14'!A84</f>
        <v>Rentals - Regular Textbooks</v>
      </c>
      <c r="E96" s="904"/>
      <c r="F96" s="1808">
        <f>'Revenues 9-14'!C84</f>
        <v>0</v>
      </c>
      <c r="G96" s="910"/>
    </row>
    <row r="97" spans="1:7" x14ac:dyDescent="0.2">
      <c r="A97" s="906" t="s">
        <v>479</v>
      </c>
      <c r="B97" s="906" t="s">
        <v>179</v>
      </c>
      <c r="C97" s="908">
        <f>'Revenues 9-14'!B87</f>
        <v>1819</v>
      </c>
      <c r="D97" s="909" t="str">
        <f>'Revenues 9-14'!A87</f>
        <v>Rentals - Other (Describe &amp; Itemize)</v>
      </c>
      <c r="E97" s="904"/>
      <c r="F97" s="1808">
        <f>'Revenues 9-14'!C87</f>
        <v>0</v>
      </c>
      <c r="G97" s="910"/>
    </row>
    <row r="98" spans="1:7" x14ac:dyDescent="0.2">
      <c r="A98" s="906" t="s">
        <v>479</v>
      </c>
      <c r="B98" s="906" t="s">
        <v>180</v>
      </c>
      <c r="C98" s="908">
        <f>'Revenues 9-14'!B88</f>
        <v>1821</v>
      </c>
      <c r="D98" s="909" t="str">
        <f>'Revenues 9-14'!A88</f>
        <v>Sales - Regular Textbooks</v>
      </c>
      <c r="E98" s="904"/>
      <c r="F98" s="1808">
        <f>'Revenues 9-14'!C88</f>
        <v>1680</v>
      </c>
      <c r="G98" s="910"/>
    </row>
    <row r="99" spans="1:7" x14ac:dyDescent="0.2">
      <c r="A99" s="906" t="s">
        <v>479</v>
      </c>
      <c r="B99" s="906" t="s">
        <v>181</v>
      </c>
      <c r="C99" s="908">
        <f>'Revenues 9-14'!B91</f>
        <v>1829</v>
      </c>
      <c r="D99" s="909" t="str">
        <f>'Revenues 9-14'!A91</f>
        <v>Sales - Other (Describe &amp; Itemize)</v>
      </c>
      <c r="E99" s="904"/>
      <c r="F99" s="1808">
        <f>'Revenues 9-14'!C91</f>
        <v>0</v>
      </c>
      <c r="G99" s="910"/>
    </row>
    <row r="100" spans="1:7" x14ac:dyDescent="0.2">
      <c r="A100" s="906" t="s">
        <v>479</v>
      </c>
      <c r="B100" s="906" t="s">
        <v>182</v>
      </c>
      <c r="C100" s="908">
        <f>'Revenues 9-14'!B92</f>
        <v>1890</v>
      </c>
      <c r="D100" s="909" t="str">
        <f>'Revenues 9-14'!A92</f>
        <v>Other (Describe &amp; Itemize)</v>
      </c>
      <c r="E100" s="904"/>
      <c r="F100" s="1808">
        <f>'Revenues 9-14'!C92</f>
        <v>0</v>
      </c>
      <c r="G100" s="910"/>
    </row>
    <row r="101" spans="1:7" x14ac:dyDescent="0.2">
      <c r="A101" s="906" t="s">
        <v>142</v>
      </c>
      <c r="B101" s="906" t="s">
        <v>183</v>
      </c>
      <c r="C101" s="908">
        <f>'Revenues 9-14'!B95</f>
        <v>1910</v>
      </c>
      <c r="D101" s="909" t="str">
        <f>'Revenues 9-14'!A95</f>
        <v>Rentals</v>
      </c>
      <c r="E101" s="904"/>
      <c r="F101" s="1808">
        <f>SUM('Revenues 9-14'!C95:D95)</f>
        <v>310</v>
      </c>
      <c r="G101" s="910"/>
    </row>
    <row r="102" spans="1:7" x14ac:dyDescent="0.2">
      <c r="A102" s="906" t="s">
        <v>524</v>
      </c>
      <c r="B102" s="906" t="s">
        <v>184</v>
      </c>
      <c r="C102" s="908">
        <f>'Revenues 9-14'!B98</f>
        <v>1940</v>
      </c>
      <c r="D102" s="909" t="str">
        <f>'Revenues 9-14'!A98</f>
        <v>Services Provided Other Districts</v>
      </c>
      <c r="E102" s="904"/>
      <c r="F102" s="1808">
        <f>SUM('Revenues 9-14'!C98,'Revenues 9-14'!D98,'Revenues 9-14'!F98)</f>
        <v>156988</v>
      </c>
      <c r="G102" s="910"/>
    </row>
    <row r="103" spans="1:7" x14ac:dyDescent="0.2">
      <c r="A103" s="906" t="s">
        <v>1066</v>
      </c>
      <c r="B103" s="906" t="s">
        <v>834</v>
      </c>
      <c r="C103" s="908">
        <f>'Revenues 9-14'!B104</f>
        <v>1991</v>
      </c>
      <c r="D103" s="917" t="str">
        <f>'Revenues 9-14'!A104</f>
        <v>Payment from Other Districts</v>
      </c>
      <c r="E103" s="904"/>
      <c r="F103" s="1808">
        <f>SUM('Revenues 9-14'!C104,'Revenues 9-14'!D104,'Revenues 9-14'!E104,'Revenues 9-14'!F104,'Revenues 9-14'!G104)</f>
        <v>0</v>
      </c>
      <c r="G103" s="910"/>
    </row>
    <row r="104" spans="1:7" x14ac:dyDescent="0.2">
      <c r="A104" s="906" t="s">
        <v>479</v>
      </c>
      <c r="B104" s="906" t="s">
        <v>841</v>
      </c>
      <c r="C104" s="908">
        <f>'Revenues 9-14'!B106</f>
        <v>1993</v>
      </c>
      <c r="D104" s="909" t="str">
        <f>'Revenues 9-14'!A106</f>
        <v>Other Local Fees (Describe &amp; Itemize)</v>
      </c>
      <c r="E104" s="904"/>
      <c r="F104" s="1808">
        <f>('Revenues 9-14'!C106)</f>
        <v>0</v>
      </c>
      <c r="G104" s="910"/>
    </row>
    <row r="105" spans="1:7" x14ac:dyDescent="0.2">
      <c r="A105" s="906" t="s">
        <v>524</v>
      </c>
      <c r="B105" s="906" t="s">
        <v>842</v>
      </c>
      <c r="C105" s="911">
        <v>3100</v>
      </c>
      <c r="D105" s="917" t="str">
        <f>'Revenues 9-14'!A131</f>
        <v>Total Special Education</v>
      </c>
      <c r="E105" s="904"/>
      <c r="F105" s="1808">
        <f>SUM('Revenues 9-14'!C131:D131,'Revenues 9-14'!F131)</f>
        <v>0</v>
      </c>
      <c r="G105" s="910"/>
    </row>
    <row r="106" spans="1:7" x14ac:dyDescent="0.2">
      <c r="A106" s="906" t="s">
        <v>694</v>
      </c>
      <c r="B106" s="906" t="s">
        <v>1483</v>
      </c>
      <c r="C106" s="918">
        <v>3200</v>
      </c>
      <c r="D106" s="909" t="str">
        <f>'Revenues 9-14'!A140</f>
        <v>Total Career and Technical Education</v>
      </c>
      <c r="E106" s="904"/>
      <c r="F106" s="1808">
        <f>SUM('Revenues 9-14'!C140,'Revenues 9-14'!D140,'Revenues 9-14'!G140)</f>
        <v>226895</v>
      </c>
      <c r="G106" s="910"/>
    </row>
    <row r="107" spans="1:7" x14ac:dyDescent="0.2">
      <c r="A107" s="919" t="s">
        <v>685</v>
      </c>
      <c r="B107" s="906" t="s">
        <v>843</v>
      </c>
      <c r="C107" s="918">
        <v>3300</v>
      </c>
      <c r="D107" s="909" t="str">
        <f>'Revenues 9-14'!A144</f>
        <v>Total Bilingual Ed</v>
      </c>
      <c r="E107" s="904"/>
      <c r="F107" s="1808">
        <f>SUM('Revenues 9-14'!C144,'Revenues 9-14'!G144)</f>
        <v>0</v>
      </c>
      <c r="G107" s="910"/>
    </row>
    <row r="108" spans="1:7" x14ac:dyDescent="0.2">
      <c r="A108" s="906" t="s">
        <v>479</v>
      </c>
      <c r="B108" s="906" t="s">
        <v>844</v>
      </c>
      <c r="C108" s="918">
        <f>'Revenues 9-14'!B145</f>
        <v>3360</v>
      </c>
      <c r="D108" s="909" t="str">
        <f>'Revenues 9-14'!A145</f>
        <v>State Free Lunch &amp; Breakfast</v>
      </c>
      <c r="E108" s="904"/>
      <c r="F108" s="1808">
        <f>'Revenues 9-14'!C145</f>
        <v>0</v>
      </c>
      <c r="G108" s="910"/>
    </row>
    <row r="109" spans="1:7" x14ac:dyDescent="0.2">
      <c r="A109" s="906" t="s">
        <v>694</v>
      </c>
      <c r="B109" s="906" t="s">
        <v>845</v>
      </c>
      <c r="C109" s="918">
        <f>'Revenues 9-14'!B146</f>
        <v>3365</v>
      </c>
      <c r="D109" s="909" t="str">
        <f>'Revenues 9-14'!A146</f>
        <v>School Breakfast Initiative</v>
      </c>
      <c r="E109" s="904"/>
      <c r="F109" s="1808">
        <f>SUM('Revenues 9-14'!C146,'Revenues 9-14'!D146,'Revenues 9-14'!G146)</f>
        <v>0</v>
      </c>
      <c r="G109" s="910"/>
    </row>
    <row r="110" spans="1:7" x14ac:dyDescent="0.2">
      <c r="A110" s="906" t="s">
        <v>142</v>
      </c>
      <c r="B110" s="906" t="s">
        <v>846</v>
      </c>
      <c r="C110" s="918">
        <f>'Revenues 9-14'!B147</f>
        <v>3370</v>
      </c>
      <c r="D110" s="909" t="str">
        <f>'Revenues 9-14'!A147</f>
        <v>Driver Education</v>
      </c>
      <c r="E110" s="904"/>
      <c r="F110" s="1808">
        <f>SUM('Revenues 9-14'!C147,'Revenues 9-14'!D147)</f>
        <v>0</v>
      </c>
      <c r="G110" s="910"/>
    </row>
    <row r="111" spans="1:7" x14ac:dyDescent="0.2">
      <c r="A111" s="906" t="s">
        <v>689</v>
      </c>
      <c r="B111" s="906" t="s">
        <v>802</v>
      </c>
      <c r="C111" s="920">
        <v>3500</v>
      </c>
      <c r="D111" s="909" t="str">
        <f>'Revenues 9-14'!A154</f>
        <v>Total Transportation</v>
      </c>
      <c r="E111" s="904"/>
      <c r="F111" s="1808">
        <f>SUM('Revenues 9-14'!C154,'Revenues 9-14'!D154,'Revenues 9-14'!F154,'Revenues 9-14'!G154)</f>
        <v>0</v>
      </c>
      <c r="G111" s="910"/>
    </row>
    <row r="112" spans="1:7" x14ac:dyDescent="0.2">
      <c r="A112" s="906" t="s">
        <v>479</v>
      </c>
      <c r="B112" s="906" t="s">
        <v>847</v>
      </c>
      <c r="C112" s="918">
        <f>'Revenues 9-14'!B155</f>
        <v>3610</v>
      </c>
      <c r="D112" s="909" t="str">
        <f>'Revenues 9-14'!A155</f>
        <v>Learning Improvement - Change Grants</v>
      </c>
      <c r="E112" s="904"/>
      <c r="F112" s="1808">
        <f>'Revenues 9-14'!C155</f>
        <v>0</v>
      </c>
      <c r="G112" s="910"/>
    </row>
    <row r="113" spans="1:7" x14ac:dyDescent="0.2">
      <c r="A113" s="906" t="s">
        <v>689</v>
      </c>
      <c r="B113" s="906" t="s">
        <v>848</v>
      </c>
      <c r="C113" s="918">
        <f>'Revenues 9-14'!B156</f>
        <v>3660</v>
      </c>
      <c r="D113" s="909" t="str">
        <f>'Revenues 9-14'!A156</f>
        <v>Scientific Literacy</v>
      </c>
      <c r="E113" s="904"/>
      <c r="F113" s="1808">
        <f>SUM('Revenues 9-14'!C156,'Revenues 9-14'!D156,'Revenues 9-14'!F156,'Revenues 9-14'!G156)</f>
        <v>0</v>
      </c>
      <c r="G113" s="910"/>
    </row>
    <row r="114" spans="1:7" x14ac:dyDescent="0.2">
      <c r="A114" s="906" t="s">
        <v>5</v>
      </c>
      <c r="B114" s="906" t="s">
        <v>849</v>
      </c>
      <c r="C114" s="918">
        <f>'Revenues 9-14'!B157</f>
        <v>3695</v>
      </c>
      <c r="D114" s="909" t="str">
        <f>'Revenues 9-14'!A157</f>
        <v>Truant Alternative/Optional Education</v>
      </c>
      <c r="E114" s="904"/>
      <c r="F114" s="1808">
        <f>SUM('Revenues 9-14'!C157,'Revenues 9-14'!F157,'Revenues 9-14'!G157)</f>
        <v>0</v>
      </c>
      <c r="G114" s="910"/>
    </row>
    <row r="115" spans="1:7" x14ac:dyDescent="0.2">
      <c r="A115" s="906" t="s">
        <v>5</v>
      </c>
      <c r="B115" s="906" t="s">
        <v>185</v>
      </c>
      <c r="C115" s="918">
        <f>'Revenues 9-14'!B159</f>
        <v>3715</v>
      </c>
      <c r="D115" s="909" t="str">
        <f>'Revenues 9-14'!A159</f>
        <v>Reading Improvement Block Grant</v>
      </c>
      <c r="E115" s="904"/>
      <c r="F115" s="1808">
        <f>SUM('Revenues 9-14'!C159,'Revenues 9-14'!F159,'Revenues 9-14'!G159)</f>
        <v>0</v>
      </c>
      <c r="G115" s="910"/>
    </row>
    <row r="116" spans="1:7" x14ac:dyDescent="0.2">
      <c r="A116" s="921" t="s">
        <v>5</v>
      </c>
      <c r="B116" s="921" t="s">
        <v>186</v>
      </c>
      <c r="C116" s="922">
        <f>'Revenues 9-14'!B160</f>
        <v>3720</v>
      </c>
      <c r="D116" s="923" t="str">
        <f>'Revenues 9-14'!A160</f>
        <v>Reading Improvement Block Grant - Reading Recovery</v>
      </c>
      <c r="E116" s="924"/>
      <c r="F116" s="1808">
        <f>SUM('Revenues 9-14'!C160,'Revenues 9-14'!F160,'Revenues 9-14'!G160)</f>
        <v>0</v>
      </c>
      <c r="G116" s="910"/>
    </row>
    <row r="117" spans="1:7" x14ac:dyDescent="0.2">
      <c r="A117" s="921" t="s">
        <v>5</v>
      </c>
      <c r="B117" s="921" t="s">
        <v>187</v>
      </c>
      <c r="C117" s="922">
        <f>'Revenues 9-14'!B161</f>
        <v>3725</v>
      </c>
      <c r="D117" s="923" t="str">
        <f>'Revenues 9-14'!A161</f>
        <v>Continued Reading Improvement Block Grant</v>
      </c>
      <c r="E117" s="924"/>
      <c r="F117" s="1808">
        <f>SUM('Revenues 9-14'!C161,'Revenues 9-14'!F161,'Revenues 9-14'!G161)</f>
        <v>0</v>
      </c>
      <c r="G117" s="910"/>
    </row>
    <row r="118" spans="1:7" x14ac:dyDescent="0.2">
      <c r="A118" s="921" t="s">
        <v>5</v>
      </c>
      <c r="B118" s="921" t="s">
        <v>850</v>
      </c>
      <c r="C118" s="922">
        <f>'Revenues 9-14'!B162</f>
        <v>3726</v>
      </c>
      <c r="D118" s="923" t="str">
        <f>'Revenues 9-14'!A162</f>
        <v>Continued Reading Improvement Block Grant (2% Set Aside)</v>
      </c>
      <c r="E118" s="924"/>
      <c r="F118" s="1925">
        <f>SUM('Revenues 9-14'!C162,'Revenues 9-14'!F162,'Revenues 9-14'!G162)</f>
        <v>0</v>
      </c>
      <c r="G118" s="910"/>
    </row>
    <row r="119" spans="1:7" x14ac:dyDescent="0.2">
      <c r="A119" s="906" t="s">
        <v>689</v>
      </c>
      <c r="B119" s="906" t="s">
        <v>188</v>
      </c>
      <c r="C119" s="918">
        <f>'Revenues 9-14'!B163</f>
        <v>3766</v>
      </c>
      <c r="D119" s="909" t="str">
        <f>'Revenues 9-14'!A163</f>
        <v>Chicago General Education Block Grant</v>
      </c>
      <c r="E119" s="904"/>
      <c r="F119" s="1808">
        <f>SUM('Revenues 9-14'!C163,'Revenues 9-14'!D163,'Revenues 9-14'!F163,'Revenues 9-14'!G163)</f>
        <v>0</v>
      </c>
      <c r="G119" s="910"/>
    </row>
    <row r="120" spans="1:7" x14ac:dyDescent="0.2">
      <c r="A120" s="906" t="s">
        <v>689</v>
      </c>
      <c r="B120" s="906" t="s">
        <v>851</v>
      </c>
      <c r="C120" s="918">
        <f>'Revenues 9-14'!B164</f>
        <v>3767</v>
      </c>
      <c r="D120" s="909" t="str">
        <f>'Revenues 9-14'!A164</f>
        <v>Chicago Educational Services Block Grant</v>
      </c>
      <c r="E120" s="904"/>
      <c r="F120" s="1808">
        <f>SUM('Revenues 9-14'!C164,'Revenues 9-14'!D164,'Revenues 9-14'!F164,'Revenues 9-14'!G164)</f>
        <v>0</v>
      </c>
      <c r="G120" s="910"/>
    </row>
    <row r="121" spans="1:7" x14ac:dyDescent="0.2">
      <c r="A121" s="921" t="s">
        <v>1066</v>
      </c>
      <c r="B121" s="921" t="s">
        <v>189</v>
      </c>
      <c r="C121" s="922">
        <f>'Revenues 9-14'!B165</f>
        <v>3775</v>
      </c>
      <c r="D121" s="923" t="str">
        <f>'Revenues 9-14'!A165</f>
        <v>School Safety &amp; Educational Improvement Block Grant</v>
      </c>
      <c r="E121" s="904"/>
      <c r="F121" s="1926">
        <f>SUM('Revenues 9-14'!C165,'Revenues 9-14'!D165,'Revenues 9-14'!E165,'Revenues 9-14'!F165,'Revenues 9-14'!G165)</f>
        <v>0</v>
      </c>
      <c r="G121" s="910"/>
    </row>
    <row r="122" spans="1:7" x14ac:dyDescent="0.2">
      <c r="A122" s="921" t="s">
        <v>1066</v>
      </c>
      <c r="B122" s="921" t="s">
        <v>852</v>
      </c>
      <c r="C122" s="922">
        <f>'Revenues 9-14'!B166</f>
        <v>3780</v>
      </c>
      <c r="D122" s="923" t="str">
        <f>'Revenues 9-14'!A166</f>
        <v>Technology - Technology for Success</v>
      </c>
      <c r="E122" s="904"/>
      <c r="F122" s="1926">
        <f>SUM('Revenues 9-14'!C166:G166)</f>
        <v>0</v>
      </c>
      <c r="G122" s="910"/>
    </row>
    <row r="123" spans="1:7" x14ac:dyDescent="0.2">
      <c r="A123" s="921" t="s">
        <v>525</v>
      </c>
      <c r="B123" s="921" t="s">
        <v>853</v>
      </c>
      <c r="C123" s="922">
        <f>'Revenues 9-14'!B167</f>
        <v>3815</v>
      </c>
      <c r="D123" s="923" t="str">
        <f>'Revenues 9-14'!A167</f>
        <v>State Charter Schools</v>
      </c>
      <c r="E123" s="904"/>
      <c r="F123" s="1926">
        <f>SUM('Revenues 9-14'!C167,'Revenues 9-14'!F167)</f>
        <v>0</v>
      </c>
      <c r="G123" s="910"/>
    </row>
    <row r="124" spans="1:7" x14ac:dyDescent="0.2">
      <c r="A124" s="925" t="s">
        <v>480</v>
      </c>
      <c r="B124" s="925" t="s">
        <v>854</v>
      </c>
      <c r="C124" s="926">
        <f>'Revenues 9-14'!B170</f>
        <v>3925</v>
      </c>
      <c r="D124" s="927" t="str">
        <f>'Revenues 9-14'!A170</f>
        <v>School Infrastructure - Maintenance Projects</v>
      </c>
      <c r="E124" s="904"/>
      <c r="F124" s="1808">
        <f>'Revenues 9-14'!D170</f>
        <v>0</v>
      </c>
      <c r="G124" s="928"/>
    </row>
    <row r="125" spans="1:7" x14ac:dyDescent="0.2">
      <c r="A125" s="925" t="s">
        <v>521</v>
      </c>
      <c r="B125" s="925" t="s">
        <v>855</v>
      </c>
      <c r="C125" s="926">
        <f>'Revenues 9-14'!B171</f>
        <v>3999</v>
      </c>
      <c r="D125" s="927" t="s">
        <v>564</v>
      </c>
      <c r="E125" s="929"/>
      <c r="F125" s="1808">
        <f>SUM('Revenues 9-14'!C171:G171,'Revenues 9-14'!J171)</f>
        <v>0</v>
      </c>
      <c r="G125" s="928"/>
    </row>
    <row r="126" spans="1:7" x14ac:dyDescent="0.2">
      <c r="A126" s="925" t="s">
        <v>479</v>
      </c>
      <c r="B126" s="925" t="s">
        <v>856</v>
      </c>
      <c r="C126" s="930">
        <f>'Revenues 9-14'!B180</f>
        <v>4045</v>
      </c>
      <c r="D126" s="927" t="str">
        <f>'Revenues 9-14'!A180 &amp; " (Subtract)"</f>
        <v>Head Start (Subtract)</v>
      </c>
      <c r="E126" s="904"/>
      <c r="F126" s="1808">
        <f>SUM(-'Revenues 9-14'!C180)</f>
        <v>0</v>
      </c>
      <c r="G126" s="928"/>
    </row>
    <row r="127" spans="1:7" x14ac:dyDescent="0.2">
      <c r="A127" s="925" t="s">
        <v>689</v>
      </c>
      <c r="B127" s="925" t="s">
        <v>857</v>
      </c>
      <c r="C127" s="930" t="s">
        <v>1039</v>
      </c>
      <c r="D127" s="927" t="str">
        <f>('Revenues 9-14'!A184)</f>
        <v>Total Restricted Grants-In-Aid Received Directly from Federal Govt</v>
      </c>
      <c r="E127" s="904"/>
      <c r="F127" s="1808">
        <f>SUM('Revenues 9-14'!C184,'Revenues 9-14'!D184,'Revenues 9-14'!F184,'Revenues 9-14'!G184)</f>
        <v>0</v>
      </c>
      <c r="G127" s="928"/>
    </row>
    <row r="128" spans="1:7" x14ac:dyDescent="0.2">
      <c r="A128" s="925" t="s">
        <v>689</v>
      </c>
      <c r="B128" s="925" t="s">
        <v>858</v>
      </c>
      <c r="C128" s="930">
        <v>4100</v>
      </c>
      <c r="D128" s="931" t="str">
        <f>'Revenues 9-14'!A191</f>
        <v>Total Title V</v>
      </c>
      <c r="E128" s="904"/>
      <c r="F128" s="1808">
        <f>SUM('Revenues 9-14'!C191,'Revenues 9-14'!D191,'Revenues 9-14'!F191,'Revenues 9-14'!G191)</f>
        <v>0</v>
      </c>
      <c r="G128" s="928"/>
    </row>
    <row r="129" spans="1:7" x14ac:dyDescent="0.2">
      <c r="A129" s="925" t="s">
        <v>685</v>
      </c>
      <c r="B129" s="925" t="s">
        <v>803</v>
      </c>
      <c r="C129" s="930">
        <v>4200</v>
      </c>
      <c r="D129" s="927" t="str">
        <f>'Revenues 9-14'!A201</f>
        <v>Total Food Service</v>
      </c>
      <c r="E129" s="904"/>
      <c r="F129" s="1808">
        <f>SUM('Revenues 9-14'!C201,'Revenues 9-14'!G201)</f>
        <v>0</v>
      </c>
      <c r="G129" s="928"/>
    </row>
    <row r="130" spans="1:7" x14ac:dyDescent="0.2">
      <c r="A130" s="925" t="s">
        <v>689</v>
      </c>
      <c r="B130" s="925" t="s">
        <v>804</v>
      </c>
      <c r="C130" s="930">
        <v>4300</v>
      </c>
      <c r="D130" s="931" t="str">
        <f>'Revenues 9-14'!A211</f>
        <v>Total Title I</v>
      </c>
      <c r="E130" s="904"/>
      <c r="F130" s="1808">
        <f>SUM('Revenues 9-14'!C211,'Revenues 9-14'!D211,'Revenues 9-14'!F211,'Revenues 9-14'!G211)</f>
        <v>0</v>
      </c>
      <c r="G130" s="928"/>
    </row>
    <row r="131" spans="1:7" x14ac:dyDescent="0.2">
      <c r="A131" s="925" t="s">
        <v>689</v>
      </c>
      <c r="B131" s="925" t="s">
        <v>805</v>
      </c>
      <c r="C131" s="930">
        <v>4400</v>
      </c>
      <c r="D131" s="931" t="str">
        <f>'Revenues 9-14'!A216</f>
        <v>Total Title IV</v>
      </c>
      <c r="E131" s="904"/>
      <c r="F131" s="1808">
        <f>SUM('Revenues 9-14'!C216,'Revenues 9-14'!D216,'Revenues 9-14'!F216,'Revenues 9-14'!G216)</f>
        <v>0</v>
      </c>
      <c r="G131" s="928"/>
    </row>
    <row r="132" spans="1:7" x14ac:dyDescent="0.2">
      <c r="A132" s="925" t="s">
        <v>689</v>
      </c>
      <c r="B132" s="925" t="s">
        <v>190</v>
      </c>
      <c r="C132" s="930">
        <f>'Revenues 9-14'!B220</f>
        <v>4620</v>
      </c>
      <c r="D132" s="931" t="str">
        <f>'Revenues 9-14'!A220</f>
        <v>Fed - Spec Education - IDEA - Flow Through</v>
      </c>
      <c r="E132" s="904"/>
      <c r="F132" s="1808">
        <f>SUM('Revenues 9-14'!C220:D220,'Revenues 9-14'!F220:G220)</f>
        <v>0</v>
      </c>
      <c r="G132" s="928"/>
    </row>
    <row r="133" spans="1:7" x14ac:dyDescent="0.2">
      <c r="A133" s="925" t="s">
        <v>689</v>
      </c>
      <c r="B133" s="925" t="s">
        <v>191</v>
      </c>
      <c r="C133" s="930">
        <f>'Revenues 9-14'!B221</f>
        <v>4625</v>
      </c>
      <c r="D133" s="931" t="str">
        <f>'Revenues 9-14'!A221</f>
        <v>Fed - Spec Education - IDEA - Room &amp; Board</v>
      </c>
      <c r="E133" s="904"/>
      <c r="F133" s="1808">
        <f>SUM('Revenues 9-14'!C221,'Revenues 9-14'!D221,'Revenues 9-14'!F221,'Revenues 9-14'!G221)</f>
        <v>0</v>
      </c>
      <c r="G133" s="928"/>
    </row>
    <row r="134" spans="1:7" x14ac:dyDescent="0.2">
      <c r="A134" s="925" t="s">
        <v>689</v>
      </c>
      <c r="B134" s="925" t="s">
        <v>859</v>
      </c>
      <c r="C134" s="930">
        <f>'Revenues 9-14'!B222</f>
        <v>4630</v>
      </c>
      <c r="D134" s="931" t="str">
        <f>'Revenues 9-14'!A222</f>
        <v>Fed - Spec Education - IDEA - Discretionary</v>
      </c>
      <c r="E134" s="904"/>
      <c r="F134" s="1808">
        <f>SUM('Revenues 9-14'!C222:D222,'Revenues 9-14'!F222:G222)</f>
        <v>0</v>
      </c>
      <c r="G134" s="928">
        <v>6297</v>
      </c>
    </row>
    <row r="135" spans="1:7" x14ac:dyDescent="0.2">
      <c r="A135" s="925" t="s">
        <v>689</v>
      </c>
      <c r="B135" s="925" t="s">
        <v>806</v>
      </c>
      <c r="C135" s="930">
        <f>'Revenues 9-14'!B223</f>
        <v>4699</v>
      </c>
      <c r="D135" s="931" t="str">
        <f>'Revenues 9-14'!A223</f>
        <v>Fed - Spec Education - IDEA - Other (Describe &amp; Itemize)</v>
      </c>
      <c r="E135" s="904"/>
      <c r="F135" s="1808">
        <f>SUM('Revenues 9-14'!C223:D223,'Revenues 9-14'!F223:G223)</f>
        <v>0</v>
      </c>
      <c r="G135" s="928"/>
    </row>
    <row r="136" spans="1:7" x14ac:dyDescent="0.2">
      <c r="A136" s="925" t="s">
        <v>694</v>
      </c>
      <c r="B136" s="925" t="s">
        <v>807</v>
      </c>
      <c r="C136" s="930">
        <v>4700</v>
      </c>
      <c r="D136" s="927" t="str">
        <f>'Revenues 9-14'!A228</f>
        <v>Total CTE - Perkins</v>
      </c>
      <c r="E136" s="904"/>
      <c r="F136" s="1808">
        <f>SUM('Revenues 9-14'!C228,'Revenues 9-14'!D228,'Revenues 9-14'!G228)</f>
        <v>0</v>
      </c>
      <c r="G136" s="928">
        <v>6303</v>
      </c>
    </row>
    <row r="137" spans="1:7" s="865" customFormat="1" hidden="1" x14ac:dyDescent="0.2">
      <c r="A137" s="932" t="s">
        <v>215</v>
      </c>
      <c r="B137" s="932" t="s">
        <v>1484</v>
      </c>
      <c r="C137" s="933" t="s">
        <v>216</v>
      </c>
      <c r="D137" s="934" t="str">
        <f>'Revenues 9-14'!A231</f>
        <v>ARRA - Title I - Low Income</v>
      </c>
      <c r="E137" s="935"/>
      <c r="F137" s="1926">
        <f>SUM('Revenues 9-14'!$C$231:$D$231,'Revenues 9-14'!$F$231:$G$231)</f>
        <v>0</v>
      </c>
      <c r="G137" s="903"/>
    </row>
    <row r="138" spans="1:7" s="865" customFormat="1" hidden="1" x14ac:dyDescent="0.2">
      <c r="A138" s="932" t="s">
        <v>215</v>
      </c>
      <c r="B138" s="932" t="s">
        <v>1485</v>
      </c>
      <c r="C138" s="933" t="s">
        <v>217</v>
      </c>
      <c r="D138" s="934" t="str">
        <f>'Revenues 9-14'!A232</f>
        <v>ARRA - Title I - Neglected, Private</v>
      </c>
      <c r="E138" s="935"/>
      <c r="F138" s="1808">
        <f>SUM('Revenues 9-14'!C232:G232,'Revenues 9-14'!J232)</f>
        <v>0</v>
      </c>
      <c r="G138" s="903"/>
    </row>
    <row r="139" spans="1:7" s="865" customFormat="1" hidden="1" x14ac:dyDescent="0.2">
      <c r="A139" s="932" t="s">
        <v>215</v>
      </c>
      <c r="B139" s="932" t="s">
        <v>220</v>
      </c>
      <c r="C139" s="933" t="s">
        <v>218</v>
      </c>
      <c r="D139" s="934" t="str">
        <f>'Revenues 9-14'!A233</f>
        <v>ARRA - Title I - Delinquent, Private</v>
      </c>
      <c r="E139" s="935"/>
      <c r="F139" s="1808">
        <f>SUM('Revenues 9-14'!C233:G233,'Revenues 9-14'!J233)</f>
        <v>0</v>
      </c>
      <c r="G139" s="903"/>
    </row>
    <row r="140" spans="1:7" s="865" customFormat="1" hidden="1" x14ac:dyDescent="0.2">
      <c r="A140" s="932" t="s">
        <v>215</v>
      </c>
      <c r="B140" s="932" t="s">
        <v>222</v>
      </c>
      <c r="C140" s="933" t="s">
        <v>219</v>
      </c>
      <c r="D140" s="934" t="str">
        <f>'Revenues 9-14'!A234</f>
        <v>ARRA - Title I - School Improvement (Part A)</v>
      </c>
      <c r="E140" s="935"/>
      <c r="F140" s="1808">
        <f>SUM('Revenues 9-14'!C234:G234,'Revenues 9-14'!J234)</f>
        <v>0</v>
      </c>
      <c r="G140" s="903"/>
    </row>
    <row r="141" spans="1:7" s="865" customFormat="1" hidden="1" x14ac:dyDescent="0.2">
      <c r="A141" s="932" t="s">
        <v>215</v>
      </c>
      <c r="B141" s="932" t="s">
        <v>224</v>
      </c>
      <c r="C141" s="933" t="s">
        <v>221</v>
      </c>
      <c r="D141" s="934" t="str">
        <f>'Revenues 9-14'!A235</f>
        <v>ARRA - Title I - School Improvement (Section 1003g)</v>
      </c>
      <c r="E141" s="935"/>
      <c r="F141" s="1808">
        <f>SUM('Revenues 9-14'!C235:G235,'Revenues 9-14'!J235)</f>
        <v>0</v>
      </c>
      <c r="G141" s="903"/>
    </row>
    <row r="142" spans="1:7" s="865" customFormat="1" hidden="1" x14ac:dyDescent="0.2">
      <c r="A142" s="932" t="s">
        <v>215</v>
      </c>
      <c r="B142" s="932" t="s">
        <v>226</v>
      </c>
      <c r="C142" s="933" t="s">
        <v>223</v>
      </c>
      <c r="D142" s="934" t="str">
        <f>'Revenues 9-14'!A236</f>
        <v>ARRA - IDEA - Part B - Preschool</v>
      </c>
      <c r="E142" s="935"/>
      <c r="F142" s="1808">
        <v>0</v>
      </c>
      <c r="G142" s="903"/>
    </row>
    <row r="143" spans="1:7" s="865" customFormat="1" hidden="1" x14ac:dyDescent="0.2">
      <c r="A143" s="932" t="s">
        <v>215</v>
      </c>
      <c r="B143" s="932" t="s">
        <v>228</v>
      </c>
      <c r="C143" s="933" t="s">
        <v>225</v>
      </c>
      <c r="D143" s="934" t="str">
        <f>'Revenues 9-14'!A237</f>
        <v>ARRA - IDEA - Part B - Flow-Through</v>
      </c>
      <c r="E143" s="935"/>
      <c r="F143" s="1808">
        <f>SUM('Revenues 9-14'!C237:G237,'Revenues 9-14'!J237)</f>
        <v>0</v>
      </c>
      <c r="G143" s="903"/>
    </row>
    <row r="144" spans="1:7" s="865" customFormat="1" hidden="1" x14ac:dyDescent="0.2">
      <c r="A144" s="932" t="s">
        <v>215</v>
      </c>
      <c r="B144" s="932" t="s">
        <v>860</v>
      </c>
      <c r="C144" s="933" t="s">
        <v>227</v>
      </c>
      <c r="D144" s="934" t="str">
        <f>'Revenues 9-14'!A238</f>
        <v>ARRA - Title IID - Technology-Formula</v>
      </c>
      <c r="E144" s="935"/>
      <c r="F144" s="1808">
        <f>SUM('Revenues 9-14'!C238:G238,'Revenues 9-14'!J238)</f>
        <v>0</v>
      </c>
      <c r="G144" s="903"/>
    </row>
    <row r="145" spans="1:7" s="865" customFormat="1" hidden="1" x14ac:dyDescent="0.2">
      <c r="A145" s="932" t="s">
        <v>215</v>
      </c>
      <c r="B145" s="932" t="s">
        <v>1486</v>
      </c>
      <c r="C145" s="933" t="s">
        <v>229</v>
      </c>
      <c r="D145" s="934" t="str">
        <f>'Revenues 9-14'!A239</f>
        <v>ARRA - Title IID - Technology-Competitive</v>
      </c>
      <c r="E145" s="935"/>
      <c r="F145" s="1808">
        <f>SUM('Revenues 9-14'!C239:G239,'Revenues 9-14'!J239)</f>
        <v>0</v>
      </c>
      <c r="G145" s="903"/>
    </row>
    <row r="146" spans="1:7" s="865" customFormat="1" hidden="1" x14ac:dyDescent="0.2">
      <c r="A146" s="932" t="s">
        <v>689</v>
      </c>
      <c r="B146" s="932" t="s">
        <v>1487</v>
      </c>
      <c r="C146" s="933" t="s">
        <v>230</v>
      </c>
      <c r="D146" s="934" t="str">
        <f>'Revenues 9-14'!A240</f>
        <v>ARRA - McKinney - Vento Homeless Education</v>
      </c>
      <c r="E146" s="935"/>
      <c r="F146" s="1808">
        <f>SUM('Revenues 9-14'!C240:G240,'Revenues 9-14'!J240)</f>
        <v>0</v>
      </c>
      <c r="G146" s="903"/>
    </row>
    <row r="147" spans="1:7" s="865" customFormat="1" hidden="1" x14ac:dyDescent="0.2">
      <c r="A147" s="932" t="s">
        <v>215</v>
      </c>
      <c r="B147" s="932" t="s">
        <v>233</v>
      </c>
      <c r="C147" s="933" t="s">
        <v>231</v>
      </c>
      <c r="D147" s="934" t="str">
        <f>'Revenues 9-14'!A244</f>
        <v>Qualified Zone Academy Bond Tax Credits</v>
      </c>
      <c r="E147" s="935"/>
      <c r="F147" s="1808">
        <f>SUM('Revenues 9-14'!C244:G244,'Revenues 9-14'!J244)</f>
        <v>0</v>
      </c>
      <c r="G147" s="903"/>
    </row>
    <row r="148" spans="1:7" s="865" customFormat="1" hidden="1" x14ac:dyDescent="0.2">
      <c r="A148" s="932" t="s">
        <v>215</v>
      </c>
      <c r="B148" s="932" t="s">
        <v>235</v>
      </c>
      <c r="C148" s="933" t="s">
        <v>232</v>
      </c>
      <c r="D148" s="934" t="str">
        <f>'Revenues 9-14'!A245</f>
        <v>Qualified School Construction Bond Credits</v>
      </c>
      <c r="E148" s="935"/>
      <c r="F148" s="1808">
        <f>SUM('Revenues 9-14'!C245:G245,'Revenues 9-14'!J245)</f>
        <v>0</v>
      </c>
      <c r="G148" s="903"/>
    </row>
    <row r="149" spans="1:7" s="865" customFormat="1" hidden="1" x14ac:dyDescent="0.2">
      <c r="A149" s="932" t="s">
        <v>215</v>
      </c>
      <c r="B149" s="932" t="s">
        <v>237</v>
      </c>
      <c r="C149" s="933" t="s">
        <v>234</v>
      </c>
      <c r="D149" s="934" t="str">
        <f>'Revenues 9-14'!A246</f>
        <v>Build America Bond Tax Credits</v>
      </c>
      <c r="E149" s="935"/>
      <c r="F149" s="1808">
        <f>SUM('Revenues 9-14'!C246:G246,'Revenues 9-14'!J246)</f>
        <v>0</v>
      </c>
      <c r="G149" s="903"/>
    </row>
    <row r="150" spans="1:7" s="865" customFormat="1" hidden="1" x14ac:dyDescent="0.2">
      <c r="A150" s="932" t="s">
        <v>215</v>
      </c>
      <c r="B150" s="932" t="s">
        <v>1488</v>
      </c>
      <c r="C150" s="933" t="s">
        <v>236</v>
      </c>
      <c r="D150" s="934" t="str">
        <f>'Revenues 9-14'!A247</f>
        <v>Build America Bond Interest Reimbursement</v>
      </c>
      <c r="E150" s="935"/>
      <c r="F150" s="1808">
        <f>SUM('Revenues 9-14'!C247:G247,'Revenues 9-14'!J247)</f>
        <v>0</v>
      </c>
      <c r="G150" s="903"/>
    </row>
    <row r="151" spans="1:7" s="865" customFormat="1" hidden="1" x14ac:dyDescent="0.2">
      <c r="A151" s="932" t="s">
        <v>215</v>
      </c>
      <c r="B151" s="932" t="s">
        <v>240</v>
      </c>
      <c r="C151" s="933" t="s">
        <v>238</v>
      </c>
      <c r="D151" s="934" t="str">
        <f>'Revenues 9-14'!A249</f>
        <v>Other ARRA Funds - II</v>
      </c>
      <c r="E151" s="935"/>
      <c r="F151" s="1808">
        <f>SUM('Revenues 9-14'!C249:G249,'Revenues 9-14'!J249)</f>
        <v>0</v>
      </c>
      <c r="G151" s="903"/>
    </row>
    <row r="152" spans="1:7" s="865" customFormat="1" hidden="1" x14ac:dyDescent="0.2">
      <c r="A152" s="932" t="s">
        <v>215</v>
      </c>
      <c r="B152" s="932" t="s">
        <v>242</v>
      </c>
      <c r="C152" s="933" t="s">
        <v>239</v>
      </c>
      <c r="D152" s="934" t="str">
        <f>'Revenues 9-14'!A250</f>
        <v>Other ARRA Funds - III</v>
      </c>
      <c r="E152" s="935"/>
      <c r="F152" s="1808">
        <f>SUM('Revenues 9-14'!C250:G250,'Revenues 9-14'!J250)</f>
        <v>0</v>
      </c>
      <c r="G152" s="903"/>
    </row>
    <row r="153" spans="1:7" s="865" customFormat="1" hidden="1" x14ac:dyDescent="0.2">
      <c r="A153" s="932" t="s">
        <v>215</v>
      </c>
      <c r="B153" s="932" t="s">
        <v>244</v>
      </c>
      <c r="C153" s="933" t="s">
        <v>241</v>
      </c>
      <c r="D153" s="934" t="str">
        <f>'Revenues 9-14'!A251</f>
        <v>Other ARRA Funds - IV</v>
      </c>
      <c r="E153" s="935"/>
      <c r="F153" s="1808">
        <f>SUM('Revenues 9-14'!C251:G251,'Revenues 9-14'!J251)</f>
        <v>0</v>
      </c>
      <c r="G153" s="903"/>
    </row>
    <row r="154" spans="1:7" s="865" customFormat="1" hidden="1" x14ac:dyDescent="0.2">
      <c r="A154" s="932" t="s">
        <v>215</v>
      </c>
      <c r="B154" s="932" t="s">
        <v>246</v>
      </c>
      <c r="C154" s="933" t="s">
        <v>243</v>
      </c>
      <c r="D154" s="934" t="str">
        <f>'Revenues 9-14'!A252</f>
        <v>Other ARRA Funds - V</v>
      </c>
      <c r="E154" s="935"/>
      <c r="F154" s="1808">
        <f>SUM('Revenues 9-14'!C252:G252,'Revenues 9-14'!J252)</f>
        <v>0</v>
      </c>
      <c r="G154" s="903"/>
    </row>
    <row r="155" spans="1:7" s="865" customFormat="1" hidden="1" x14ac:dyDescent="0.2">
      <c r="A155" s="932" t="s">
        <v>215</v>
      </c>
      <c r="B155" s="932" t="s">
        <v>248</v>
      </c>
      <c r="C155" s="933" t="s">
        <v>245</v>
      </c>
      <c r="D155" s="934" t="str">
        <f>'Revenues 9-14'!A253</f>
        <v>ARRA - Early Childhood</v>
      </c>
      <c r="E155" s="935"/>
      <c r="F155" s="1808">
        <v>0</v>
      </c>
      <c r="G155" s="903"/>
    </row>
    <row r="156" spans="1:7" s="865" customFormat="1" hidden="1" x14ac:dyDescent="0.2">
      <c r="A156" s="932" t="s">
        <v>215</v>
      </c>
      <c r="B156" s="932" t="s">
        <v>250</v>
      </c>
      <c r="C156" s="933" t="s">
        <v>247</v>
      </c>
      <c r="D156" s="934" t="str">
        <f>'Revenues 9-14'!A254</f>
        <v>Other ARRA Funds VII</v>
      </c>
      <c r="E156" s="935"/>
      <c r="F156" s="1808">
        <f>SUM('Revenues 9-14'!C254:G254,'Revenues 9-14'!J254)</f>
        <v>0</v>
      </c>
      <c r="G156" s="903"/>
    </row>
    <row r="157" spans="1:7" s="865" customFormat="1" hidden="1" x14ac:dyDescent="0.2">
      <c r="A157" s="932" t="s">
        <v>215</v>
      </c>
      <c r="B157" s="932" t="s">
        <v>252</v>
      </c>
      <c r="C157" s="933" t="s">
        <v>249</v>
      </c>
      <c r="D157" s="934" t="str">
        <f>'Revenues 9-14'!A255</f>
        <v>Other ARRA Funds VIII</v>
      </c>
      <c r="E157" s="935"/>
      <c r="F157" s="1808">
        <f>SUM('Revenues 9-14'!C255:G255,'Revenues 9-14'!J255)</f>
        <v>0</v>
      </c>
      <c r="G157" s="903"/>
    </row>
    <row r="158" spans="1:7" s="865" customFormat="1" hidden="1" x14ac:dyDescent="0.2">
      <c r="A158" s="932" t="s">
        <v>215</v>
      </c>
      <c r="B158" s="932" t="s">
        <v>254</v>
      </c>
      <c r="C158" s="933" t="s">
        <v>251</v>
      </c>
      <c r="D158" s="934" t="str">
        <f>'Revenues 9-14'!A256</f>
        <v>Other ARRA Funds IX</v>
      </c>
      <c r="E158" s="935"/>
      <c r="F158" s="1808">
        <f>SUM('Revenues 9-14'!C256:G256,'Revenues 9-14'!J256)</f>
        <v>0</v>
      </c>
      <c r="G158" s="903"/>
    </row>
    <row r="159" spans="1:7" s="865" customFormat="1" hidden="1" x14ac:dyDescent="0.2">
      <c r="A159" s="932" t="s">
        <v>215</v>
      </c>
      <c r="B159" s="932" t="s">
        <v>863</v>
      </c>
      <c r="C159" s="933" t="s">
        <v>253</v>
      </c>
      <c r="D159" s="934" t="str">
        <f>'Revenues 9-14'!A257</f>
        <v>Other ARRA Funds X</v>
      </c>
      <c r="E159" s="935"/>
      <c r="F159" s="1808">
        <f>SUM('Revenues 9-14'!C257:G257,'Revenues 9-14'!J257)</f>
        <v>0</v>
      </c>
      <c r="G159" s="903"/>
    </row>
    <row r="160" spans="1:7" s="865" customFormat="1" hidden="1" x14ac:dyDescent="0.2">
      <c r="A160" s="932" t="s">
        <v>215</v>
      </c>
      <c r="B160" s="932" t="s">
        <v>1489</v>
      </c>
      <c r="C160" s="933" t="s">
        <v>255</v>
      </c>
      <c r="D160" s="934" t="str">
        <f>'Revenues 9-14'!A258</f>
        <v>Other ARRA Funds Ed Job Fund Program</v>
      </c>
      <c r="E160" s="935"/>
      <c r="F160" s="1808">
        <f>SUM('Revenues 9-14'!C258:G258,'Revenues 9-14'!J258)</f>
        <v>0</v>
      </c>
      <c r="G160" s="903"/>
    </row>
    <row r="161" spans="1:7" s="865" customFormat="1" x14ac:dyDescent="0.2">
      <c r="A161" s="936" t="s">
        <v>521</v>
      </c>
      <c r="B161" s="937" t="s">
        <v>1564</v>
      </c>
      <c r="C161" s="938" t="s">
        <v>896</v>
      </c>
      <c r="D161" s="939" t="s">
        <v>808</v>
      </c>
      <c r="E161" s="940"/>
      <c r="F161" s="1808">
        <f>SUM(F137:F160)</f>
        <v>0</v>
      </c>
      <c r="G161" s="903"/>
    </row>
    <row r="162" spans="1:7" s="865" customFormat="1" x14ac:dyDescent="0.2">
      <c r="A162" s="936" t="s">
        <v>479</v>
      </c>
      <c r="B162" s="937" t="s">
        <v>1501</v>
      </c>
      <c r="C162" s="938" t="s">
        <v>1499</v>
      </c>
      <c r="D162" s="939" t="s">
        <v>1500</v>
      </c>
      <c r="E162" s="940"/>
      <c r="F162" s="1808">
        <f>SUM('Revenues 9-14'!C260)</f>
        <v>0</v>
      </c>
      <c r="G162" s="903"/>
    </row>
    <row r="163" spans="1:7" s="865" customFormat="1" x14ac:dyDescent="0.2">
      <c r="A163" s="936" t="s">
        <v>521</v>
      </c>
      <c r="B163" s="937" t="s">
        <v>1541</v>
      </c>
      <c r="C163" s="938" t="s">
        <v>1542</v>
      </c>
      <c r="D163" s="939" t="s">
        <v>1543</v>
      </c>
      <c r="E163" s="940"/>
      <c r="F163" s="1808">
        <f>SUM('Revenues 9-14'!C261:H261,'Revenues 9-14'!J261:K261)</f>
        <v>0</v>
      </c>
      <c r="G163" s="903"/>
    </row>
    <row r="164" spans="1:7" x14ac:dyDescent="0.2">
      <c r="A164" s="925" t="s">
        <v>1067</v>
      </c>
      <c r="B164" s="925" t="s">
        <v>1556</v>
      </c>
      <c r="C164" s="930">
        <f>'Revenues 9-14'!B262</f>
        <v>4904</v>
      </c>
      <c r="D164" s="927" t="str">
        <f>'Revenues 9-14'!A262</f>
        <v>Advanced Placement Fee/International Baccalaureate</v>
      </c>
      <c r="E164" s="904"/>
      <c r="F164" s="1808">
        <f>SUM('Revenues 9-14'!C262,'Revenues 9-14'!D262,'Revenues 9-14'!G262)</f>
        <v>0</v>
      </c>
      <c r="G164" s="928"/>
    </row>
    <row r="165" spans="1:7" x14ac:dyDescent="0.2">
      <c r="A165" s="925" t="s">
        <v>5</v>
      </c>
      <c r="B165" s="925" t="s">
        <v>809</v>
      </c>
      <c r="C165" s="930">
        <f>'Revenues 9-14'!B263</f>
        <v>4905</v>
      </c>
      <c r="D165" s="927" t="str">
        <f>'Revenues 9-14'!A263</f>
        <v>Title III - Immigrant Education Program (IEP)</v>
      </c>
      <c r="E165" s="904"/>
      <c r="F165" s="1808">
        <f>SUM('Revenues 9-14'!C263,'Revenues 9-14'!F263,'Revenues 9-14'!G263)</f>
        <v>0</v>
      </c>
      <c r="G165" s="941">
        <v>6306</v>
      </c>
    </row>
    <row r="166" spans="1:7" x14ac:dyDescent="0.2">
      <c r="A166" s="925" t="s">
        <v>5</v>
      </c>
      <c r="B166" s="925" t="s">
        <v>1502</v>
      </c>
      <c r="C166" s="930">
        <f>'Revenues 9-14'!B264</f>
        <v>4909</v>
      </c>
      <c r="D166" s="927" t="str">
        <f>'Revenues 9-14'!A264</f>
        <v>Title III - Language Inst Program - Limited Eng (LIPLEP)</v>
      </c>
      <c r="E166" s="904"/>
      <c r="F166" s="1808">
        <f>SUM('Revenues 9-14'!C264,'Revenues 9-14'!F264,'Revenues 9-14'!G264)</f>
        <v>0</v>
      </c>
      <c r="G166" s="941"/>
    </row>
    <row r="167" spans="1:7" x14ac:dyDescent="0.2">
      <c r="A167" s="925" t="s">
        <v>5</v>
      </c>
      <c r="B167" s="925" t="s">
        <v>1557</v>
      </c>
      <c r="C167" s="930">
        <f>'Revenues 9-14'!B265</f>
        <v>4910</v>
      </c>
      <c r="D167" s="927" t="str">
        <f>'Revenues 9-14'!A265</f>
        <v>Learn &amp; Serve America</v>
      </c>
      <c r="E167" s="904"/>
      <c r="F167" s="1808">
        <f>SUM('Revenues 9-14'!C265,'Revenues 9-14'!F265,'Revenues 9-14'!G265)</f>
        <v>0</v>
      </c>
      <c r="G167" s="928"/>
    </row>
    <row r="168" spans="1:7" x14ac:dyDescent="0.2">
      <c r="A168" s="925" t="s">
        <v>689</v>
      </c>
      <c r="B168" s="925" t="s">
        <v>707</v>
      </c>
      <c r="C168" s="930">
        <f>'Revenues 9-14'!B266</f>
        <v>4920</v>
      </c>
      <c r="D168" s="927" t="str">
        <f>'Revenues 9-14'!A266</f>
        <v>McKinney Education for Homeless Children</v>
      </c>
      <c r="E168" s="904"/>
      <c r="F168" s="1808">
        <f>SUM('Revenues 9-14'!C266,'Revenues 9-14'!D266,'Revenues 9-14'!F266,'Revenues 9-14'!G266)</f>
        <v>0</v>
      </c>
      <c r="G168" s="928"/>
    </row>
    <row r="169" spans="1:7" x14ac:dyDescent="0.2">
      <c r="A169" s="942" t="s">
        <v>689</v>
      </c>
      <c r="B169" s="942" t="s">
        <v>708</v>
      </c>
      <c r="C169" s="943">
        <f>'Revenues 9-14'!B267</f>
        <v>4930</v>
      </c>
      <c r="D169" s="944" t="str">
        <f>'Revenues 9-14'!A267</f>
        <v>Title II - Eisenhower Professional Development Formula</v>
      </c>
      <c r="E169" s="924"/>
      <c r="F169" s="1926">
        <f>SUM('Revenues 9-14'!C267:D267,'Revenues 9-14'!F267,'Revenues 9-14'!G267)</f>
        <v>0</v>
      </c>
      <c r="G169" s="928"/>
    </row>
    <row r="170" spans="1:7" x14ac:dyDescent="0.2">
      <c r="A170" s="925" t="s">
        <v>689</v>
      </c>
      <c r="B170" s="925" t="s">
        <v>709</v>
      </c>
      <c r="C170" s="930">
        <f>'Revenues 9-14'!B268</f>
        <v>4932</v>
      </c>
      <c r="D170" s="931" t="str">
        <f>'Revenues 9-14'!A268</f>
        <v>Title II - Teacher Quality</v>
      </c>
      <c r="E170" s="904"/>
      <c r="F170" s="1926">
        <f>SUM('Revenues 9-14'!C268,'Revenues 9-14'!D268,'Revenues 9-14'!F268,'Revenues 9-14'!G268)</f>
        <v>0</v>
      </c>
      <c r="G170" s="928"/>
    </row>
    <row r="171" spans="1:7" x14ac:dyDescent="0.2">
      <c r="A171" s="925" t="s">
        <v>689</v>
      </c>
      <c r="B171" s="925" t="s">
        <v>864</v>
      </c>
      <c r="C171" s="930">
        <f>'Revenues 9-14'!B269</f>
        <v>4960</v>
      </c>
      <c r="D171" s="927" t="str">
        <f>'Revenues 9-14'!A269</f>
        <v>Federal Charter Schools</v>
      </c>
      <c r="E171" s="904"/>
      <c r="F171" s="1808">
        <f>SUM('Revenues 9-14'!C269:D269,'Revenues 9-14'!F269:G269)</f>
        <v>0</v>
      </c>
      <c r="G171" s="928"/>
    </row>
    <row r="172" spans="1:7" x14ac:dyDescent="0.2">
      <c r="A172" s="925" t="s">
        <v>689</v>
      </c>
      <c r="B172" s="925" t="s">
        <v>810</v>
      </c>
      <c r="C172" s="930">
        <f>'Revenues 9-14'!B270</f>
        <v>4991</v>
      </c>
      <c r="D172" s="931" t="str">
        <f>'Revenues 9-14'!A270</f>
        <v>Medicaid Matching Funds - Administrative Outreach</v>
      </c>
      <c r="E172" s="904"/>
      <c r="F172" s="1808">
        <f>SUM('Revenues 9-14'!C270:D270,'Revenues 9-14'!F270:G270)</f>
        <v>0</v>
      </c>
      <c r="G172" s="945">
        <v>6320</v>
      </c>
    </row>
    <row r="173" spans="1:7" x14ac:dyDescent="0.2">
      <c r="A173" s="925" t="s">
        <v>689</v>
      </c>
      <c r="B173" s="925" t="s">
        <v>1503</v>
      </c>
      <c r="C173" s="930">
        <f>'Revenues 9-14'!B271</f>
        <v>4992</v>
      </c>
      <c r="D173" s="931" t="str">
        <f>'Revenues 9-14'!A271</f>
        <v>Medicaid Matching Funds - Fee-for-Service Program</v>
      </c>
      <c r="E173" s="904"/>
      <c r="F173" s="1808">
        <f>SUM('Revenues 9-14'!C271:D271,'Revenues 9-14'!F271:G271)</f>
        <v>0</v>
      </c>
      <c r="G173" s="945"/>
    </row>
    <row r="174" spans="1:7" x14ac:dyDescent="0.2">
      <c r="A174" s="946" t="s">
        <v>689</v>
      </c>
      <c r="B174" s="942" t="s">
        <v>1558</v>
      </c>
      <c r="C174" s="943">
        <f>'Revenues 9-14'!B272</f>
        <v>4999</v>
      </c>
      <c r="D174" s="944" t="str">
        <f>'Revenues 9-14'!A272</f>
        <v>Other Restricted Revenue from Federal Sources (Describe &amp; Itemize)</v>
      </c>
      <c r="E174" s="904"/>
      <c r="F174" s="1808">
        <f>SUM('Revenues 9-14'!C272:D272,'Revenues 9-14'!F272:G272)</f>
        <v>0</v>
      </c>
      <c r="G174" s="925"/>
    </row>
    <row r="175" spans="1:7" x14ac:dyDescent="0.2">
      <c r="A175" s="1937" t="s">
        <v>5</v>
      </c>
      <c r="B175" s="1938" t="s">
        <v>2042</v>
      </c>
      <c r="C175" s="1939">
        <v>3100</v>
      </c>
      <c r="D175" s="1940" t="s">
        <v>2045</v>
      </c>
      <c r="E175" s="904"/>
      <c r="F175" s="1924"/>
      <c r="G175" s="925"/>
    </row>
    <row r="176" spans="1:7" x14ac:dyDescent="0.2">
      <c r="A176" s="1937" t="s">
        <v>685</v>
      </c>
      <c r="B176" s="1938" t="s">
        <v>2042</v>
      </c>
      <c r="C176" s="1939">
        <v>3300</v>
      </c>
      <c r="D176" s="1940" t="s">
        <v>2046</v>
      </c>
      <c r="E176" s="904"/>
      <c r="F176" s="1924"/>
      <c r="G176" s="925"/>
    </row>
    <row r="177" spans="1:7" ht="6" customHeight="1" x14ac:dyDescent="0.2">
      <c r="A177" s="925"/>
      <c r="B177" s="925"/>
      <c r="C177" s="947"/>
      <c r="D177" s="925"/>
      <c r="E177" s="904"/>
      <c r="F177" s="948"/>
      <c r="G177" s="945"/>
    </row>
    <row r="178" spans="1:7" x14ac:dyDescent="0.2">
      <c r="A178" s="1789"/>
      <c r="B178" s="1803"/>
      <c r="C178" s="1804"/>
      <c r="D178" s="1805" t="s">
        <v>1999</v>
      </c>
      <c r="E178" s="1806" t="s">
        <v>1015</v>
      </c>
      <c r="F178" s="1807">
        <f>SUM(F84:F136,F161:F176)</f>
        <v>394973</v>
      </c>
    </row>
    <row r="179" spans="1:7" ht="12" customHeight="1" x14ac:dyDescent="0.2">
      <c r="A179" s="1789"/>
      <c r="B179" s="1803"/>
      <c r="C179" s="1804"/>
      <c r="D179" s="1805" t="s">
        <v>2000</v>
      </c>
      <c r="E179" s="1806"/>
      <c r="F179" s="1808">
        <f>'PCTC-OEPP 27-28'!F77-F178</f>
        <v>311646</v>
      </c>
    </row>
    <row r="180" spans="1:7" ht="12" customHeight="1" x14ac:dyDescent="0.2">
      <c r="A180" s="1789"/>
      <c r="B180" s="1803"/>
      <c r="C180" s="1804"/>
      <c r="D180" s="1805" t="s">
        <v>1909</v>
      </c>
      <c r="E180" s="1806"/>
      <c r="F180" s="1808">
        <f>'Cap Outlay Deprec 26'!I18</f>
        <v>11203</v>
      </c>
    </row>
    <row r="181" spans="1:7" ht="12" customHeight="1" x14ac:dyDescent="0.2">
      <c r="A181" s="1789"/>
      <c r="B181" s="1803"/>
      <c r="C181" s="1804"/>
      <c r="D181" s="1805" t="s">
        <v>2001</v>
      </c>
      <c r="E181" s="1806"/>
      <c r="F181" s="1808">
        <f>F179+F180</f>
        <v>322849</v>
      </c>
    </row>
    <row r="182" spans="1:7" ht="12" customHeight="1" x14ac:dyDescent="0.2">
      <c r="A182" s="1789"/>
      <c r="B182" s="1809"/>
      <c r="C182" s="1804"/>
      <c r="D182" s="1805" t="str">
        <f>D78</f>
        <v>9 Month ADA from District Average Daily Attendance/Prior General State Aid Inquiry 2017-2018</v>
      </c>
      <c r="E182" s="1806"/>
      <c r="F182" s="1810">
        <f>'PCTC-OEPP 27-28'!F78</f>
        <v>0</v>
      </c>
      <c r="G182" s="928"/>
    </row>
    <row r="183" spans="1:7" ht="12" customHeight="1" thickBot="1" x14ac:dyDescent="0.25">
      <c r="A183" s="1789"/>
      <c r="B183" s="1809"/>
      <c r="C183" s="1804"/>
      <c r="D183" s="1805" t="s">
        <v>2002</v>
      </c>
      <c r="E183" s="1806" t="s">
        <v>1626</v>
      </c>
      <c r="F183" s="1811" t="e">
        <f>F181/F182</f>
        <v>#DIV/0!</v>
      </c>
      <c r="G183" s="854">
        <v>6323</v>
      </c>
    </row>
    <row r="184" spans="1:7" ht="12" thickTop="1" x14ac:dyDescent="0.2">
      <c r="B184" s="928"/>
      <c r="C184" s="947"/>
      <c r="D184" s="928"/>
      <c r="E184" s="947"/>
      <c r="F184" s="928"/>
      <c r="G184" s="949">
        <v>6326</v>
      </c>
    </row>
    <row r="185" spans="1:7" ht="12.2" customHeight="1" x14ac:dyDescent="0.2">
      <c r="A185" s="928" t="s">
        <v>2044</v>
      </c>
      <c r="B185" s="928"/>
      <c r="C185" s="947"/>
      <c r="D185" s="928"/>
      <c r="E185" s="947"/>
      <c r="F185" s="928"/>
      <c r="G185" s="928"/>
    </row>
    <row r="186" spans="1:7" s="1941" customFormat="1" ht="12.2" customHeight="1" x14ac:dyDescent="0.2">
      <c r="A186" s="1941" t="s">
        <v>2049</v>
      </c>
      <c r="B186" s="1942"/>
      <c r="C186" s="1943"/>
      <c r="D186" s="1942"/>
      <c r="E186" s="1943"/>
      <c r="F186" s="1942"/>
      <c r="G186" s="1942"/>
    </row>
    <row r="187" spans="1:7" s="1941" customFormat="1" ht="12.2" customHeight="1" x14ac:dyDescent="0.2">
      <c r="A187" s="1944" t="s">
        <v>2050</v>
      </c>
      <c r="C187" s="1943"/>
      <c r="D187" s="1942"/>
      <c r="E187" s="1943"/>
      <c r="F187" s="1942"/>
      <c r="G187" s="1942"/>
    </row>
    <row r="188" spans="1:7" ht="12" customHeight="1" x14ac:dyDescent="0.2">
      <c r="C188" s="947"/>
      <c r="D188" s="928"/>
      <c r="E188" s="947"/>
      <c r="F188" s="928"/>
      <c r="G188" s="928"/>
    </row>
    <row r="189" spans="1:7" x14ac:dyDescent="0.2">
      <c r="A189" s="1945" t="s">
        <v>2048</v>
      </c>
      <c r="B189" s="1946" t="s">
        <v>2047</v>
      </c>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row r="203" spans="1:7" x14ac:dyDescent="0.2">
      <c r="A203" s="928"/>
      <c r="B203" s="928"/>
      <c r="C203" s="947"/>
      <c r="D203" s="928"/>
      <c r="E203" s="947"/>
      <c r="F203" s="928"/>
      <c r="G203" s="928"/>
    </row>
    <row r="204" spans="1:7" x14ac:dyDescent="0.2">
      <c r="A204" s="928"/>
      <c r="B204" s="928"/>
      <c r="C204" s="947"/>
      <c r="D204" s="928"/>
      <c r="E204" s="947"/>
      <c r="F204" s="928"/>
      <c r="G204" s="928"/>
    </row>
    <row r="205" spans="1:7" x14ac:dyDescent="0.2">
      <c r="A205" s="928"/>
      <c r="B205" s="928"/>
      <c r="C205" s="947"/>
      <c r="D205" s="928"/>
      <c r="E205" s="947"/>
      <c r="F205" s="928"/>
      <c r="G205" s="928"/>
    </row>
    <row r="206" spans="1:7" x14ac:dyDescent="0.2">
      <c r="A206" s="928"/>
      <c r="B206" s="928"/>
      <c r="C206" s="947"/>
      <c r="D206" s="928"/>
      <c r="E206" s="947"/>
      <c r="F206" s="928"/>
      <c r="G206" s="92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1925</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287" t="s">
        <v>1910</v>
      </c>
      <c r="B4" s="2288"/>
      <c r="C4" s="2288"/>
      <c r="D4" s="2288"/>
      <c r="E4" s="2288"/>
      <c r="F4" s="2288"/>
      <c r="G4" s="2289"/>
    </row>
    <row r="5" spans="1:7" x14ac:dyDescent="0.25">
      <c r="A5" s="2290"/>
      <c r="B5" s="2291"/>
      <c r="C5" s="2291"/>
      <c r="D5" s="2291"/>
      <c r="E5" s="2291"/>
      <c r="F5" s="2291"/>
      <c r="G5" s="2292"/>
    </row>
    <row r="6" spans="1:7" ht="18.75" x14ac:dyDescent="0.25">
      <c r="A6" s="1553" t="s">
        <v>1911</v>
      </c>
      <c r="B6" s="1554"/>
      <c r="C6" s="1554"/>
      <c r="D6" s="1554"/>
      <c r="E6" s="1554"/>
      <c r="F6" s="1554"/>
      <c r="G6" s="1555"/>
    </row>
    <row r="7" spans="1:7" ht="30.75" customHeight="1" x14ac:dyDescent="0.25">
      <c r="A7" s="2293" t="s">
        <v>2059</v>
      </c>
      <c r="B7" s="2294"/>
      <c r="C7" s="2294"/>
      <c r="D7" s="2294"/>
      <c r="E7" s="2294"/>
      <c r="F7" s="2294"/>
      <c r="G7" s="2295"/>
    </row>
    <row r="8" spans="1:7" ht="15.75" customHeight="1" x14ac:dyDescent="0.25">
      <c r="A8" s="2296" t="s">
        <v>2008</v>
      </c>
      <c r="B8" s="2297"/>
      <c r="C8" s="2297"/>
      <c r="D8" s="2297"/>
      <c r="E8" s="2297"/>
      <c r="F8" s="2297"/>
      <c r="G8" s="2298"/>
    </row>
    <row r="9" spans="1:7" ht="35.25" customHeight="1" x14ac:dyDescent="0.25">
      <c r="A9" s="2293" t="s">
        <v>2007</v>
      </c>
      <c r="B9" s="2294"/>
      <c r="C9" s="2294"/>
      <c r="D9" s="2294"/>
      <c r="E9" s="2294"/>
      <c r="F9" s="2294"/>
      <c r="G9" s="2295"/>
    </row>
    <row r="10" spans="1:7" ht="15" customHeight="1" x14ac:dyDescent="0.25">
      <c r="A10" s="1556" t="s">
        <v>1912</v>
      </c>
      <c r="B10" s="1557"/>
      <c r="C10" s="1557"/>
      <c r="D10" s="1557"/>
      <c r="E10" s="1557"/>
      <c r="F10" s="1557"/>
      <c r="G10" s="1558"/>
    </row>
    <row r="11" spans="1:7" ht="17.25" customHeight="1" x14ac:dyDescent="0.25">
      <c r="A11" s="2293" t="s">
        <v>1926</v>
      </c>
      <c r="B11" s="2294"/>
      <c r="C11" s="2294"/>
      <c r="D11" s="2294"/>
      <c r="E11" s="2294"/>
      <c r="F11" s="2294"/>
      <c r="G11" s="2295"/>
    </row>
    <row r="12" spans="1:7" ht="15" customHeight="1" x14ac:dyDescent="0.25">
      <c r="A12" s="1556" t="s">
        <v>1917</v>
      </c>
      <c r="B12" s="1557"/>
      <c r="C12" s="1557"/>
      <c r="D12" s="1557"/>
      <c r="E12" s="1557"/>
      <c r="F12" s="1557"/>
      <c r="G12" s="1558"/>
    </row>
    <row r="13" spans="1:7" ht="32.25" customHeight="1" x14ac:dyDescent="0.25">
      <c r="A13" s="2284" t="s">
        <v>1918</v>
      </c>
      <c r="B13" s="2285"/>
      <c r="C13" s="2285"/>
      <c r="D13" s="2285"/>
      <c r="E13" s="2285"/>
      <c r="F13" s="2285"/>
      <c r="G13" s="2286"/>
    </row>
    <row r="14" spans="1:7" x14ac:dyDescent="0.25">
      <c r="A14" s="1680" t="s">
        <v>1927</v>
      </c>
      <c r="B14" s="1681"/>
      <c r="C14" s="1681"/>
      <c r="D14" s="1681"/>
      <c r="E14" s="1681"/>
      <c r="F14" s="1681"/>
      <c r="G14" s="1682"/>
    </row>
    <row r="15" spans="1:7" ht="61.5" customHeight="1" x14ac:dyDescent="0.25">
      <c r="A15" s="1565" t="s">
        <v>1919</v>
      </c>
      <c r="B15" s="1565" t="s">
        <v>1920</v>
      </c>
      <c r="C15" s="1565" t="s">
        <v>1921</v>
      </c>
      <c r="D15" s="1566" t="s">
        <v>1922</v>
      </c>
      <c r="E15" s="1566" t="s">
        <v>1913</v>
      </c>
      <c r="F15" s="1566" t="s">
        <v>1923</v>
      </c>
      <c r="G15" s="1566" t="s">
        <v>1924</v>
      </c>
    </row>
    <row r="16" spans="1:7" x14ac:dyDescent="0.25">
      <c r="A16" s="1667" t="s">
        <v>1928</v>
      </c>
      <c r="B16" s="1668" t="s">
        <v>1916</v>
      </c>
      <c r="C16" s="1669" t="s">
        <v>1914</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674"/>
      <c r="B17" s="1865"/>
      <c r="C17" s="1675"/>
      <c r="D17" s="1864"/>
      <c r="E17" s="1559">
        <f t="shared" ref="E17:E141" si="1">IF(D17&lt;=25000,D17,IF(D17&gt;25000,25000,0))</f>
        <v>0</v>
      </c>
      <c r="F17" s="1812">
        <f t="shared" si="0"/>
        <v>0</v>
      </c>
      <c r="G17" s="1813">
        <f>IF(F17=0,0,D17-F17)</f>
        <v>0</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v>
      </c>
      <c r="E141" s="1560">
        <f t="shared" si="1"/>
        <v>0</v>
      </c>
      <c r="F141" s="1814">
        <f>SUM(F17:F140)</f>
        <v>0</v>
      </c>
      <c r="G141" s="181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6" customWidth="1"/>
    <col min="2" max="2" width="46.85546875" style="326" customWidth="1"/>
    <col min="3" max="3" width="8" style="326" customWidth="1"/>
    <col min="4" max="6" width="16.7109375" style="326" customWidth="1"/>
    <col min="7" max="7" width="17.140625" style="326" customWidth="1"/>
    <col min="8" max="8" width="3.7109375" style="326" customWidth="1"/>
    <col min="9" max="9" width="3.28515625" style="180" customWidth="1"/>
    <col min="10" max="10" width="5.42578125" style="326" customWidth="1"/>
    <col min="11" max="14" width="4.5703125" style="326" customWidth="1"/>
    <col min="15" max="16384" width="9.140625" style="326"/>
  </cols>
  <sheetData>
    <row r="1" spans="1:9" ht="27" customHeight="1" x14ac:dyDescent="0.2">
      <c r="A1" s="1653" t="s">
        <v>1177</v>
      </c>
      <c r="B1" s="1654"/>
      <c r="C1" s="1655"/>
    </row>
    <row r="2" spans="1:9" x14ac:dyDescent="0.2">
      <c r="A2" s="950" t="s">
        <v>1178</v>
      </c>
      <c r="B2" s="951"/>
      <c r="C2" s="951"/>
      <c r="D2" s="951"/>
      <c r="E2" s="952"/>
      <c r="F2" s="952"/>
      <c r="G2" s="953"/>
    </row>
    <row r="3" spans="1:9" ht="12" customHeight="1" x14ac:dyDescent="0.2">
      <c r="A3" s="954" t="s">
        <v>1423</v>
      </c>
      <c r="B3" s="955"/>
      <c r="C3" s="955"/>
      <c r="D3" s="955"/>
      <c r="E3" s="956"/>
      <c r="F3" s="956"/>
      <c r="G3" s="957"/>
    </row>
    <row r="4" spans="1:9" x14ac:dyDescent="0.2">
      <c r="A4" s="958" t="s">
        <v>779</v>
      </c>
      <c r="B4" s="959"/>
      <c r="C4" s="959"/>
      <c r="D4" s="959"/>
      <c r="E4" s="960"/>
      <c r="F4" s="961"/>
      <c r="G4" s="962"/>
      <c r="H4" s="250"/>
      <c r="I4" s="250"/>
    </row>
    <row r="5" spans="1:9" s="340" customFormat="1" ht="57" customHeight="1" x14ac:dyDescent="0.2">
      <c r="A5" s="2299" t="s">
        <v>1764</v>
      </c>
      <c r="B5" s="2300"/>
      <c r="C5" s="2300"/>
      <c r="D5" s="2300"/>
      <c r="E5" s="2300"/>
      <c r="F5" s="2300"/>
      <c r="G5" s="2301"/>
      <c r="H5" s="250"/>
      <c r="I5" s="607"/>
    </row>
    <row r="6" spans="1:9" s="666" customFormat="1" x14ac:dyDescent="0.2">
      <c r="A6" s="1656" t="s">
        <v>214</v>
      </c>
      <c r="B6" s="964"/>
      <c r="C6" s="964"/>
      <c r="D6" s="965"/>
      <c r="E6" s="965"/>
      <c r="F6" s="966"/>
      <c r="G6" s="967"/>
      <c r="H6" s="162"/>
      <c r="I6" s="162"/>
    </row>
    <row r="7" spans="1:9" s="666" customFormat="1" ht="12" customHeight="1" x14ac:dyDescent="0.2">
      <c r="A7" s="968" t="s">
        <v>964</v>
      </c>
      <c r="B7" s="969"/>
      <c r="C7" s="969"/>
      <c r="D7" s="970"/>
      <c r="E7" s="971"/>
      <c r="F7" s="972"/>
      <c r="G7" s="973"/>
      <c r="H7" s="162"/>
      <c r="I7" s="162"/>
    </row>
    <row r="8" spans="1:9" s="666" customFormat="1" ht="12" customHeight="1" x14ac:dyDescent="0.2">
      <c r="A8" s="968" t="s">
        <v>131</v>
      </c>
      <c r="B8" s="969"/>
      <c r="C8" s="969"/>
      <c r="D8" s="970"/>
      <c r="E8" s="971"/>
      <c r="F8" s="972"/>
      <c r="G8" s="973"/>
      <c r="H8" s="162"/>
      <c r="I8" s="162"/>
    </row>
    <row r="9" spans="1:9" s="666" customFormat="1" ht="12" customHeight="1" x14ac:dyDescent="0.2">
      <c r="A9" s="968" t="s">
        <v>132</v>
      </c>
      <c r="B9" s="969"/>
      <c r="C9" s="969"/>
      <c r="D9" s="970"/>
      <c r="E9" s="971"/>
      <c r="F9" s="972"/>
      <c r="G9" s="973"/>
      <c r="H9" s="162"/>
      <c r="I9" s="162"/>
    </row>
    <row r="10" spans="1:9" s="666" customFormat="1" ht="12" customHeight="1" x14ac:dyDescent="0.2">
      <c r="A10" s="968" t="s">
        <v>2060</v>
      </c>
      <c r="B10" s="969"/>
      <c r="C10" s="974"/>
      <c r="D10" s="970"/>
      <c r="E10" s="971"/>
      <c r="F10" s="972"/>
      <c r="G10" s="973"/>
      <c r="H10" s="162"/>
      <c r="I10" s="162"/>
    </row>
    <row r="11" spans="1:9" s="666" customFormat="1" ht="22.5" customHeight="1" x14ac:dyDescent="0.2">
      <c r="A11" s="2304" t="s">
        <v>1930</v>
      </c>
      <c r="B11" s="2305"/>
      <c r="C11" s="2305"/>
      <c r="D11" s="2306"/>
      <c r="E11" s="975"/>
      <c r="F11" s="972"/>
      <c r="G11" s="976"/>
      <c r="H11" s="162"/>
      <c r="I11" s="162"/>
    </row>
    <row r="12" spans="1:9" s="666" customFormat="1" ht="12" customHeight="1" x14ac:dyDescent="0.2">
      <c r="A12" s="968" t="s">
        <v>133</v>
      </c>
      <c r="B12" s="969"/>
      <c r="C12" s="969"/>
      <c r="D12" s="970"/>
      <c r="E12" s="971"/>
      <c r="F12" s="972"/>
      <c r="G12" s="973"/>
      <c r="H12" s="162"/>
      <c r="I12" s="162"/>
    </row>
    <row r="13" spans="1:9" s="666" customFormat="1" ht="12" customHeight="1" x14ac:dyDescent="0.2">
      <c r="A13" s="968" t="s">
        <v>212</v>
      </c>
      <c r="B13" s="969"/>
      <c r="C13" s="969"/>
      <c r="D13" s="970"/>
      <c r="E13" s="971"/>
      <c r="F13" s="972"/>
      <c r="G13" s="973"/>
      <c r="H13" s="162"/>
      <c r="I13" s="162"/>
    </row>
    <row r="14" spans="1:9" s="666" customFormat="1" ht="12" customHeight="1" x14ac:dyDescent="0.2">
      <c r="A14" s="968" t="s">
        <v>213</v>
      </c>
      <c r="B14" s="969"/>
      <c r="C14" s="969"/>
      <c r="D14" s="970"/>
      <c r="E14" s="971"/>
      <c r="F14" s="977"/>
      <c r="G14" s="978"/>
      <c r="H14" s="162"/>
      <c r="I14" s="162"/>
    </row>
    <row r="15" spans="1:9" s="666" customFormat="1" ht="12" customHeight="1" x14ac:dyDescent="0.2">
      <c r="A15" s="963" t="s">
        <v>389</v>
      </c>
      <c r="B15" s="965"/>
      <c r="C15" s="965"/>
      <c r="D15" s="965"/>
      <c r="E15" s="965"/>
      <c r="F15" s="965"/>
      <c r="G15" s="979"/>
      <c r="H15" s="162"/>
      <c r="I15" s="162"/>
    </row>
    <row r="16" spans="1:9" s="666" customFormat="1" x14ac:dyDescent="0.2">
      <c r="A16" s="980" t="s">
        <v>1443</v>
      </c>
      <c r="B16" s="981"/>
      <c r="C16" s="982"/>
      <c r="D16" s="961"/>
      <c r="E16" s="956"/>
      <c r="F16" s="956"/>
      <c r="G16" s="957"/>
      <c r="H16" s="162"/>
      <c r="I16" s="162"/>
    </row>
    <row r="17" spans="1:9" s="666" customFormat="1" ht="12" customHeight="1" x14ac:dyDescent="0.2">
      <c r="A17" s="983"/>
      <c r="B17" s="984"/>
      <c r="C17" s="326"/>
      <c r="D17" s="1657" t="s">
        <v>553</v>
      </c>
      <c r="E17" s="1658"/>
      <c r="F17" s="1657" t="s">
        <v>453</v>
      </c>
      <c r="G17" s="1659"/>
      <c r="H17" s="162"/>
      <c r="I17" s="162"/>
    </row>
    <row r="18" spans="1:9" s="257" customFormat="1" ht="11.25" x14ac:dyDescent="0.2">
      <c r="A18" s="986"/>
      <c r="C18" s="987" t="s">
        <v>454</v>
      </c>
      <c r="D18" s="1660" t="s">
        <v>455</v>
      </c>
      <c r="E18" s="1660" t="s">
        <v>55</v>
      </c>
      <c r="F18" s="1660" t="s">
        <v>455</v>
      </c>
      <c r="G18" s="1660" t="s">
        <v>55</v>
      </c>
      <c r="H18" s="178"/>
      <c r="I18" s="178"/>
    </row>
    <row r="19" spans="1:9" s="666" customFormat="1" ht="12" customHeight="1" x14ac:dyDescent="0.2">
      <c r="A19" s="988" t="s">
        <v>476</v>
      </c>
      <c r="B19" s="989"/>
      <c r="C19" s="990" t="s">
        <v>591</v>
      </c>
      <c r="D19" s="1819"/>
      <c r="E19" s="1820">
        <f>'Expenditures 15-22'!K33-SUM('Expenditures 15-22'!G33,'Expenditures 15-22'!I33)+'Expenditures 15-22'!D229</f>
        <v>517726</v>
      </c>
      <c r="F19" s="1819"/>
      <c r="G19" s="1821">
        <f>'Expenditures 15-22'!K33-SUM('Expenditures 15-22'!G33,'Expenditures 15-22'!I33)+'Expenditures 15-22'!D229</f>
        <v>517726</v>
      </c>
      <c r="H19" s="985"/>
      <c r="I19" s="162"/>
    </row>
    <row r="20" spans="1:9" s="666" customFormat="1" ht="12" customHeight="1" x14ac:dyDescent="0.2">
      <c r="A20" s="988" t="s">
        <v>56</v>
      </c>
      <c r="B20" s="989"/>
      <c r="C20" s="991"/>
      <c r="D20" s="1822"/>
      <c r="E20" s="1822"/>
      <c r="F20" s="1822"/>
      <c r="G20" s="1823"/>
      <c r="H20" s="985"/>
      <c r="I20" s="162"/>
    </row>
    <row r="21" spans="1:9" s="666" customFormat="1" ht="12" customHeight="1" x14ac:dyDescent="0.2">
      <c r="A21" s="992" t="s">
        <v>421</v>
      </c>
      <c r="B21" s="993"/>
      <c r="C21" s="991">
        <v>2100</v>
      </c>
      <c r="D21" s="1822"/>
      <c r="E21" s="1824">
        <f>'Expenditures 15-22'!K42-SUM('Expenditures 15-22'!G42,'Expenditures 15-22'!I42)+'Expenditures 15-22'!K120-SUM('Expenditures 15-22'!G120,'Expenditures 15-22'!I120)+'Expenditures 15-22'!K180-SUM('Expenditures 15-22'!G180,'Expenditures 15-22'!I180)+'Expenditures 15-22'!D238</f>
        <v>70110</v>
      </c>
      <c r="F21" s="1822"/>
      <c r="G21" s="1825">
        <f>'Expenditures 15-22'!K42-SUM('Expenditures 15-22'!G42,'Expenditures 15-22'!I42)+'Expenditures 15-22'!K120-SUM('Expenditures 15-22'!G120,'Expenditures 15-22'!I120)+'Expenditures 15-22'!K180-SUM('Expenditures 15-22'!G180,'Expenditures 15-22'!I180)+'Expenditures 15-22'!D238</f>
        <v>70110</v>
      </c>
      <c r="H21" s="985"/>
      <c r="I21" s="162"/>
    </row>
    <row r="22" spans="1:9" s="666" customFormat="1" ht="12" customHeight="1" x14ac:dyDescent="0.2">
      <c r="A22" s="992" t="s">
        <v>585</v>
      </c>
      <c r="B22" s="993"/>
      <c r="C22" s="991">
        <v>2200</v>
      </c>
      <c r="D22" s="1822"/>
      <c r="E22" s="1824">
        <f>'Expenditures 15-22'!K47-SUM('Expenditures 15-22'!G47,'Expenditures 15-22'!I47)+'Expenditures 15-22'!D243</f>
        <v>0</v>
      </c>
      <c r="F22" s="1822"/>
      <c r="G22" s="1825">
        <f>'Expenditures 15-22'!K47-SUM('Expenditures 15-22'!G47,'Expenditures 15-22'!I47)+'Expenditures 15-22'!D243</f>
        <v>0</v>
      </c>
      <c r="H22" s="985"/>
      <c r="I22" s="162"/>
    </row>
    <row r="23" spans="1:9" s="666" customFormat="1" ht="12" customHeight="1" x14ac:dyDescent="0.2">
      <c r="A23" s="992" t="s">
        <v>586</v>
      </c>
      <c r="B23" s="993"/>
      <c r="C23" s="991">
        <v>2300</v>
      </c>
      <c r="D23" s="1822"/>
      <c r="E23" s="1824">
        <f>'Expenditures 15-22'!K53-SUM('Expenditures 15-22'!G53,'Expenditures 15-22'!I53)+'Expenditures 15-22'!D257+'Expenditures 15-22'!K330-SUM('Expenditures 15-22'!G330,'Expenditures 15-22'!I330)</f>
        <v>62086</v>
      </c>
      <c r="F23" s="1822"/>
      <c r="G23" s="1824">
        <f>'Expenditures 15-22'!K53-SUM('Expenditures 15-22'!G53,'Expenditures 15-22'!I53)+'Expenditures 15-22'!D257+'Expenditures 15-22'!K330-SUM('Expenditures 15-22'!G330,'Expenditures 15-22'!I330)</f>
        <v>62086</v>
      </c>
      <c r="H23" s="985"/>
      <c r="I23" s="162"/>
    </row>
    <row r="24" spans="1:9" s="666" customFormat="1" ht="12" customHeight="1" x14ac:dyDescent="0.2">
      <c r="A24" s="992" t="s">
        <v>587</v>
      </c>
      <c r="B24" s="993"/>
      <c r="C24" s="991">
        <v>2400</v>
      </c>
      <c r="D24" s="1822"/>
      <c r="E24" s="1824">
        <f>'Expenditures 15-22'!K57-SUM('Expenditures 15-22'!G57,'Expenditures 15-22'!I57)+'Expenditures 15-22'!D261</f>
        <v>0</v>
      </c>
      <c r="F24" s="1822"/>
      <c r="G24" s="1825">
        <f>'Expenditures 15-22'!K57-SUM('Expenditures 15-22'!G57,'Expenditures 15-22'!I57)+'Expenditures 15-22'!D261</f>
        <v>0</v>
      </c>
      <c r="H24" s="985"/>
      <c r="I24" s="162"/>
    </row>
    <row r="25" spans="1:9" s="666" customFormat="1" ht="12" customHeight="1" x14ac:dyDescent="0.2">
      <c r="A25" s="988" t="s">
        <v>588</v>
      </c>
      <c r="B25" s="994"/>
      <c r="C25" s="991"/>
      <c r="D25" s="1822"/>
      <c r="E25" s="1824"/>
      <c r="F25" s="1822"/>
      <c r="G25" s="1825"/>
      <c r="H25" s="985"/>
      <c r="I25" s="162"/>
    </row>
    <row r="26" spans="1:9" s="666" customFormat="1" ht="12" customHeight="1" x14ac:dyDescent="0.2">
      <c r="A26" s="992" t="s">
        <v>536</v>
      </c>
      <c r="B26" s="995"/>
      <c r="C26" s="991">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5"/>
      <c r="I26" s="162"/>
    </row>
    <row r="27" spans="1:9" s="666" customFormat="1" ht="12" customHeight="1" x14ac:dyDescent="0.2">
      <c r="A27" s="992" t="s">
        <v>483</v>
      </c>
      <c r="B27" s="995"/>
      <c r="C27" s="991">
        <v>2520</v>
      </c>
      <c r="D27" s="1824">
        <f>'Expenditures 15-22'!K60-SUM('Expenditures 15-22'!G60,'Expenditures 15-22'!I60)+'Expenditures 15-22'!D264-E8</f>
        <v>0</v>
      </c>
      <c r="E27" s="1824">
        <f>E8</f>
        <v>0</v>
      </c>
      <c r="F27" s="1824">
        <f>'Expenditures 15-22'!K60-SUM('Expenditures 15-22'!G60,'Expenditures 15-22'!I60)+'Expenditures 15-22'!D264-E8</f>
        <v>0</v>
      </c>
      <c r="G27" s="1825">
        <f>E8</f>
        <v>0</v>
      </c>
      <c r="H27" s="985"/>
      <c r="I27" s="162"/>
    </row>
    <row r="28" spans="1:9" s="666" customFormat="1" ht="12" customHeight="1" x14ac:dyDescent="0.2">
      <c r="A28" s="992" t="s">
        <v>537</v>
      </c>
      <c r="B28" s="995"/>
      <c r="C28" s="991">
        <v>2540</v>
      </c>
      <c r="D28" s="1826"/>
      <c r="E28" s="1824">
        <f>'Expenditures 15-22'!K61-SUM('Expenditures 15-22'!G61,'Expenditures 15-22'!I61)+'Expenditures 15-22'!K124-SUM('Expenditures 15-22'!G124,'Expenditures 15-22'!I124)+'Expenditures 15-22'!D266</f>
        <v>58278</v>
      </c>
      <c r="F28" s="1826">
        <f>'Expenditures 15-22'!K61-SUM('Expenditures 15-22'!G61,'Expenditures 15-22'!I61)+'Expenditures 15-22'!K124-SUM('Expenditures 15-22'!G124,'Expenditures 15-22'!I124)+'Expenditures 15-22'!D266-E9</f>
        <v>58278</v>
      </c>
      <c r="G28" s="1825">
        <f>E9</f>
        <v>0</v>
      </c>
      <c r="H28" s="985"/>
      <c r="I28" s="162"/>
    </row>
    <row r="29" spans="1:9" ht="12" customHeight="1" x14ac:dyDescent="0.2">
      <c r="A29" s="992" t="s">
        <v>538</v>
      </c>
      <c r="B29" s="995"/>
      <c r="C29" s="991">
        <v>2550</v>
      </c>
      <c r="D29" s="1822"/>
      <c r="E29" s="1824">
        <f>'Expenditures 15-22'!K62-SUM('Expenditures 15-22'!G62,'Expenditures 15-22'!I62)+'Expenditures 15-22'!K125-SUM('Expenditures 15-22'!G125,'Expenditures 15-22'!I125)+'Expenditures 15-22'!K182-SUM('Expenditures 15-22'!G182,'Expenditures 15-22'!I182)+'Expenditures 15-22'!D267</f>
        <v>0</v>
      </c>
      <c r="F29" s="1822"/>
      <c r="G29" s="1825">
        <f>'Expenditures 15-22'!K62-SUM('Expenditures 15-22'!G62,'Expenditures 15-22'!I62)+'Expenditures 15-22'!K125-SUM('Expenditures 15-22'!G125,'Expenditures 15-22'!I125)+'Expenditures 15-22'!K182-SUM('Expenditures 15-22'!G182,'Expenditures 15-22'!I182)+'Expenditures 15-22'!D267</f>
        <v>0</v>
      </c>
      <c r="H29" s="983"/>
    </row>
    <row r="30" spans="1:9" ht="12" customHeight="1" x14ac:dyDescent="0.2">
      <c r="A30" s="992" t="s">
        <v>102</v>
      </c>
      <c r="B30" s="995"/>
      <c r="C30" s="991">
        <v>2560</v>
      </c>
      <c r="D30" s="1822"/>
      <c r="E30" s="1824">
        <f>'Expenditures 15-22'!K63-SUM('Expenditures 15-22'!G63,'Expenditures 15-22'!I63)+'Expenditures 15-22'!D268-E10</f>
        <v>0</v>
      </c>
      <c r="F30" s="1822"/>
      <c r="G30" s="1824">
        <f>'Expenditures 15-22'!K63-SUM('Expenditures 15-22'!G63,'Expenditures 15-22'!I63)+'Expenditures 15-22'!D268-E10</f>
        <v>0</v>
      </c>
    </row>
    <row r="31" spans="1:9" ht="12" customHeight="1" x14ac:dyDescent="0.2">
      <c r="A31" s="992" t="s">
        <v>103</v>
      </c>
      <c r="B31" s="995"/>
      <c r="C31" s="991">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8" t="s">
        <v>539</v>
      </c>
      <c r="B32" s="994"/>
      <c r="C32" s="991"/>
      <c r="D32" s="1822"/>
      <c r="E32" s="1822"/>
      <c r="F32" s="1822"/>
      <c r="G32" s="1822"/>
    </row>
    <row r="33" spans="1:7" ht="12" customHeight="1" x14ac:dyDescent="0.2">
      <c r="A33" s="992" t="s">
        <v>540</v>
      </c>
      <c r="B33" s="995"/>
      <c r="C33" s="991">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2" t="s">
        <v>541</v>
      </c>
      <c r="B34" s="995"/>
      <c r="C34" s="991">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2" t="s">
        <v>1121</v>
      </c>
      <c r="B35" s="995"/>
      <c r="C35" s="991">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2" t="s">
        <v>423</v>
      </c>
      <c r="B36" s="995"/>
      <c r="C36" s="991">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2" t="s">
        <v>424</v>
      </c>
      <c r="B37" s="995"/>
      <c r="C37" s="991">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8" t="s">
        <v>542</v>
      </c>
      <c r="B38" s="989"/>
      <c r="C38" s="991">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469</v>
      </c>
      <c r="B39" s="989"/>
      <c r="C39" s="991">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1915</v>
      </c>
      <c r="B40" s="989"/>
      <c r="C40" s="991"/>
      <c r="D40" s="1822"/>
      <c r="E40" s="1826">
        <f>-'Contracts Paid in CY 29'!G141</f>
        <v>0</v>
      </c>
      <c r="F40" s="1822"/>
      <c r="G40" s="1826">
        <f>-'Contracts Paid in CY 29'!G141</f>
        <v>0</v>
      </c>
    </row>
    <row r="41" spans="1:7" ht="12" customHeight="1" x14ac:dyDescent="0.2">
      <c r="A41" s="996" t="s">
        <v>158</v>
      </c>
      <c r="B41" s="997"/>
      <c r="C41" s="998"/>
      <c r="D41" s="1826">
        <f>SUM(D19:D39)</f>
        <v>0</v>
      </c>
      <c r="E41" s="1826">
        <f>SUM(E19:E40)</f>
        <v>708200</v>
      </c>
      <c r="F41" s="1826">
        <f>SUM(F19:F39)</f>
        <v>58278</v>
      </c>
      <c r="G41" s="1826">
        <f>SUM(G19:G40)</f>
        <v>649922</v>
      </c>
    </row>
    <row r="42" spans="1:7" x14ac:dyDescent="0.2">
      <c r="A42" s="985"/>
      <c r="B42" s="162"/>
      <c r="C42" s="999"/>
      <c r="D42" s="2302" t="s">
        <v>543</v>
      </c>
      <c r="E42" s="2303"/>
      <c r="F42" s="1000" t="s">
        <v>544</v>
      </c>
      <c r="G42" s="1001"/>
    </row>
    <row r="43" spans="1:7" ht="12" customHeight="1" x14ac:dyDescent="0.2">
      <c r="A43" s="985"/>
      <c r="B43" s="162"/>
      <c r="C43" s="999"/>
      <c r="D43" s="1827" t="s">
        <v>493</v>
      </c>
      <c r="E43" s="1828">
        <f>D41</f>
        <v>0</v>
      </c>
      <c r="F43" s="1827" t="s">
        <v>495</v>
      </c>
      <c r="G43" s="1828">
        <f>F41</f>
        <v>58278</v>
      </c>
    </row>
    <row r="44" spans="1:7" ht="12" customHeight="1" x14ac:dyDescent="0.2">
      <c r="A44" s="985"/>
      <c r="B44" s="162"/>
      <c r="C44" s="999"/>
      <c r="D44" s="1827" t="s">
        <v>494</v>
      </c>
      <c r="E44" s="1828">
        <f>E41</f>
        <v>708200</v>
      </c>
      <c r="F44" s="1827" t="s">
        <v>494</v>
      </c>
      <c r="G44" s="1828">
        <f>G41</f>
        <v>649922</v>
      </c>
    </row>
    <row r="45" spans="1:7" ht="12" customHeight="1" x14ac:dyDescent="0.2">
      <c r="A45" s="985"/>
      <c r="B45" s="162"/>
      <c r="C45" s="162"/>
      <c r="D45" s="1829" t="s">
        <v>1063</v>
      </c>
      <c r="E45" s="1830">
        <f>(E43/E44)</f>
        <v>0</v>
      </c>
      <c r="F45" s="1829" t="s">
        <v>1063</v>
      </c>
      <c r="G45" s="1830">
        <f>(G43/G44)</f>
        <v>8.9669221845082955E-2</v>
      </c>
    </row>
    <row r="46" spans="1:7" x14ac:dyDescent="0.2">
      <c r="A46" s="1002"/>
      <c r="B46" s="1003"/>
      <c r="C46" s="1003"/>
      <c r="D46" s="1004"/>
      <c r="E46" s="1005"/>
      <c r="F46" s="1004"/>
      <c r="G46" s="100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4" customWidth="1"/>
    <col min="2" max="2" width="4.140625" style="1894" customWidth="1"/>
    <col min="3" max="4" width="9.85546875" style="1869" customWidth="1"/>
    <col min="5" max="5" width="12.5703125" style="1895" customWidth="1"/>
    <col min="6" max="6" width="67.5703125" style="1869" customWidth="1"/>
    <col min="7" max="7" width="9.140625" style="1869" customWidth="1"/>
    <col min="8" max="8" width="5.5703125" style="1896" bestFit="1" customWidth="1"/>
    <col min="9" max="10" width="2" style="1896" bestFit="1" customWidth="1"/>
    <col min="11" max="11" width="9" style="1896" customWidth="1"/>
    <col min="12" max="16384" width="9.140625" style="1869"/>
  </cols>
  <sheetData>
    <row r="1" spans="1:10" x14ac:dyDescent="0.2">
      <c r="A1" s="2321" t="s">
        <v>1446</v>
      </c>
      <c r="B1" s="2321"/>
      <c r="C1" s="2321"/>
      <c r="D1" s="2321"/>
      <c r="E1" s="2321"/>
      <c r="F1" s="2321"/>
    </row>
    <row r="2" spans="1:10" x14ac:dyDescent="0.2">
      <c r="A2" s="1905" t="s">
        <v>2032</v>
      </c>
      <c r="B2" s="1870"/>
      <c r="C2" s="1905"/>
      <c r="D2" s="1870"/>
      <c r="E2" s="1870"/>
      <c r="F2" s="1871"/>
    </row>
    <row r="3" spans="1:10" x14ac:dyDescent="0.2">
      <c r="A3" s="1905" t="s">
        <v>1700</v>
      </c>
      <c r="B3" s="1870"/>
      <c r="C3" s="1905"/>
      <c r="D3" s="1870"/>
      <c r="E3" s="1870"/>
      <c r="F3" s="1871"/>
    </row>
    <row r="4" spans="1:10" ht="3.75" customHeight="1" x14ac:dyDescent="0.2">
      <c r="A4" s="1870"/>
      <c r="B4" s="1870"/>
      <c r="C4" s="1870"/>
      <c r="D4" s="1870"/>
      <c r="E4" s="1870"/>
      <c r="F4" s="1871"/>
    </row>
    <row r="5" spans="1:10" ht="15" x14ac:dyDescent="0.25">
      <c r="A5" s="2322" t="s">
        <v>1627</v>
      </c>
      <c r="B5" s="2323"/>
      <c r="C5" s="2324"/>
      <c r="D5" s="2324"/>
      <c r="E5" s="2324"/>
      <c r="F5" s="2324"/>
    </row>
    <row r="6" spans="1:10" ht="12" customHeight="1" x14ac:dyDescent="0.25">
      <c r="A6" s="1872"/>
      <c r="B6" s="1873"/>
      <c r="C6" s="2325" t="str">
        <f>COVER!A17</f>
        <v>Livingston Area Career Center</v>
      </c>
      <c r="D6" s="2325"/>
      <c r="E6" s="2325"/>
      <c r="F6" s="1874"/>
    </row>
    <row r="7" spans="1:10" ht="11.25" customHeight="1" thickBot="1" x14ac:dyDescent="0.3">
      <c r="A7" s="1872"/>
      <c r="B7" s="1873"/>
      <c r="C7" s="2326">
        <f>COVER!A13</f>
        <v>17053090041</v>
      </c>
      <c r="D7" s="2326"/>
      <c r="E7" s="2326"/>
      <c r="F7" s="1874"/>
    </row>
    <row r="8" spans="1:10" ht="25.5" customHeight="1" thickBot="1" x14ac:dyDescent="0.25">
      <c r="A8" s="1911" t="s">
        <v>2009</v>
      </c>
      <c r="B8" s="1875"/>
      <c r="C8" s="1907" t="s">
        <v>1766</v>
      </c>
      <c r="D8" s="1906" t="s">
        <v>1767</v>
      </c>
      <c r="E8" s="1908" t="s">
        <v>1447</v>
      </c>
      <c r="F8" s="1906" t="s">
        <v>1768</v>
      </c>
      <c r="H8" s="1876" t="b">
        <v>0</v>
      </c>
    </row>
    <row r="9" spans="1:10" ht="15.75" customHeight="1" x14ac:dyDescent="0.2">
      <c r="A9" s="1877" t="s">
        <v>1623</v>
      </c>
      <c r="B9" s="1878"/>
      <c r="C9" s="1879"/>
      <c r="D9" s="1879"/>
      <c r="E9" s="1880"/>
      <c r="F9" s="1881"/>
    </row>
    <row r="10" spans="1:10" ht="27.75" customHeight="1" x14ac:dyDescent="0.2">
      <c r="A10" s="1882" t="s">
        <v>1765</v>
      </c>
      <c r="B10" s="1883"/>
      <c r="C10" s="1884"/>
      <c r="D10" s="1884"/>
      <c r="E10" s="1909" t="s">
        <v>1448</v>
      </c>
      <c r="F10" s="1910" t="s">
        <v>1449</v>
      </c>
    </row>
    <row r="11" spans="1:10" ht="12" customHeight="1" x14ac:dyDescent="0.2">
      <c r="A11" s="1885" t="s">
        <v>1450</v>
      </c>
      <c r="B11" s="1886"/>
      <c r="C11" s="1951"/>
      <c r="D11" s="1951"/>
      <c r="E11" s="1952"/>
      <c r="F11" s="1953"/>
      <c r="H11" s="1896">
        <f>IF(C11="X",5,0)</f>
        <v>0</v>
      </c>
      <c r="I11" s="1896">
        <f>IF(D11="X",5,0)</f>
        <v>0</v>
      </c>
      <c r="J11" s="1896">
        <f>IF(E11="X",5,0)</f>
        <v>0</v>
      </c>
    </row>
    <row r="12" spans="1:10" ht="12" customHeight="1" x14ac:dyDescent="0.2">
      <c r="A12" s="1885" t="s">
        <v>1451</v>
      </c>
      <c r="B12" s="1886"/>
      <c r="C12" s="1951" t="s">
        <v>2091</v>
      </c>
      <c r="D12" s="1951" t="s">
        <v>2091</v>
      </c>
      <c r="E12" s="1951" t="s">
        <v>2091</v>
      </c>
      <c r="F12" s="1953" t="s">
        <v>2092</v>
      </c>
      <c r="H12" s="1896">
        <f t="shared" ref="H12:H33" si="0">IF(C12="X",5,0)</f>
        <v>5</v>
      </c>
      <c r="I12" s="1896">
        <f t="shared" ref="I12:I33" si="1">IF(D12="X",5,0)</f>
        <v>5</v>
      </c>
      <c r="J12" s="1896">
        <f t="shared" ref="J12:J33" si="2">IF(E12="X",5,0)</f>
        <v>5</v>
      </c>
    </row>
    <row r="13" spans="1:10" ht="12" customHeight="1" x14ac:dyDescent="0.2">
      <c r="A13" s="1885" t="s">
        <v>1452</v>
      </c>
      <c r="B13" s="1886"/>
      <c r="C13" s="1951"/>
      <c r="D13" s="1951"/>
      <c r="E13" s="1951"/>
      <c r="F13" s="1953"/>
      <c r="H13" s="1896">
        <f t="shared" si="0"/>
        <v>0</v>
      </c>
      <c r="I13" s="1896">
        <f t="shared" si="1"/>
        <v>0</v>
      </c>
      <c r="J13" s="1896">
        <f t="shared" si="2"/>
        <v>0</v>
      </c>
    </row>
    <row r="14" spans="1:10" ht="12" customHeight="1" x14ac:dyDescent="0.2">
      <c r="A14" s="1885" t="s">
        <v>1453</v>
      </c>
      <c r="B14" s="1886"/>
      <c r="C14" s="1951" t="s">
        <v>2091</v>
      </c>
      <c r="D14" s="1951" t="s">
        <v>2091</v>
      </c>
      <c r="E14" s="1951" t="s">
        <v>2091</v>
      </c>
      <c r="F14" s="1953" t="s">
        <v>2093</v>
      </c>
      <c r="H14" s="1896">
        <f t="shared" si="0"/>
        <v>5</v>
      </c>
      <c r="I14" s="1896">
        <f t="shared" si="1"/>
        <v>5</v>
      </c>
      <c r="J14" s="1896">
        <f t="shared" si="2"/>
        <v>5</v>
      </c>
    </row>
    <row r="15" spans="1:10" ht="12" customHeight="1" x14ac:dyDescent="0.2">
      <c r="A15" s="1885" t="s">
        <v>1454</v>
      </c>
      <c r="B15" s="1886"/>
      <c r="C15" s="1951" t="s">
        <v>2091</v>
      </c>
      <c r="D15" s="1951" t="s">
        <v>2091</v>
      </c>
      <c r="E15" s="1951" t="s">
        <v>2091</v>
      </c>
      <c r="F15" s="1953" t="s">
        <v>2093</v>
      </c>
      <c r="H15" s="1896">
        <f t="shared" si="0"/>
        <v>5</v>
      </c>
      <c r="I15" s="1896">
        <f t="shared" si="1"/>
        <v>5</v>
      </c>
      <c r="J15" s="1896">
        <f t="shared" si="2"/>
        <v>5</v>
      </c>
    </row>
    <row r="16" spans="1:10" ht="12" customHeight="1" x14ac:dyDescent="0.2">
      <c r="A16" s="1885" t="s">
        <v>1455</v>
      </c>
      <c r="B16" s="1886"/>
      <c r="C16" s="1951"/>
      <c r="D16" s="1951"/>
      <c r="E16" s="1951"/>
      <c r="F16" s="1953"/>
      <c r="H16" s="1896">
        <f t="shared" si="0"/>
        <v>0</v>
      </c>
      <c r="I16" s="1896">
        <f t="shared" si="1"/>
        <v>0</v>
      </c>
      <c r="J16" s="1896">
        <f t="shared" si="2"/>
        <v>0</v>
      </c>
    </row>
    <row r="17" spans="1:12" ht="12" customHeight="1" x14ac:dyDescent="0.2">
      <c r="A17" s="1885" t="s">
        <v>1456</v>
      </c>
      <c r="B17" s="1886"/>
      <c r="C17" s="1951"/>
      <c r="D17" s="1951"/>
      <c r="E17" s="1951"/>
      <c r="F17" s="1953"/>
      <c r="H17" s="1896">
        <f t="shared" si="0"/>
        <v>0</v>
      </c>
      <c r="I17" s="1896">
        <f t="shared" si="1"/>
        <v>0</v>
      </c>
      <c r="J17" s="1896">
        <f t="shared" si="2"/>
        <v>0</v>
      </c>
    </row>
    <row r="18" spans="1:12" ht="12" customHeight="1" x14ac:dyDescent="0.2">
      <c r="A18" s="1885" t="s">
        <v>1457</v>
      </c>
      <c r="B18" s="1886"/>
      <c r="C18" s="1951" t="s">
        <v>2091</v>
      </c>
      <c r="D18" s="1951" t="s">
        <v>2091</v>
      </c>
      <c r="E18" s="1951" t="s">
        <v>2091</v>
      </c>
      <c r="F18" s="1953" t="s">
        <v>2094</v>
      </c>
      <c r="H18" s="1896">
        <f t="shared" si="0"/>
        <v>5</v>
      </c>
      <c r="I18" s="1896">
        <f t="shared" si="1"/>
        <v>5</v>
      </c>
      <c r="J18" s="1896">
        <f t="shared" si="2"/>
        <v>5</v>
      </c>
    </row>
    <row r="19" spans="1:12" ht="12" customHeight="1" x14ac:dyDescent="0.2">
      <c r="A19" s="1885" t="s">
        <v>1608</v>
      </c>
      <c r="B19" s="1886"/>
      <c r="C19" s="1951" t="s">
        <v>2091</v>
      </c>
      <c r="D19" s="1951" t="s">
        <v>2091</v>
      </c>
      <c r="E19" s="1951" t="s">
        <v>2091</v>
      </c>
      <c r="F19" s="1953" t="s">
        <v>2094</v>
      </c>
      <c r="H19" s="1896">
        <f t="shared" si="0"/>
        <v>5</v>
      </c>
      <c r="I19" s="1896">
        <f t="shared" si="1"/>
        <v>5</v>
      </c>
      <c r="J19" s="1896">
        <f t="shared" si="2"/>
        <v>5</v>
      </c>
    </row>
    <row r="20" spans="1:12" ht="12" customHeight="1" x14ac:dyDescent="0.2">
      <c r="A20" s="1885" t="s">
        <v>1609</v>
      </c>
      <c r="B20" s="1886"/>
      <c r="C20" s="1951"/>
      <c r="D20" s="1951"/>
      <c r="E20" s="1951"/>
      <c r="F20" s="1953"/>
      <c r="H20" s="1896">
        <f t="shared" si="0"/>
        <v>0</v>
      </c>
      <c r="I20" s="1896">
        <f t="shared" si="1"/>
        <v>0</v>
      </c>
      <c r="J20" s="1896">
        <f t="shared" si="2"/>
        <v>0</v>
      </c>
    </row>
    <row r="21" spans="1:12" ht="12" customHeight="1" x14ac:dyDescent="0.2">
      <c r="A21" s="1885" t="s">
        <v>1610</v>
      </c>
      <c r="B21" s="1886"/>
      <c r="C21" s="1951" t="s">
        <v>2091</v>
      </c>
      <c r="D21" s="1951" t="s">
        <v>2091</v>
      </c>
      <c r="E21" s="1951" t="s">
        <v>2091</v>
      </c>
      <c r="F21" s="1953" t="s">
        <v>2093</v>
      </c>
      <c r="H21" s="1896">
        <f t="shared" si="0"/>
        <v>5</v>
      </c>
      <c r="I21" s="1896">
        <f t="shared" si="1"/>
        <v>5</v>
      </c>
      <c r="J21" s="1896">
        <f t="shared" si="2"/>
        <v>5</v>
      </c>
    </row>
    <row r="22" spans="1:12" ht="12" customHeight="1" x14ac:dyDescent="0.2">
      <c r="A22" s="1885" t="s">
        <v>1611</v>
      </c>
      <c r="B22" s="1886"/>
      <c r="C22" s="1951" t="s">
        <v>2091</v>
      </c>
      <c r="D22" s="1951" t="s">
        <v>2091</v>
      </c>
      <c r="E22" s="1951" t="s">
        <v>2091</v>
      </c>
      <c r="F22" s="1953" t="s">
        <v>2093</v>
      </c>
      <c r="H22" s="1896">
        <f t="shared" si="0"/>
        <v>5</v>
      </c>
      <c r="I22" s="1896">
        <f t="shared" si="1"/>
        <v>5</v>
      </c>
      <c r="J22" s="1896">
        <f t="shared" si="2"/>
        <v>5</v>
      </c>
    </row>
    <row r="23" spans="1:12" ht="12" customHeight="1" x14ac:dyDescent="0.2">
      <c r="A23" s="1885" t="s">
        <v>1612</v>
      </c>
      <c r="B23" s="1886"/>
      <c r="C23" s="1951"/>
      <c r="D23" s="1951"/>
      <c r="E23" s="1951"/>
      <c r="F23" s="1953"/>
      <c r="H23" s="1896">
        <f t="shared" si="0"/>
        <v>0</v>
      </c>
      <c r="I23" s="1896">
        <f t="shared" si="1"/>
        <v>0</v>
      </c>
      <c r="J23" s="1896">
        <f t="shared" si="2"/>
        <v>0</v>
      </c>
    </row>
    <row r="24" spans="1:12" ht="12" customHeight="1" x14ac:dyDescent="0.2">
      <c r="A24" s="1885" t="s">
        <v>1613</v>
      </c>
      <c r="B24" s="1886"/>
      <c r="C24" s="1951" t="s">
        <v>2091</v>
      </c>
      <c r="D24" s="1951" t="s">
        <v>2091</v>
      </c>
      <c r="E24" s="1951" t="s">
        <v>2091</v>
      </c>
      <c r="F24" s="1953" t="s">
        <v>2093</v>
      </c>
      <c r="H24" s="1896">
        <f t="shared" si="0"/>
        <v>5</v>
      </c>
      <c r="I24" s="1896">
        <f t="shared" si="1"/>
        <v>5</v>
      </c>
      <c r="J24" s="1896">
        <f t="shared" si="2"/>
        <v>5</v>
      </c>
    </row>
    <row r="25" spans="1:12" ht="12" customHeight="1" x14ac:dyDescent="0.2">
      <c r="A25" s="1885" t="s">
        <v>1614</v>
      </c>
      <c r="B25" s="1886"/>
      <c r="C25" s="1951" t="s">
        <v>2091</v>
      </c>
      <c r="D25" s="1951" t="s">
        <v>2091</v>
      </c>
      <c r="E25" s="1951" t="s">
        <v>2091</v>
      </c>
      <c r="F25" s="1953" t="s">
        <v>2093</v>
      </c>
      <c r="H25" s="1896">
        <f t="shared" si="0"/>
        <v>5</v>
      </c>
      <c r="I25" s="1896">
        <f t="shared" si="1"/>
        <v>5</v>
      </c>
      <c r="J25" s="1896">
        <f t="shared" si="2"/>
        <v>5</v>
      </c>
    </row>
    <row r="26" spans="1:12" ht="12" customHeight="1" x14ac:dyDescent="0.2">
      <c r="A26" s="1885" t="s">
        <v>1615</v>
      </c>
      <c r="B26" s="1886"/>
      <c r="C26" s="1951"/>
      <c r="D26" s="1951"/>
      <c r="E26" s="1951"/>
      <c r="F26" s="1953"/>
      <c r="H26" s="1896">
        <f t="shared" si="0"/>
        <v>0</v>
      </c>
      <c r="I26" s="1896">
        <f t="shared" si="1"/>
        <v>0</v>
      </c>
      <c r="J26" s="1896">
        <f t="shared" si="2"/>
        <v>0</v>
      </c>
    </row>
    <row r="27" spans="1:12" x14ac:dyDescent="0.2">
      <c r="A27" s="1885" t="s">
        <v>1616</v>
      </c>
      <c r="B27" s="1886"/>
      <c r="C27" s="1951"/>
      <c r="D27" s="1951"/>
      <c r="E27" s="1951"/>
      <c r="F27" s="1953"/>
      <c r="H27" s="1896">
        <f t="shared" si="0"/>
        <v>0</v>
      </c>
      <c r="I27" s="1896">
        <f t="shared" si="1"/>
        <v>0</v>
      </c>
      <c r="J27" s="1896">
        <f t="shared" si="2"/>
        <v>0</v>
      </c>
    </row>
    <row r="28" spans="1:12" ht="12" customHeight="1" x14ac:dyDescent="0.2">
      <c r="A28" s="1885" t="s">
        <v>1617</v>
      </c>
      <c r="B28" s="1886"/>
      <c r="C28" s="1951" t="s">
        <v>2091</v>
      </c>
      <c r="D28" s="1951" t="s">
        <v>2091</v>
      </c>
      <c r="E28" s="1951" t="s">
        <v>2091</v>
      </c>
      <c r="F28" s="1953" t="s">
        <v>2093</v>
      </c>
      <c r="H28" s="1896">
        <f t="shared" si="0"/>
        <v>5</v>
      </c>
      <c r="I28" s="1896">
        <f t="shared" si="1"/>
        <v>5</v>
      </c>
      <c r="J28" s="1896">
        <f t="shared" si="2"/>
        <v>5</v>
      </c>
    </row>
    <row r="29" spans="1:12" ht="12" customHeight="1" x14ac:dyDescent="0.2">
      <c r="A29" s="1885" t="s">
        <v>1618</v>
      </c>
      <c r="B29" s="1886"/>
      <c r="C29" s="1951" t="s">
        <v>2091</v>
      </c>
      <c r="D29" s="1951" t="s">
        <v>2091</v>
      </c>
      <c r="E29" s="1951" t="s">
        <v>2091</v>
      </c>
      <c r="F29" s="1953" t="s">
        <v>2093</v>
      </c>
      <c r="H29" s="1896">
        <f t="shared" si="0"/>
        <v>5</v>
      </c>
      <c r="I29" s="1896">
        <f t="shared" si="1"/>
        <v>5</v>
      </c>
      <c r="J29" s="1896">
        <f t="shared" si="2"/>
        <v>5</v>
      </c>
    </row>
    <row r="30" spans="1:12" ht="12" customHeight="1" x14ac:dyDescent="0.2">
      <c r="A30" s="1885" t="s">
        <v>1619</v>
      </c>
      <c r="B30" s="1886"/>
      <c r="C30" s="1951" t="s">
        <v>2091</v>
      </c>
      <c r="D30" s="1951" t="s">
        <v>2091</v>
      </c>
      <c r="E30" s="1951" t="s">
        <v>2091</v>
      </c>
      <c r="F30" s="1953" t="s">
        <v>2093</v>
      </c>
      <c r="H30" s="1896">
        <f t="shared" si="0"/>
        <v>5</v>
      </c>
      <c r="I30" s="1896">
        <f t="shared" si="1"/>
        <v>5</v>
      </c>
      <c r="J30" s="1896">
        <f t="shared" si="2"/>
        <v>5</v>
      </c>
    </row>
    <row r="31" spans="1:12" ht="12" customHeight="1" x14ac:dyDescent="0.2">
      <c r="A31" s="1885" t="s">
        <v>1620</v>
      </c>
      <c r="B31" s="1886"/>
      <c r="C31" s="1951"/>
      <c r="D31" s="1951"/>
      <c r="E31" s="1954"/>
      <c r="F31" s="1953"/>
      <c r="H31" s="1896">
        <f t="shared" si="0"/>
        <v>0</v>
      </c>
      <c r="I31" s="1896">
        <f t="shared" si="1"/>
        <v>0</v>
      </c>
      <c r="J31" s="1896">
        <f t="shared" si="2"/>
        <v>0</v>
      </c>
      <c r="L31" s="1887"/>
    </row>
    <row r="32" spans="1:12" ht="12" customHeight="1" x14ac:dyDescent="0.2">
      <c r="A32" s="1885" t="s">
        <v>1621</v>
      </c>
      <c r="B32" s="1886"/>
      <c r="C32" s="1951"/>
      <c r="D32" s="1951"/>
      <c r="E32" s="1954"/>
      <c r="F32" s="1953"/>
      <c r="H32" s="1896">
        <f t="shared" si="0"/>
        <v>0</v>
      </c>
      <c r="I32" s="1896">
        <f t="shared" si="1"/>
        <v>0</v>
      </c>
      <c r="J32" s="1896">
        <f t="shared" si="2"/>
        <v>0</v>
      </c>
    </row>
    <row r="33" spans="1:11" ht="12" customHeight="1" x14ac:dyDescent="0.2">
      <c r="A33" s="1885" t="s">
        <v>1622</v>
      </c>
      <c r="B33" s="1886"/>
      <c r="C33" s="1951"/>
      <c r="D33" s="1951"/>
      <c r="E33" s="1954"/>
      <c r="F33" s="1953"/>
      <c r="H33" s="1896">
        <f t="shared" si="0"/>
        <v>0</v>
      </c>
      <c r="I33" s="1896">
        <f t="shared" si="1"/>
        <v>0</v>
      </c>
      <c r="J33" s="1896">
        <f t="shared" si="2"/>
        <v>0</v>
      </c>
    </row>
    <row r="34" spans="1:11" ht="12" customHeight="1" x14ac:dyDescent="0.25">
      <c r="A34" s="1888"/>
      <c r="B34" s="1888"/>
      <c r="C34" s="1888"/>
      <c r="D34" s="1888"/>
      <c r="E34" s="1888"/>
      <c r="F34" s="1888"/>
      <c r="H34" s="1896">
        <f>SUM(H11:H32)</f>
        <v>60</v>
      </c>
      <c r="I34" s="1896">
        <f>SUM(I11:I32)</f>
        <v>60</v>
      </c>
      <c r="J34" s="1896">
        <f>SUM(J11:J32)</f>
        <v>60</v>
      </c>
      <c r="K34" s="1896">
        <f>SUM(H34:J34)</f>
        <v>180</v>
      </c>
    </row>
    <row r="35" spans="1:11" ht="12" customHeight="1" x14ac:dyDescent="0.2">
      <c r="A35" s="1889" t="s">
        <v>1459</v>
      </c>
      <c r="B35" s="1890"/>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1"/>
      <c r="B39" s="1891"/>
      <c r="C39" s="1891"/>
      <c r="D39" s="1891"/>
      <c r="E39" s="1891"/>
      <c r="F39" s="1891"/>
    </row>
    <row r="40" spans="1:11" s="1888" customFormat="1" ht="12" customHeight="1" x14ac:dyDescent="0.25">
      <c r="A40" s="1892" t="s">
        <v>1458</v>
      </c>
      <c r="B40" s="1893"/>
      <c r="C40" s="2316"/>
      <c r="D40" s="2316"/>
      <c r="E40" s="2316"/>
      <c r="F40" s="2317"/>
      <c r="H40" s="1897"/>
      <c r="I40" s="1897"/>
      <c r="J40" s="1897"/>
      <c r="K40" s="1897"/>
    </row>
    <row r="41" spans="1:11" s="1888" customFormat="1" ht="12" customHeight="1" x14ac:dyDescent="0.25">
      <c r="A41" s="2318"/>
      <c r="B41" s="2319"/>
      <c r="C41" s="2319"/>
      <c r="D41" s="2319"/>
      <c r="E41" s="2319"/>
      <c r="F41" s="2320"/>
      <c r="H41" s="1897"/>
      <c r="I41" s="1897"/>
      <c r="J41" s="1897"/>
      <c r="K41" s="1897"/>
    </row>
    <row r="42" spans="1:11" s="1888" customFormat="1" ht="12" customHeight="1" x14ac:dyDescent="0.25">
      <c r="A42" s="2318"/>
      <c r="B42" s="2319"/>
      <c r="C42" s="2319"/>
      <c r="D42" s="2319"/>
      <c r="E42" s="2319"/>
      <c r="F42" s="2320"/>
      <c r="H42" s="1897"/>
      <c r="I42" s="1897"/>
      <c r="J42" s="1897"/>
      <c r="K42" s="1897"/>
    </row>
    <row r="43" spans="1:11" s="1888" customFormat="1" ht="15" x14ac:dyDescent="0.25">
      <c r="A43" s="2307"/>
      <c r="B43" s="2308"/>
      <c r="C43" s="2308"/>
      <c r="D43" s="2308"/>
      <c r="E43" s="2308"/>
      <c r="F43" s="2309"/>
      <c r="H43" s="1897"/>
      <c r="I43" s="1897"/>
      <c r="J43" s="1897"/>
      <c r="K43" s="1897"/>
    </row>
    <row r="44" spans="1:11" s="1888" customFormat="1" ht="12" hidden="1" customHeight="1" x14ac:dyDescent="0.25">
      <c r="A44" s="2307"/>
      <c r="B44" s="2308"/>
      <c r="C44" s="2308"/>
      <c r="D44" s="2308"/>
      <c r="E44" s="2308"/>
      <c r="F44" s="2309"/>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425</v>
      </c>
      <c r="G1" s="1011"/>
    </row>
    <row r="2" spans="1:17" ht="11.85" customHeight="1" x14ac:dyDescent="0.2">
      <c r="A2" s="1006"/>
      <c r="B2" s="1007"/>
      <c r="E2" s="1009"/>
      <c r="F2" s="1012" t="s">
        <v>308</v>
      </c>
      <c r="G2" s="1011"/>
    </row>
    <row r="3" spans="1:17" ht="11.85" customHeight="1" x14ac:dyDescent="0.2">
      <c r="E3" s="1009"/>
      <c r="F3" s="1012" t="s">
        <v>426</v>
      </c>
      <c r="G3" s="1009"/>
    </row>
    <row r="4" spans="1:17" ht="11.85" customHeight="1" x14ac:dyDescent="0.2">
      <c r="E4" s="1009"/>
      <c r="F4" s="1012" t="s">
        <v>923</v>
      </c>
      <c r="G4" s="1009"/>
    </row>
    <row r="5" spans="1:17" ht="12.2" customHeight="1" x14ac:dyDescent="0.2">
      <c r="F5" s="1012"/>
    </row>
    <row r="6" spans="1:17" x14ac:dyDescent="0.2">
      <c r="A6" s="1912" t="s">
        <v>693</v>
      </c>
      <c r="B6" s="1661"/>
      <c r="C6" s="1661"/>
      <c r="D6" s="1661"/>
      <c r="E6" s="1662"/>
      <c r="F6" s="1013"/>
      <c r="G6" s="1007"/>
      <c r="H6" s="1014" t="s">
        <v>1086</v>
      </c>
      <c r="I6" s="2334" t="str">
        <f>COVER!A17</f>
        <v>Livingston Area Career Center</v>
      </c>
      <c r="J6" s="2335"/>
      <c r="Q6" s="1683"/>
    </row>
    <row r="7" spans="1:17" x14ac:dyDescent="0.2">
      <c r="A7" s="2336" t="s">
        <v>924</v>
      </c>
      <c r="B7" s="2337"/>
      <c r="C7" s="2337"/>
      <c r="D7" s="2337"/>
      <c r="E7" s="2338"/>
      <c r="F7" s="1015"/>
      <c r="G7" s="1007"/>
      <c r="H7" s="1014" t="s">
        <v>390</v>
      </c>
      <c r="I7" s="2339">
        <f>COVER!A13</f>
        <v>17053090041</v>
      </c>
      <c r="J7" s="2339"/>
    </row>
    <row r="8" spans="1:17" ht="8.25" customHeight="1" x14ac:dyDescent="0.2">
      <c r="A8" s="1663"/>
      <c r="B8" s="1664"/>
      <c r="C8" s="1664"/>
      <c r="D8" s="1664"/>
      <c r="E8" s="1665"/>
      <c r="F8" s="1016"/>
      <c r="G8" s="1017"/>
      <c r="H8" s="1017"/>
      <c r="I8" s="1017"/>
      <c r="J8" s="1017"/>
    </row>
    <row r="9" spans="1:17" ht="13.5" customHeight="1" x14ac:dyDescent="0.2">
      <c r="A9" s="1018"/>
      <c r="B9" s="1019"/>
      <c r="C9" s="1019"/>
      <c r="D9" s="1020"/>
      <c r="E9" s="1913" t="s">
        <v>1701</v>
      </c>
      <c r="F9" s="1021"/>
      <c r="G9" s="1021"/>
      <c r="H9" s="1914" t="s">
        <v>1702</v>
      </c>
      <c r="I9" s="1021"/>
      <c r="J9" s="1022"/>
    </row>
    <row r="10" spans="1:17" s="1030" customFormat="1" ht="13.5" customHeight="1" x14ac:dyDescent="0.2">
      <c r="A10" s="1023"/>
      <c r="B10" s="1024"/>
      <c r="C10" s="1025"/>
      <c r="D10" s="1026"/>
      <c r="E10" s="1027" t="s">
        <v>445</v>
      </c>
      <c r="F10" s="1028" t="s">
        <v>446</v>
      </c>
      <c r="G10" s="1029"/>
      <c r="H10" s="1028" t="s">
        <v>445</v>
      </c>
      <c r="I10" s="1028" t="s">
        <v>446</v>
      </c>
      <c r="J10" s="1028"/>
    </row>
    <row r="11" spans="1:17" s="1030" customFormat="1" ht="22.5" x14ac:dyDescent="0.2">
      <c r="A11" s="2340" t="s">
        <v>502</v>
      </c>
      <c r="B11" s="2341"/>
      <c r="C11" s="2342"/>
      <c r="D11" s="1031" t="s">
        <v>926</v>
      </c>
      <c r="E11" s="1031" t="s">
        <v>66</v>
      </c>
      <c r="F11" s="1031" t="s">
        <v>6</v>
      </c>
      <c r="G11" s="1032" t="s">
        <v>158</v>
      </c>
      <c r="H11" s="1032" t="s">
        <v>66</v>
      </c>
      <c r="I11" s="1031" t="s">
        <v>6</v>
      </c>
      <c r="J11" s="1032" t="s">
        <v>158</v>
      </c>
    </row>
    <row r="12" spans="1:17" ht="15" customHeight="1" x14ac:dyDescent="0.2">
      <c r="A12" s="1033">
        <v>1</v>
      </c>
      <c r="B12" s="1034" t="s">
        <v>872</v>
      </c>
      <c r="C12" s="1035"/>
      <c r="D12" s="1036">
        <v>2320</v>
      </c>
      <c r="E12" s="1831">
        <f>'Expenditures 15-22'!K50</f>
        <v>0</v>
      </c>
      <c r="F12" s="1037"/>
      <c r="G12" s="1831">
        <f t="shared" ref="G12:G18" si="0">SUM(E12:F12)</f>
        <v>0</v>
      </c>
      <c r="H12" s="1038"/>
      <c r="I12" s="1037"/>
      <c r="J12" s="1831">
        <f t="shared" ref="J12:J18" si="1">SUM(H12:I12)</f>
        <v>0</v>
      </c>
    </row>
    <row r="13" spans="1:17" ht="15" customHeight="1" x14ac:dyDescent="0.2">
      <c r="A13" s="1033">
        <v>2</v>
      </c>
      <c r="B13" s="1034" t="s">
        <v>44</v>
      </c>
      <c r="C13" s="1035"/>
      <c r="D13" s="1036">
        <v>2330</v>
      </c>
      <c r="E13" s="1831">
        <f>'Expenditures 15-22'!K51</f>
        <v>62086</v>
      </c>
      <c r="F13" s="1037"/>
      <c r="G13" s="1831">
        <f t="shared" si="0"/>
        <v>62086</v>
      </c>
      <c r="H13" s="1038"/>
      <c r="I13" s="1037"/>
      <c r="J13" s="1831">
        <f t="shared" si="1"/>
        <v>0</v>
      </c>
    </row>
    <row r="14" spans="1:17" ht="15" customHeight="1" x14ac:dyDescent="0.2">
      <c r="A14" s="1033">
        <v>3</v>
      </c>
      <c r="B14" s="1034" t="s">
        <v>45</v>
      </c>
      <c r="C14" s="1035"/>
      <c r="D14" s="1039">
        <v>2490</v>
      </c>
      <c r="E14" s="1831">
        <f>'Expenditures 15-22'!K56</f>
        <v>0</v>
      </c>
      <c r="F14" s="1037"/>
      <c r="G14" s="1831">
        <f t="shared" si="0"/>
        <v>0</v>
      </c>
      <c r="H14" s="1038"/>
      <c r="I14" s="1037"/>
      <c r="J14" s="1831">
        <f t="shared" si="1"/>
        <v>0</v>
      </c>
    </row>
    <row r="15" spans="1:17" ht="15" customHeight="1" x14ac:dyDescent="0.2">
      <c r="A15" s="1033">
        <v>4</v>
      </c>
      <c r="B15" s="1034" t="s">
        <v>1128</v>
      </c>
      <c r="C15" s="1035"/>
      <c r="D15" s="1036">
        <v>2510</v>
      </c>
      <c r="E15" s="1831">
        <f>'Expenditures 15-22'!K59</f>
        <v>0</v>
      </c>
      <c r="F15" s="1831">
        <f>'Expenditures 15-22'!K122</f>
        <v>0</v>
      </c>
      <c r="G15" s="1831">
        <f t="shared" si="0"/>
        <v>0</v>
      </c>
      <c r="H15" s="1038"/>
      <c r="I15" s="1038"/>
      <c r="J15" s="1831">
        <f t="shared" si="1"/>
        <v>0</v>
      </c>
    </row>
    <row r="16" spans="1:17" ht="15" customHeight="1" x14ac:dyDescent="0.2">
      <c r="A16" s="1033">
        <v>5</v>
      </c>
      <c r="B16" s="1034" t="s">
        <v>103</v>
      </c>
      <c r="C16" s="1035"/>
      <c r="D16" s="1036">
        <v>2570</v>
      </c>
      <c r="E16" s="1831">
        <f>'Expenditures 15-22'!K64</f>
        <v>0</v>
      </c>
      <c r="F16" s="1037"/>
      <c r="G16" s="1831">
        <f t="shared" si="0"/>
        <v>0</v>
      </c>
      <c r="H16" s="1038"/>
      <c r="I16" s="1037"/>
      <c r="J16" s="1831">
        <f t="shared" si="1"/>
        <v>0</v>
      </c>
    </row>
    <row r="17" spans="1:10" ht="15" customHeight="1" x14ac:dyDescent="0.2">
      <c r="A17" s="1033">
        <v>6</v>
      </c>
      <c r="B17" s="1034" t="s">
        <v>1120</v>
      </c>
      <c r="C17" s="1035"/>
      <c r="D17" s="1036">
        <v>2610</v>
      </c>
      <c r="E17" s="1831">
        <f>'Expenditures 15-22'!K67</f>
        <v>0</v>
      </c>
      <c r="F17" s="1037"/>
      <c r="G17" s="1831">
        <f t="shared" si="0"/>
        <v>0</v>
      </c>
      <c r="H17" s="1038"/>
      <c r="I17" s="1037"/>
      <c r="J17" s="1831">
        <f t="shared" si="1"/>
        <v>0</v>
      </c>
    </row>
    <row r="18" spans="1:10" ht="22.5" customHeight="1" x14ac:dyDescent="0.2">
      <c r="A18" s="1040">
        <v>7</v>
      </c>
      <c r="B18" s="2343" t="s">
        <v>7</v>
      </c>
      <c r="C18" s="2344"/>
      <c r="D18" s="2345"/>
      <c r="E18" s="1041"/>
      <c r="F18" s="1041"/>
      <c r="G18" s="1832">
        <f t="shared" si="0"/>
        <v>0</v>
      </c>
      <c r="H18" s="1038"/>
      <c r="I18" s="1038"/>
      <c r="J18" s="1831">
        <f t="shared" si="1"/>
        <v>0</v>
      </c>
    </row>
    <row r="19" spans="1:10" ht="12.75" customHeight="1" thickBot="1" x14ac:dyDescent="0.25">
      <c r="A19" s="1033">
        <v>8</v>
      </c>
      <c r="B19" s="1042" t="s">
        <v>1223</v>
      </c>
      <c r="D19" s="1043"/>
      <c r="E19" s="1833">
        <f t="shared" ref="E19:J19" si="2">SUM(E12:E17)-E18</f>
        <v>62086</v>
      </c>
      <c r="F19" s="1833">
        <f t="shared" si="2"/>
        <v>0</v>
      </c>
      <c r="G19" s="1833">
        <f t="shared" si="2"/>
        <v>62086</v>
      </c>
      <c r="H19" s="1833">
        <f t="shared" si="2"/>
        <v>0</v>
      </c>
      <c r="I19" s="1833">
        <f t="shared" si="2"/>
        <v>0</v>
      </c>
      <c r="J19" s="1833">
        <f t="shared" si="2"/>
        <v>0</v>
      </c>
    </row>
    <row r="20" spans="1:10" ht="13.5" thickTop="1" x14ac:dyDescent="0.2">
      <c r="A20" s="1033">
        <v>9</v>
      </c>
      <c r="B20" s="2346" t="s">
        <v>1703</v>
      </c>
      <c r="C20" s="2346"/>
      <c r="D20" s="2347"/>
      <c r="E20" s="1044"/>
      <c r="F20" s="1044"/>
      <c r="G20" s="1044"/>
      <c r="H20" s="1044"/>
      <c r="I20" s="1044"/>
      <c r="J20" s="1834" t="str">
        <f>IF(AND(G19&gt;0,J19&gt;0),(((J19-G19)/G19)),"Enter Budget Data")</f>
        <v>Enter Budget Data</v>
      </c>
    </row>
    <row r="21" spans="1:10" ht="9" customHeight="1" x14ac:dyDescent="0.2">
      <c r="B21" s="1045"/>
    </row>
    <row r="22" spans="1:10" x14ac:dyDescent="0.2">
      <c r="A22" s="1046" t="s">
        <v>135</v>
      </c>
      <c r="B22" s="1045"/>
    </row>
    <row r="23" spans="1:10" x14ac:dyDescent="0.2">
      <c r="A23" s="1009" t="s">
        <v>1704</v>
      </c>
      <c r="B23" s="1045"/>
    </row>
    <row r="24" spans="1:10" x14ac:dyDescent="0.2">
      <c r="A24" s="1009" t="s">
        <v>1705</v>
      </c>
      <c r="B24" s="1045"/>
    </row>
    <row r="25" spans="1:10" x14ac:dyDescent="0.2">
      <c r="A25" s="1047"/>
      <c r="B25" s="1045"/>
    </row>
    <row r="26" spans="1:10" ht="20.100000000000001" customHeight="1" x14ac:dyDescent="0.2">
      <c r="B26" s="1045"/>
      <c r="C26" s="2352"/>
      <c r="D26" s="2352"/>
      <c r="E26" s="1048"/>
      <c r="F26" s="2351"/>
      <c r="G26" s="2351"/>
    </row>
    <row r="27" spans="1:10" x14ac:dyDescent="0.2">
      <c r="B27" s="1045"/>
      <c r="C27" s="1049" t="s">
        <v>1093</v>
      </c>
      <c r="D27" s="1050"/>
      <c r="E27" s="1051"/>
      <c r="F27" s="2348" t="s">
        <v>1589</v>
      </c>
      <c r="G27" s="2348"/>
    </row>
    <row r="28" spans="1:10" ht="28.5" customHeight="1" x14ac:dyDescent="0.2">
      <c r="B28" s="1045"/>
      <c r="C28" s="2350"/>
      <c r="D28" s="2350"/>
      <c r="E28" s="1052"/>
      <c r="F28" s="2350"/>
      <c r="G28" s="2350"/>
    </row>
    <row r="29" spans="1:10" x14ac:dyDescent="0.2">
      <c r="B29" s="1045"/>
      <c r="C29" s="1053" t="s">
        <v>1642</v>
      </c>
      <c r="E29" s="1054"/>
      <c r="F29" s="2349" t="s">
        <v>1590</v>
      </c>
      <c r="G29" s="2349"/>
    </row>
    <row r="30" spans="1:10" ht="9" customHeight="1" x14ac:dyDescent="0.2">
      <c r="B30" s="1045"/>
      <c r="C30" s="1055"/>
      <c r="E30" s="1056"/>
      <c r="F30" s="1057"/>
      <c r="G30" s="1057"/>
    </row>
    <row r="31" spans="1:10" ht="15" customHeight="1" x14ac:dyDescent="0.2">
      <c r="A31" s="1009"/>
      <c r="B31" s="1058" t="s">
        <v>1094</v>
      </c>
    </row>
    <row r="32" spans="1:10" ht="9" customHeight="1" x14ac:dyDescent="0.2">
      <c r="A32" s="1009"/>
      <c r="B32" s="1046"/>
    </row>
    <row r="33" spans="1:10" ht="12.75" customHeight="1" x14ac:dyDescent="0.2">
      <c r="A33" s="1009"/>
      <c r="B33" s="1059"/>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0"/>
    </row>
    <row r="36" spans="1:10" ht="13.5" customHeight="1" x14ac:dyDescent="0.2">
      <c r="B36" s="1059"/>
      <c r="C36" s="2333" t="s">
        <v>1929</v>
      </c>
      <c r="D36" s="2332"/>
      <c r="E36" s="2332"/>
      <c r="F36" s="2332"/>
      <c r="G36" s="2332"/>
      <c r="H36" s="2332"/>
      <c r="I36" s="2332"/>
      <c r="J36" s="1061"/>
    </row>
    <row r="37" spans="1:10" ht="22.5" customHeight="1" x14ac:dyDescent="0.2">
      <c r="C37" s="2332"/>
      <c r="D37" s="2332"/>
      <c r="E37" s="2332"/>
      <c r="F37" s="2332"/>
      <c r="G37" s="2332"/>
      <c r="H37" s="2332"/>
      <c r="I37" s="2332"/>
      <c r="J37" s="1061"/>
    </row>
    <row r="38" spans="1:10" ht="7.5" customHeight="1" x14ac:dyDescent="0.2">
      <c r="C38" s="1060"/>
      <c r="D38" s="1062"/>
      <c r="E38" s="1063"/>
      <c r="F38" s="1064"/>
      <c r="G38" s="1063"/>
    </row>
    <row r="39" spans="1:10" ht="13.5" customHeight="1" x14ac:dyDescent="0.2">
      <c r="B39" s="1059"/>
      <c r="C39" s="2329" t="s">
        <v>937</v>
      </c>
      <c r="D39" s="2330"/>
      <c r="E39" s="2330"/>
      <c r="F39" s="2330"/>
      <c r="G39" s="2330"/>
      <c r="H39" s="2330"/>
      <c r="I39" s="2330"/>
    </row>
    <row r="40" spans="1:10" ht="13.35" customHeight="1" x14ac:dyDescent="0.2">
      <c r="A40" s="1009"/>
      <c r="C40" s="1065"/>
      <c r="D40" s="1065"/>
      <c r="E40" s="1065"/>
      <c r="F40" s="1065"/>
      <c r="G40" s="1065"/>
      <c r="H40" s="1065"/>
      <c r="I40" s="106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6" customWidth="1"/>
    <col min="2" max="2" width="109.140625" style="326" customWidth="1"/>
    <col min="3" max="3" width="3.140625" style="326" customWidth="1"/>
    <col min="4" max="16384" width="9.140625" style="326"/>
  </cols>
  <sheetData>
    <row r="2" spans="1:1" x14ac:dyDescent="0.2">
      <c r="A2" s="386" t="s">
        <v>276</v>
      </c>
    </row>
    <row r="3" spans="1:1" x14ac:dyDescent="0.2">
      <c r="A3" s="326" t="s">
        <v>277</v>
      </c>
    </row>
    <row r="5" spans="1:1" x14ac:dyDescent="0.2">
      <c r="A5" s="1066">
        <v>1</v>
      </c>
    </row>
    <row r="6" spans="1:1" x14ac:dyDescent="0.2">
      <c r="A6" s="1066">
        <v>2</v>
      </c>
    </row>
    <row r="7" spans="1:1" x14ac:dyDescent="0.2">
      <c r="A7" s="1066">
        <v>3</v>
      </c>
    </row>
    <row r="8" spans="1:1" x14ac:dyDescent="0.2">
      <c r="A8" s="1066">
        <v>4</v>
      </c>
    </row>
    <row r="9" spans="1:1" x14ac:dyDescent="0.2">
      <c r="A9" s="1067"/>
    </row>
    <row r="10" spans="1:1" x14ac:dyDescent="0.2">
      <c r="A10" s="1067"/>
    </row>
    <row r="11" spans="1:1" x14ac:dyDescent="0.2">
      <c r="A11" s="1067"/>
    </row>
    <row r="12" spans="1:1" x14ac:dyDescent="0.2">
      <c r="A12" s="1067"/>
    </row>
    <row r="13" spans="1:1" x14ac:dyDescent="0.2">
      <c r="A13" s="1067"/>
    </row>
    <row r="14" spans="1:1" x14ac:dyDescent="0.2">
      <c r="A14" s="1067"/>
    </row>
    <row r="15" spans="1:1" x14ac:dyDescent="0.2">
      <c r="A15" s="1067"/>
    </row>
    <row r="16" spans="1:1"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6" t="str">
        <f>COVER!A17</f>
        <v>Livingston Area Career Center</v>
      </c>
    </row>
    <row r="65" spans="2:2" x14ac:dyDescent="0.2">
      <c r="B65" s="1068">
        <f>COVER!A13</f>
        <v>17053090041</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1956</v>
      </c>
      <c r="C4" s="162" t="s">
        <v>1231</v>
      </c>
      <c r="D4" s="169" t="s">
        <v>10</v>
      </c>
      <c r="E4" s="170" t="s">
        <v>22</v>
      </c>
    </row>
    <row r="5" spans="1:5" x14ac:dyDescent="0.2">
      <c r="A5" s="168" t="s">
        <v>1958</v>
      </c>
      <c r="C5" s="162" t="s">
        <v>1231</v>
      </c>
      <c r="D5" s="169" t="s">
        <v>10</v>
      </c>
      <c r="E5" s="170" t="s">
        <v>22</v>
      </c>
    </row>
    <row r="6" spans="1:5" x14ac:dyDescent="0.2">
      <c r="A6" s="168" t="s">
        <v>1957</v>
      </c>
      <c r="C6" s="162" t="s">
        <v>1231</v>
      </c>
      <c r="D6" s="167" t="s">
        <v>11</v>
      </c>
      <c r="E6" s="170" t="s">
        <v>998</v>
      </c>
    </row>
    <row r="7" spans="1:5" x14ac:dyDescent="0.2">
      <c r="A7" s="168" t="s">
        <v>1959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1960</v>
      </c>
      <c r="C11" s="162" t="s">
        <v>1231</v>
      </c>
      <c r="D11" s="169" t="s">
        <v>14</v>
      </c>
      <c r="E11" s="170" t="s">
        <v>1218</v>
      </c>
    </row>
    <row r="12" spans="1:5" x14ac:dyDescent="0.2">
      <c r="B12" s="169" t="s">
        <v>1961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1962</v>
      </c>
      <c r="C15" s="162" t="s">
        <v>1231</v>
      </c>
      <c r="D15" s="169" t="s">
        <v>17</v>
      </c>
      <c r="E15" s="170" t="s">
        <v>657</v>
      </c>
    </row>
    <row r="16" spans="1:5" x14ac:dyDescent="0.2">
      <c r="A16" s="172"/>
      <c r="B16" s="162" t="s">
        <v>1963</v>
      </c>
      <c r="C16" s="162" t="s">
        <v>1231</v>
      </c>
      <c r="D16" s="169" t="s">
        <v>702</v>
      </c>
      <c r="E16" s="170" t="s">
        <v>1100</v>
      </c>
    </row>
    <row r="17" spans="1:5" x14ac:dyDescent="0.2">
      <c r="B17" s="167" t="s">
        <v>1045</v>
      </c>
      <c r="C17" s="162" t="s">
        <v>1231</v>
      </c>
    </row>
    <row r="18" spans="1:5" x14ac:dyDescent="0.2">
      <c r="B18" s="167" t="s">
        <v>1969</v>
      </c>
      <c r="D18" s="169" t="s">
        <v>18</v>
      </c>
      <c r="E18" s="170" t="s">
        <v>1101</v>
      </c>
    </row>
    <row r="19" spans="1:5" x14ac:dyDescent="0.2">
      <c r="A19" s="168" t="s">
        <v>1161</v>
      </c>
      <c r="C19" s="162" t="s">
        <v>1231</v>
      </c>
      <c r="D19" s="169"/>
      <c r="E19" s="171"/>
    </row>
    <row r="20" spans="1:5" x14ac:dyDescent="0.2">
      <c r="B20" s="167" t="s">
        <v>1964</v>
      </c>
      <c r="C20" s="162" t="s">
        <v>1231</v>
      </c>
      <c r="D20" s="169" t="s">
        <v>19</v>
      </c>
      <c r="E20" s="170" t="s">
        <v>53</v>
      </c>
    </row>
    <row r="21" spans="1:5" x14ac:dyDescent="0.2">
      <c r="B21" s="167" t="s">
        <v>1965</v>
      </c>
      <c r="C21" s="162" t="s">
        <v>1231</v>
      </c>
      <c r="D21" s="169" t="s">
        <v>20</v>
      </c>
      <c r="E21" s="170" t="s">
        <v>1708</v>
      </c>
    </row>
    <row r="22" spans="1:5" x14ac:dyDescent="0.2">
      <c r="A22" s="168"/>
      <c r="B22" s="162" t="s">
        <v>1953</v>
      </c>
      <c r="C22" s="162" t="s">
        <v>1231</v>
      </c>
      <c r="D22" s="167" t="s">
        <v>1955</v>
      </c>
      <c r="E22" s="1856" t="s">
        <v>1709</v>
      </c>
    </row>
    <row r="23" spans="1:5" x14ac:dyDescent="0.2">
      <c r="A23" s="168"/>
      <c r="B23" s="162" t="s">
        <v>1954</v>
      </c>
      <c r="D23" s="167" t="s">
        <v>658</v>
      </c>
      <c r="E23" s="1856" t="s">
        <v>1016</v>
      </c>
    </row>
    <row r="24" spans="1:5" x14ac:dyDescent="0.2">
      <c r="A24" s="168" t="s">
        <v>1707</v>
      </c>
      <c r="C24" s="162" t="s">
        <v>1231</v>
      </c>
      <c r="D24" s="167" t="s">
        <v>1460</v>
      </c>
      <c r="E24" s="170" t="s">
        <v>1017</v>
      </c>
    </row>
    <row r="25" spans="1:5" x14ac:dyDescent="0.2">
      <c r="A25" s="168" t="s">
        <v>1966</v>
      </c>
      <c r="C25" s="162" t="s">
        <v>1231</v>
      </c>
      <c r="D25" s="169" t="s">
        <v>21</v>
      </c>
      <c r="E25" s="170" t="s">
        <v>1102</v>
      </c>
    </row>
    <row r="26" spans="1:5" x14ac:dyDescent="0.2">
      <c r="A26" s="168" t="s">
        <v>1967</v>
      </c>
      <c r="C26" s="162" t="s">
        <v>1231</v>
      </c>
      <c r="D26" s="169" t="s">
        <v>584</v>
      </c>
      <c r="E26" s="170" t="s">
        <v>1103</v>
      </c>
    </row>
    <row r="27" spans="1:5" x14ac:dyDescent="0.2">
      <c r="A27" s="168" t="s">
        <v>1968</v>
      </c>
      <c r="C27" s="162" t="s">
        <v>1231</v>
      </c>
      <c r="D27" s="169" t="s">
        <v>578</v>
      </c>
      <c r="E27" s="170" t="s">
        <v>704</v>
      </c>
    </row>
    <row r="28" spans="1:5" x14ac:dyDescent="0.2">
      <c r="A28" s="168" t="s">
        <v>1970</v>
      </c>
      <c r="D28" s="169" t="s">
        <v>705</v>
      </c>
      <c r="E28" s="170" t="s">
        <v>1433</v>
      </c>
    </row>
    <row r="29" spans="1:5" x14ac:dyDescent="0.2">
      <c r="A29" s="168" t="s">
        <v>1971</v>
      </c>
      <c r="D29" s="169" t="s">
        <v>1461</v>
      </c>
      <c r="E29" s="170" t="s">
        <v>1442</v>
      </c>
    </row>
    <row r="30" spans="1:5" x14ac:dyDescent="0.2">
      <c r="A30" s="173" t="s">
        <v>1972</v>
      </c>
      <c r="C30" s="162" t="s">
        <v>1231</v>
      </c>
      <c r="D30" s="169" t="s">
        <v>42</v>
      </c>
      <c r="E30" s="170" t="s">
        <v>1039</v>
      </c>
    </row>
    <row r="31" spans="1:5" x14ac:dyDescent="0.2">
      <c r="A31" s="168" t="s">
        <v>1602</v>
      </c>
      <c r="C31" s="162" t="s">
        <v>1231</v>
      </c>
      <c r="D31" s="167"/>
      <c r="E31" s="171"/>
    </row>
    <row r="32" spans="1:5" x14ac:dyDescent="0.2">
      <c r="B32" s="167" t="s">
        <v>1973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2003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1860</v>
      </c>
    </row>
    <row r="52" spans="1:3" x14ac:dyDescent="0.2">
      <c r="A52" s="190"/>
      <c r="B52" s="188" t="s">
        <v>1880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1861</v>
      </c>
    </row>
    <row r="57" spans="1:3" x14ac:dyDescent="0.2">
      <c r="A57" s="193"/>
      <c r="B57" s="190" t="s">
        <v>1863</v>
      </c>
    </row>
    <row r="58" spans="1:3" x14ac:dyDescent="0.2">
      <c r="A58" s="194"/>
      <c r="B58" s="190" t="s">
        <v>1864</v>
      </c>
    </row>
    <row r="59" spans="1:3" x14ac:dyDescent="0.2">
      <c r="A59" s="195"/>
      <c r="B59" s="1504" t="s">
        <v>1865</v>
      </c>
    </row>
    <row r="60" spans="1:3" x14ac:dyDescent="0.2">
      <c r="A60" s="196"/>
      <c r="B60" s="1504" t="s">
        <v>1866</v>
      </c>
    </row>
    <row r="61" spans="1:3" ht="6" customHeight="1" x14ac:dyDescent="0.2">
      <c r="A61" s="197"/>
      <c r="B61" s="189"/>
    </row>
    <row r="62" spans="1:3" x14ac:dyDescent="0.2">
      <c r="A62" s="169" t="s">
        <v>1714</v>
      </c>
      <c r="B62" s="198" t="s">
        <v>1862</v>
      </c>
    </row>
    <row r="63" spans="1:3" x14ac:dyDescent="0.2">
      <c r="A63" s="188"/>
      <c r="B63" s="169" t="s">
        <v>1877</v>
      </c>
    </row>
    <row r="64" spans="1:3" x14ac:dyDescent="0.2">
      <c r="A64" s="195"/>
      <c r="B64" s="1506" t="s">
        <v>1867</v>
      </c>
    </row>
    <row r="65" spans="1:9" x14ac:dyDescent="0.2">
      <c r="A65" s="188"/>
      <c r="B65" s="169" t="s">
        <v>1878</v>
      </c>
    </row>
    <row r="66" spans="1:9" x14ac:dyDescent="0.2">
      <c r="A66" s="190"/>
      <c r="B66" s="190" t="s">
        <v>1868</v>
      </c>
    </row>
    <row r="67" spans="1:9" ht="12" customHeight="1" x14ac:dyDescent="0.2">
      <c r="A67" s="188"/>
      <c r="B67" s="169" t="s">
        <v>1879</v>
      </c>
    </row>
    <row r="68" spans="1:9" x14ac:dyDescent="0.2">
      <c r="A68" s="189"/>
      <c r="B68" s="190" t="s">
        <v>1869</v>
      </c>
    </row>
    <row r="69" spans="1:9" x14ac:dyDescent="0.2">
      <c r="A69" s="190"/>
      <c r="B69" s="188" t="s">
        <v>1870</v>
      </c>
    </row>
    <row r="70" spans="1:9" ht="13.5" customHeight="1" x14ac:dyDescent="0.2">
      <c r="A70" s="190"/>
      <c r="B70" s="188" t="s">
        <v>1871</v>
      </c>
    </row>
    <row r="71" spans="1:9" ht="12" customHeight="1" x14ac:dyDescent="0.2">
      <c r="A71" s="192"/>
      <c r="B71" s="1505" t="s">
        <v>1717</v>
      </c>
    </row>
    <row r="72" spans="1:9" ht="9" customHeight="1" x14ac:dyDescent="0.2">
      <c r="A72" s="192"/>
      <c r="B72" s="199"/>
    </row>
    <row r="73" spans="1:9" x14ac:dyDescent="0.2">
      <c r="A73" s="189" t="s">
        <v>1718</v>
      </c>
      <c r="B73" s="169" t="s">
        <v>1873</v>
      </c>
    </row>
    <row r="74" spans="1:9" x14ac:dyDescent="0.2">
      <c r="A74" s="189"/>
      <c r="B74" s="169" t="s">
        <v>1872</v>
      </c>
    </row>
    <row r="75" spans="1:9" ht="8.25" customHeight="1" x14ac:dyDescent="0.2">
      <c r="A75" s="189"/>
      <c r="B75" s="189"/>
    </row>
    <row r="76" spans="1:9" ht="12.2" customHeight="1" x14ac:dyDescent="0.2">
      <c r="A76" s="189" t="s">
        <v>1719</v>
      </c>
      <c r="B76" s="198" t="s">
        <v>1874</v>
      </c>
    </row>
    <row r="77" spans="1:9" ht="12.2" customHeight="1" x14ac:dyDescent="0.2">
      <c r="A77" s="190"/>
      <c r="B77" s="169" t="s">
        <v>1720</v>
      </c>
      <c r="C77" s="179"/>
      <c r="D77" s="180"/>
      <c r="E77" s="181"/>
      <c r="F77" s="181"/>
      <c r="G77" s="181"/>
      <c r="H77" s="181"/>
      <c r="I77" s="181"/>
    </row>
    <row r="78" spans="1:9" ht="11.25" customHeight="1" x14ac:dyDescent="0.2">
      <c r="A78" s="190"/>
      <c r="B78" s="190" t="s">
        <v>1876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1875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6" customWidth="1"/>
    <col min="2" max="2" width="59.7109375" style="326" customWidth="1"/>
    <col min="3" max="16384" width="9.140625" style="326"/>
  </cols>
  <sheetData>
    <row r="11" spans="1:6" x14ac:dyDescent="0.2">
      <c r="B11" s="1069"/>
      <c r="C11" s="1069"/>
      <c r="D11" s="1069"/>
      <c r="E11" s="1069"/>
      <c r="F11" s="1069"/>
    </row>
    <row r="13" spans="1:6" x14ac:dyDescent="0.2">
      <c r="A13" s="1070" t="s">
        <v>1573</v>
      </c>
    </row>
    <row r="15" spans="1:6" x14ac:dyDescent="0.2">
      <c r="A15" s="386" t="s">
        <v>912</v>
      </c>
    </row>
    <row r="16" spans="1:6" s="1069" customFormat="1" ht="45" customHeight="1" x14ac:dyDescent="0.2">
      <c r="A16" s="1071"/>
      <c r="B16" s="1071" t="s">
        <v>1769</v>
      </c>
    </row>
    <row r="17" spans="1:2" ht="6" customHeight="1" x14ac:dyDescent="0.2"/>
    <row r="18" spans="1:2" ht="24.75" customHeight="1" x14ac:dyDescent="0.2">
      <c r="A18" s="2353" t="s">
        <v>1770</v>
      </c>
      <c r="B18" s="235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198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3" customWidth="1"/>
    <col min="2" max="6" width="16.7109375" style="313" customWidth="1"/>
    <col min="7" max="16384" width="9.140625" style="313"/>
  </cols>
  <sheetData>
    <row r="1" spans="1:8" ht="48.75" customHeight="1" x14ac:dyDescent="0.2">
      <c r="A1" s="2354" t="s">
        <v>1776</v>
      </c>
      <c r="B1" s="2355"/>
      <c r="C1" s="2355"/>
      <c r="D1" s="2355"/>
      <c r="E1" s="2355"/>
      <c r="F1" s="2356"/>
    </row>
    <row r="2" spans="1:8" ht="45" customHeight="1" x14ac:dyDescent="0.2">
      <c r="A2" s="2364" t="s">
        <v>1777</v>
      </c>
      <c r="B2" s="2365"/>
      <c r="C2" s="2365"/>
      <c r="D2" s="2365"/>
      <c r="E2" s="2365"/>
      <c r="F2" s="2366"/>
      <c r="G2" s="1072"/>
      <c r="H2" s="1072"/>
    </row>
    <row r="3" spans="1:8" ht="57" customHeight="1" x14ac:dyDescent="0.2">
      <c r="A3" s="2367" t="s">
        <v>1772</v>
      </c>
      <c r="B3" s="2368"/>
      <c r="C3" s="2368"/>
      <c r="D3" s="2368"/>
      <c r="E3" s="2368"/>
      <c r="F3" s="2369"/>
      <c r="G3" s="1072"/>
      <c r="H3" s="1072"/>
    </row>
    <row r="4" spans="1:8" ht="14.25" customHeight="1" x14ac:dyDescent="0.2">
      <c r="A4" s="2373" t="s">
        <v>2040</v>
      </c>
      <c r="B4" s="2374"/>
      <c r="C4" s="2374"/>
      <c r="D4" s="2374"/>
      <c r="E4" s="2374"/>
      <c r="F4" s="2375"/>
      <c r="G4" s="1072"/>
      <c r="H4" s="1072"/>
    </row>
    <row r="5" spans="1:8" ht="14.25" customHeight="1" x14ac:dyDescent="0.2">
      <c r="A5" s="2376" t="s">
        <v>2041</v>
      </c>
      <c r="B5" s="2377"/>
      <c r="C5" s="2377"/>
      <c r="D5" s="2377"/>
      <c r="E5" s="2377"/>
      <c r="F5" s="2378"/>
      <c r="G5" s="1072"/>
      <c r="H5" s="1072"/>
    </row>
    <row r="6" spans="1:8" s="1073" customFormat="1" ht="41.25" customHeight="1" x14ac:dyDescent="0.2">
      <c r="A6" s="2370" t="s">
        <v>1778</v>
      </c>
      <c r="B6" s="2371"/>
      <c r="C6" s="2371"/>
      <c r="D6" s="2371"/>
      <c r="E6" s="2371"/>
      <c r="F6" s="2372"/>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881524</v>
      </c>
      <c r="C8" s="1835">
        <f>'Acct Summary 7-8'!D8</f>
        <v>0</v>
      </c>
      <c r="D8" s="1835">
        <f>'Acct Summary 7-8'!F8</f>
        <v>0</v>
      </c>
      <c r="E8" s="1835">
        <f>'Acct Summary 7-8'!I8</f>
        <v>0</v>
      </c>
      <c r="F8" s="1835">
        <f>SUM(B8:E8)</f>
        <v>881524</v>
      </c>
    </row>
    <row r="9" spans="1:8" s="1077" customFormat="1" ht="14.25" customHeight="1" thickBot="1" x14ac:dyDescent="0.25">
      <c r="A9" s="1076" t="s">
        <v>1436</v>
      </c>
      <c r="B9" s="1836">
        <f>'Acct Summary 7-8'!C17</f>
        <v>710892</v>
      </c>
      <c r="C9" s="1836">
        <f>'Acct Summary 7-8'!D17</f>
        <v>0</v>
      </c>
      <c r="D9" s="1836">
        <f>'Acct Summary 7-8'!F17</f>
        <v>0</v>
      </c>
      <c r="E9" s="1835"/>
      <c r="F9" s="1835">
        <f>SUM(B9:E9)</f>
        <v>710892</v>
      </c>
    </row>
    <row r="10" spans="1:8" s="1077" customFormat="1" ht="14.25" thickTop="1" thickBot="1" x14ac:dyDescent="0.25">
      <c r="A10" s="1078" t="s">
        <v>1437</v>
      </c>
      <c r="B10" s="1837">
        <f>(B8-B9)</f>
        <v>170632</v>
      </c>
      <c r="C10" s="1837">
        <f>(C8-C9)</f>
        <v>0</v>
      </c>
      <c r="D10" s="1837">
        <f>(D8-D9)</f>
        <v>0</v>
      </c>
      <c r="E10" s="1836">
        <f>(E8-E9)</f>
        <v>0</v>
      </c>
      <c r="F10" s="1838">
        <f>SUM(F8-F9)</f>
        <v>170632</v>
      </c>
    </row>
    <row r="11" spans="1:8" s="1077" customFormat="1" ht="14.25" thickTop="1" thickBot="1" x14ac:dyDescent="0.25">
      <c r="A11" s="1079" t="s">
        <v>1771</v>
      </c>
      <c r="B11" s="1839">
        <f>'Acct Summary 7-8'!C81</f>
        <v>760943</v>
      </c>
      <c r="C11" s="1839">
        <f>'Acct Summary 7-8'!D81</f>
        <v>0</v>
      </c>
      <c r="D11" s="1839">
        <f>'Acct Summary 7-8'!F81</f>
        <v>0</v>
      </c>
      <c r="E11" s="1839">
        <f>'Acct Summary 7-8'!I81</f>
        <v>0</v>
      </c>
      <c r="F11" s="1840">
        <f>SUM(B11:E11)</f>
        <v>760943</v>
      </c>
    </row>
    <row r="12" spans="1:8" ht="16.5" customHeight="1" thickTop="1" x14ac:dyDescent="0.2">
      <c r="A12" s="1080"/>
      <c r="B12" s="1081"/>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2"/>
      <c r="B13" s="1083"/>
      <c r="C13" s="2358"/>
      <c r="D13" s="2359"/>
      <c r="E13" s="2359"/>
      <c r="F13" s="2360"/>
      <c r="H13" s="1072"/>
    </row>
    <row r="14" spans="1:8" ht="19.5" customHeight="1" x14ac:dyDescent="0.2">
      <c r="A14" s="1082"/>
      <c r="B14" s="1083"/>
      <c r="C14" s="2358"/>
      <c r="D14" s="2359"/>
      <c r="E14" s="2359"/>
      <c r="F14" s="2360"/>
      <c r="H14" s="1072"/>
    </row>
    <row r="15" spans="1:8" ht="17.25" customHeight="1" x14ac:dyDescent="0.2">
      <c r="A15" s="1082"/>
      <c r="B15" s="1083"/>
      <c r="C15" s="2361"/>
      <c r="D15" s="2362"/>
      <c r="E15" s="2362"/>
      <c r="F15" s="2363"/>
      <c r="H15" s="1072"/>
    </row>
    <row r="16" spans="1:8" s="307" customFormat="1" ht="51.75" hidden="1" customHeight="1" x14ac:dyDescent="0.2">
      <c r="A16" s="2357" t="s">
        <v>1773</v>
      </c>
      <c r="B16" s="2357"/>
      <c r="C16" s="2357"/>
      <c r="D16" s="2357"/>
      <c r="E16" s="2357"/>
      <c r="F16" s="307" t="s">
        <v>1438</v>
      </c>
    </row>
    <row r="17" spans="1:6" hidden="1" x14ac:dyDescent="0.2">
      <c r="A17" s="313" t="s">
        <v>1774</v>
      </c>
      <c r="F17" s="1084" t="s">
        <v>1439</v>
      </c>
    </row>
    <row r="18" spans="1:6" hidden="1" x14ac:dyDescent="0.2">
      <c r="A18" s="313" t="s">
        <v>1775</v>
      </c>
      <c r="F18" s="313" t="s">
        <v>1477</v>
      </c>
    </row>
    <row r="19" spans="1:6" hidden="1" x14ac:dyDescent="0.2">
      <c r="A19" s="313" t="s">
        <v>1476</v>
      </c>
      <c r="F19" s="313"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5"/>
      <c r="B2" s="1916"/>
      <c r="C2" s="1917"/>
      <c r="D2" s="1918"/>
    </row>
    <row r="3" spans="1:4" ht="36" customHeight="1" x14ac:dyDescent="0.2">
      <c r="A3" s="2379" t="s">
        <v>686</v>
      </c>
      <c r="B3" s="2380"/>
      <c r="C3" s="2380"/>
      <c r="D3" s="2381"/>
    </row>
    <row r="4" spans="1:4" x14ac:dyDescent="0.2">
      <c r="A4" s="1150" t="s">
        <v>1779</v>
      </c>
      <c r="B4" s="1151"/>
      <c r="C4" s="1152"/>
      <c r="D4" s="1153"/>
    </row>
    <row r="5" spans="1:4" ht="21" customHeight="1" x14ac:dyDescent="0.2">
      <c r="A5" s="1146"/>
      <c r="B5" s="1147">
        <v>1</v>
      </c>
      <c r="C5" s="1148" t="s">
        <v>1931</v>
      </c>
      <c r="D5" s="1149"/>
    </row>
    <row r="6" spans="1:4" s="666" customFormat="1" ht="14.25" customHeight="1" x14ac:dyDescent="0.2">
      <c r="A6" s="1136"/>
      <c r="B6" s="1091">
        <f t="shared" ref="B6:B13" si="0">B5+1</f>
        <v>2</v>
      </c>
      <c r="C6" s="1092" t="s">
        <v>919</v>
      </c>
      <c r="D6" s="1093"/>
    </row>
    <row r="7" spans="1:4" s="666" customFormat="1" ht="12.75" x14ac:dyDescent="0.2">
      <c r="A7" s="1136"/>
      <c r="B7" s="1091">
        <f t="shared" si="0"/>
        <v>3</v>
      </c>
      <c r="C7" s="2390" t="s">
        <v>1584</v>
      </c>
      <c r="D7" s="2391"/>
    </row>
    <row r="8" spans="1:4" s="666" customFormat="1" ht="12.75" x14ac:dyDescent="0.2">
      <c r="A8" s="1136"/>
      <c r="B8" s="1091"/>
      <c r="C8" s="1094" t="s">
        <v>1583</v>
      </c>
      <c r="D8" s="1095"/>
    </row>
    <row r="9" spans="1:4" s="666" customFormat="1" ht="14.25" customHeight="1" x14ac:dyDescent="0.2">
      <c r="A9" s="1136"/>
      <c r="B9" s="1091">
        <f>B7+1</f>
        <v>4</v>
      </c>
      <c r="C9" s="1092" t="s">
        <v>2033</v>
      </c>
      <c r="D9" s="1093"/>
    </row>
    <row r="10" spans="1:4" s="666" customFormat="1" ht="14.25" customHeight="1" x14ac:dyDescent="0.2">
      <c r="A10" s="1136"/>
      <c r="B10" s="1091">
        <f t="shared" si="0"/>
        <v>5</v>
      </c>
      <c r="C10" s="1092" t="s">
        <v>660</v>
      </c>
      <c r="D10" s="1093"/>
    </row>
    <row r="11" spans="1:4" s="666" customFormat="1" ht="14.25" customHeight="1" x14ac:dyDescent="0.2">
      <c r="A11" s="1136"/>
      <c r="B11" s="1091">
        <f t="shared" si="0"/>
        <v>6</v>
      </c>
      <c r="C11" s="1092" t="s">
        <v>811</v>
      </c>
      <c r="D11" s="1093"/>
    </row>
    <row r="12" spans="1:4" s="666" customFormat="1" ht="14.25" customHeight="1" x14ac:dyDescent="0.2">
      <c r="A12" s="1136"/>
      <c r="B12" s="1091">
        <f t="shared" si="0"/>
        <v>7</v>
      </c>
      <c r="C12" s="1092" t="s">
        <v>1122</v>
      </c>
      <c r="D12" s="1093"/>
    </row>
    <row r="13" spans="1:4" s="666" customFormat="1" ht="14.25" customHeight="1" x14ac:dyDescent="0.2">
      <c r="A13" s="1136"/>
      <c r="B13" s="1091">
        <f t="shared" si="0"/>
        <v>8</v>
      </c>
      <c r="C13" s="1132" t="s">
        <v>812</v>
      </c>
      <c r="D13" s="1093"/>
    </row>
    <row r="14" spans="1:4" s="666" customFormat="1" ht="14.25" customHeight="1" x14ac:dyDescent="0.2">
      <c r="A14" s="1136"/>
      <c r="B14" s="1133">
        <v>9</v>
      </c>
      <c r="C14" s="1134" t="s">
        <v>1585</v>
      </c>
      <c r="D14" s="1135"/>
    </row>
    <row r="15" spans="1:4" s="666" customFormat="1" ht="21.75" customHeight="1" x14ac:dyDescent="0.2">
      <c r="A15" s="2382" t="s">
        <v>1065</v>
      </c>
      <c r="B15" s="2383"/>
      <c r="C15" s="2383"/>
      <c r="D15" s="2384"/>
    </row>
    <row r="16" spans="1:4" s="666" customFormat="1" ht="24" customHeight="1" x14ac:dyDescent="0.2">
      <c r="A16" s="2385" t="s">
        <v>684</v>
      </c>
      <c r="B16" s="2386"/>
      <c r="C16" s="2386"/>
      <c r="D16" s="2387"/>
    </row>
    <row r="17" spans="1:10" s="666" customFormat="1" ht="12.75" customHeight="1" x14ac:dyDescent="0.2">
      <c r="A17" s="1154" t="s">
        <v>1780</v>
      </c>
      <c r="B17" s="1155"/>
      <c r="C17" s="1156"/>
      <c r="D17" s="1157"/>
    </row>
    <row r="18" spans="1:10" s="666" customFormat="1" ht="12.75" customHeight="1" x14ac:dyDescent="0.2">
      <c r="A18" s="1158" t="s">
        <v>1781</v>
      </c>
      <c r="B18" s="1159"/>
      <c r="C18" s="1160"/>
      <c r="D18" s="1161"/>
    </row>
    <row r="19" spans="1:10" ht="6.75" customHeight="1" thickBot="1" x14ac:dyDescent="0.25">
      <c r="A19" s="1162"/>
      <c r="B19" s="1163"/>
      <c r="C19" s="1164"/>
      <c r="D19" s="1165"/>
    </row>
    <row r="20" spans="1:10" s="1169" customFormat="1" ht="12.75" thickTop="1" x14ac:dyDescent="0.2">
      <c r="A20" s="1166"/>
      <c r="B20" s="1167" t="s">
        <v>1782</v>
      </c>
      <c r="C20" s="1168"/>
      <c r="D20" s="1171" t="s">
        <v>734</v>
      </c>
    </row>
    <row r="21" spans="1:10" x14ac:dyDescent="0.2">
      <c r="A21" s="1096"/>
      <c r="B21" s="1097">
        <v>1</v>
      </c>
      <c r="C21" s="2394" t="s">
        <v>332</v>
      </c>
      <c r="D21" s="2395"/>
    </row>
    <row r="22" spans="1:10" ht="12.75" x14ac:dyDescent="0.2">
      <c r="A22" s="1137"/>
      <c r="B22" s="1138">
        <v>2</v>
      </c>
      <c r="C22" s="2392" t="s">
        <v>1605</v>
      </c>
      <c r="D22" s="2393"/>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IF(COVER!O11="X","OK",IF(AND(#REF!=0,#REF!&lt;DATE(2017,12,31)),"ENTER ACCOUNTING INFO",IF(AND(#REF!&gt;0,#REF!&lt;DATE(2017,12,31)),"OK")))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e">
        <f>IF(#REF!="X",IF(#REF!&gt;"00/00/00 ","Enter Effective Date","ok"))</f>
        <v>#REF!</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6"/>
      <c r="F31" s="356"/>
      <c r="G31" s="356"/>
      <c r="H31" s="356"/>
      <c r="I31" s="356"/>
      <c r="J31" s="356"/>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396" t="s">
        <v>557</v>
      </c>
      <c r="D43" s="2397"/>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88" t="s">
        <v>817</v>
      </c>
      <c r="D56" s="2389"/>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2034</v>
      </c>
      <c r="D66" s="1123"/>
    </row>
    <row r="67" spans="1:4" x14ac:dyDescent="0.2">
      <c r="A67" s="1117"/>
      <c r="B67" s="1138"/>
      <c r="C67" s="1145" t="s">
        <v>1079</v>
      </c>
      <c r="D67" s="1123"/>
    </row>
    <row r="68" spans="1:4" x14ac:dyDescent="0.2">
      <c r="A68" s="1098"/>
      <c r="B68" s="1108"/>
      <c r="C68" s="1100" t="s">
        <v>2035</v>
      </c>
      <c r="D68" s="1122" t="str">
        <f>IF('Short-Term Long-Term Debt 24'!F49=SUM(,'Acct Summary 7-8'!C33:K33),"OK","ERROR!")</f>
        <v>OK</v>
      </c>
    </row>
    <row r="69" spans="1:4" x14ac:dyDescent="0.2">
      <c r="A69" s="1098"/>
      <c r="B69" s="1108"/>
      <c r="C69" s="1100" t="s">
        <v>2036</v>
      </c>
      <c r="D69" s="1122" t="str">
        <f>IF('Expenditures 15-22'!H170&lt;&gt;'Short-Term Long-Term Debt 24'!H49,"ERROR!","OK")</f>
        <v>OK</v>
      </c>
    </row>
    <row r="70" spans="1:4" x14ac:dyDescent="0.2">
      <c r="A70" s="1096"/>
      <c r="B70" s="1118">
        <f>B66+1</f>
        <v>9</v>
      </c>
      <c r="C70" s="2388" t="s">
        <v>1783</v>
      </c>
      <c r="D70" s="2389"/>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1784</v>
      </c>
      <c r="D73" s="1124" t="str">
        <f>IF(SUM('Acct Summary 7-8'!C42:K42)&gt;=SUM( 'Acct Summary 7-8'!C74:K74),"OK", "ERROR")</f>
        <v>OK</v>
      </c>
    </row>
    <row r="74" spans="1:4" x14ac:dyDescent="0.2">
      <c r="A74" s="1096"/>
      <c r="B74" s="1118">
        <f>B70+1</f>
        <v>10</v>
      </c>
      <c r="C74" s="1112" t="s">
        <v>2037</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2038</v>
      </c>
      <c r="D78" s="1122" t="str">
        <f>IF(ISNUMBER('Acct Summary 7-8'!C9),"OK","ENTRY IS REQUIRED!")</f>
        <v>ENTRY IS REQUIRED!</v>
      </c>
    </row>
    <row r="79" spans="1:4" x14ac:dyDescent="0.2">
      <c r="A79" s="1117"/>
      <c r="B79" s="1118">
        <f>B74+1+1</f>
        <v>12</v>
      </c>
      <c r="C79" s="1128" t="s">
        <v>2004</v>
      </c>
      <c r="D79" s="1129" t="str">
        <f>IF(OR(COVER!$B$6="X",'PCTC-OEPP 27-28'!F78&gt;0),"OK","PLEASE ENTER 9 MO ADA.")</f>
        <v>OK</v>
      </c>
    </row>
    <row r="80" spans="1:4" x14ac:dyDescent="0.2">
      <c r="A80" s="1096"/>
      <c r="B80" s="1118">
        <v>13</v>
      </c>
      <c r="C80" s="1128" t="s">
        <v>2039</v>
      </c>
      <c r="D80" s="1129" t="str">
        <f>IF('Contracts Paid in CY 29'!D141&gt;0,"OK","PLEASE ENTER CONTRACTS PAID IN CURRENT YEAR.")</f>
        <v>PLEASE ENTER CONTRACTS PAID IN CURRENT YEAR.</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17053090041</v>
      </c>
    </row>
    <row r="3" spans="1:2" x14ac:dyDescent="0.2">
      <c r="A3" t="s">
        <v>1013</v>
      </c>
      <c r="B3" s="138" t="str">
        <f>COVER!A15</f>
        <v>Livingston</v>
      </c>
    </row>
    <row r="4" spans="1:2" x14ac:dyDescent="0.2">
      <c r="A4" t="s">
        <v>1064</v>
      </c>
      <c r="B4" s="138" t="str">
        <f>COVER!A17</f>
        <v>Livingston Area Career Center</v>
      </c>
    </row>
    <row r="5" spans="1:2" x14ac:dyDescent="0.2">
      <c r="A5" t="s">
        <v>728</v>
      </c>
      <c r="B5" s="138" t="str">
        <f>COVER!A38</f>
        <v>Tera Graves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066-004933</v>
      </c>
    </row>
    <row r="16" spans="1:2" x14ac:dyDescent="0.2">
      <c r="A16" t="s">
        <v>442</v>
      </c>
      <c r="B16" s="138" t="str">
        <f>COVER!T13</f>
        <v>Phillips &amp; Associates, CPAs, P.C.</v>
      </c>
    </row>
    <row r="17" spans="1:2" x14ac:dyDescent="0.2">
      <c r="A17" t="s">
        <v>939</v>
      </c>
      <c r="B17" s="138" t="str">
        <f>COVER!T15</f>
        <v>Richard W. Phillips</v>
      </c>
    </row>
    <row r="18" spans="1:2" x14ac:dyDescent="0.2">
      <c r="A18" t="s">
        <v>1212</v>
      </c>
      <c r="B18" s="138" t="str">
        <f>COVER!T17</f>
        <v>1600 Hunt Drive, Suite B</v>
      </c>
    </row>
    <row r="19" spans="1:2" x14ac:dyDescent="0.2">
      <c r="A19" t="s">
        <v>941</v>
      </c>
      <c r="B19" s="138" t="str">
        <f>COVER!T25</f>
        <v>rwp6505@aol.com</v>
      </c>
    </row>
    <row r="20" spans="1:2" x14ac:dyDescent="0.2">
      <c r="A20" t="s">
        <v>942</v>
      </c>
      <c r="B20" s="138" t="str">
        <f>COVER!T19</f>
        <v>Normal</v>
      </c>
    </row>
    <row r="21" spans="1:2" x14ac:dyDescent="0.2">
      <c r="A21" t="s">
        <v>500</v>
      </c>
      <c r="B21" s="138" t="str">
        <f>COVER!X19</f>
        <v>IL</v>
      </c>
    </row>
    <row r="22" spans="1:2" x14ac:dyDescent="0.2">
      <c r="A22" t="s">
        <v>943</v>
      </c>
      <c r="B22" s="138">
        <f>COVER!Z19</f>
        <v>61761</v>
      </c>
    </row>
    <row r="23" spans="1:2" x14ac:dyDescent="0.2">
      <c r="A23" t="s">
        <v>1214</v>
      </c>
      <c r="B23" s="138">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760943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760943</v>
      </c>
      <c r="D92" s="2" t="str">
        <f t="shared" si="0"/>
        <v>Error?</v>
      </c>
    </row>
    <row r="93" spans="1:4" x14ac:dyDescent="0.2">
      <c r="A93" s="5">
        <v>32</v>
      </c>
      <c r="B93" s="138">
        <f>'Assets-Liab 5-6'!C41</f>
        <v>760943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446671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446671</v>
      </c>
      <c r="C279" s="2" t="s">
        <v>594</v>
      </c>
      <c r="D279" s="2" t="str">
        <f t="shared" si="3"/>
        <v>Error?</v>
      </c>
    </row>
    <row r="280" spans="1:4" x14ac:dyDescent="0.2">
      <c r="A280" s="5">
        <v>219</v>
      </c>
      <c r="B280" s="138">
        <f>'Assets-Liab 5-6'!M40</f>
        <v>446671</v>
      </c>
      <c r="D280" s="2" t="str">
        <f t="shared" si="3"/>
        <v>Error?</v>
      </c>
    </row>
    <row r="281" spans="1:4" x14ac:dyDescent="0.2">
      <c r="A281" s="5">
        <v>220</v>
      </c>
      <c r="B281" s="138">
        <f>'Assets-Liab 5-6'!M41</f>
        <v>446671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433814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433814</v>
      </c>
      <c r="C720" s="2" t="s">
        <v>594</v>
      </c>
      <c r="D720" s="2" t="str">
        <f t="shared" si="10"/>
        <v>Error?</v>
      </c>
    </row>
    <row r="721" spans="1:4" x14ac:dyDescent="0.2">
      <c r="A721" s="5">
        <v>660</v>
      </c>
      <c r="B721" s="138">
        <f>'Expenditures 15-22'!C36</f>
        <v>43640</v>
      </c>
      <c r="D721" s="2" t="str">
        <f t="shared" si="10"/>
        <v>Error?</v>
      </c>
    </row>
    <row r="722" spans="1:4" x14ac:dyDescent="0.2">
      <c r="A722" s="5">
        <v>661</v>
      </c>
      <c r="B722" s="138">
        <f>'Expenditures 15-22'!C37</f>
        <v>7652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51292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37697</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88989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522803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49329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49329</v>
      </c>
      <c r="C778" s="2" t="s">
        <v>594</v>
      </c>
      <c r="D778" s="2" t="str">
        <f t="shared" si="11"/>
        <v>Error?</v>
      </c>
    </row>
    <row r="779" spans="1:4" x14ac:dyDescent="0.2">
      <c r="A779" s="5">
        <v>718</v>
      </c>
      <c r="B779" s="138">
        <f>'Expenditures 15-22'!D36</f>
        <v>18707</v>
      </c>
      <c r="D779" s="2" t="str">
        <f t="shared" si="11"/>
        <v>Error?</v>
      </c>
    </row>
    <row r="780" spans="1:4" x14ac:dyDescent="0.2">
      <c r="A780" s="5">
        <v>719</v>
      </c>
      <c r="B780" s="138">
        <f>'Expenditures 15-22'!D37</f>
        <v>111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18818</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7258</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26076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75405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180</v>
      </c>
      <c r="D832" s="2" t="str">
        <f t="shared" si="12"/>
        <v>Error?</v>
      </c>
    </row>
    <row r="833" spans="1:4" x14ac:dyDescent="0.2">
      <c r="A833" s="5">
        <v>772</v>
      </c>
      <c r="B833" s="138">
        <f>'Expenditures 15-22'!E13</f>
        <v>24474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24654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13087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25327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25327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38414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63068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1401</v>
      </c>
      <c r="D890" s="2" t="str">
        <f t="shared" si="12"/>
        <v>Error?</v>
      </c>
    </row>
    <row r="891" spans="1:4" x14ac:dyDescent="0.2">
      <c r="A891" s="5">
        <v>830</v>
      </c>
      <c r="B891" s="138">
        <f>'Expenditures 15-22'!F13</f>
        <v>8528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9929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4044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32951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32951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36995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46924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2692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2692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2692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1581</v>
      </c>
      <c r="C1104" s="2" t="s">
        <v>594</v>
      </c>
      <c r="D1104" s="2" t="str">
        <f t="shared" si="16"/>
        <v>Error?</v>
      </c>
    </row>
    <row r="1105" spans="1:4" x14ac:dyDescent="0.2">
      <c r="A1105" s="5">
        <v>1044</v>
      </c>
      <c r="B1105" s="138">
        <f>'Expenditures 15-22'!K13</f>
        <v>518837</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520418</v>
      </c>
      <c r="C1108" s="2" t="s">
        <v>594</v>
      </c>
      <c r="D1108" s="2" t="str">
        <f t="shared" si="16"/>
        <v>Error?</v>
      </c>
    </row>
    <row r="1109" spans="1:4" x14ac:dyDescent="0.2">
      <c r="A1109" s="5">
        <v>1048</v>
      </c>
      <c r="B1109" s="138">
        <f>'Expenditures 15-22'!K36</f>
        <v>62347</v>
      </c>
      <c r="C1109" s="2" t="s">
        <v>594</v>
      </c>
      <c r="D1109" s="2" t="str">
        <f t="shared" si="16"/>
        <v>Error?</v>
      </c>
    </row>
    <row r="1110" spans="1:4" x14ac:dyDescent="0.2">
      <c r="A1110" s="5">
        <v>1049</v>
      </c>
      <c r="B1110" s="138">
        <f>'Expenditures 15-22'!K37</f>
        <v>7763</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70110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62086</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58278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58278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190474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710892</v>
      </c>
      <c r="C1152" s="2" t="s">
        <v>594</v>
      </c>
      <c r="D1152" s="2" t="str">
        <f t="shared" si="17"/>
        <v>Error?</v>
      </c>
    </row>
    <row r="1153" spans="1:4" x14ac:dyDescent="0.2">
      <c r="A1153" s="5">
        <v>1092</v>
      </c>
      <c r="B1153" s="138">
        <f>'Expenditures 15-22'!K115</f>
        <v>170632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590311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760943</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432608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443979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1876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2692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434484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446671</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403241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410704</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7141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11203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410382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421907</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24102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24764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654629</v>
      </c>
      <c r="C2551" s="2" t="s">
        <v>594</v>
      </c>
      <c r="D2551" s="2" t="str">
        <f t="shared" si="38"/>
        <v>Error?</v>
      </c>
    </row>
    <row r="2552" spans="1:4" x14ac:dyDescent="0.2">
      <c r="A2552" s="10">
        <v>2491</v>
      </c>
      <c r="D2552" s="2" t="str">
        <f t="shared" si="38"/>
        <v>OK</v>
      </c>
    </row>
    <row r="2553" spans="1:4" x14ac:dyDescent="0.2">
      <c r="A2553" s="5">
        <v>2492</v>
      </c>
      <c r="B2553" s="138">
        <f>'Acct Summary 7-8'!C6</f>
        <v>226895</v>
      </c>
      <c r="C2553" s="2" t="s">
        <v>594</v>
      </c>
      <c r="D2553" s="2" t="str">
        <f t="shared" si="38"/>
        <v>Error?</v>
      </c>
    </row>
    <row r="2554" spans="1:4" x14ac:dyDescent="0.2">
      <c r="A2554" s="5">
        <v>2493</v>
      </c>
      <c r="B2554" s="138">
        <f>'Acct Summary 7-8'!C7</f>
        <v>0</v>
      </c>
      <c r="C2554" s="2" t="s">
        <v>594</v>
      </c>
      <c r="D2554" s="2" t="str">
        <f t="shared" si="38"/>
        <v>Error?</v>
      </c>
    </row>
    <row r="2555" spans="1:4" x14ac:dyDescent="0.2">
      <c r="A2555" s="5">
        <v>2494</v>
      </c>
      <c r="B2555" s="138">
        <f>'Acct Summary 7-8'!C8</f>
        <v>881524</v>
      </c>
      <c r="C2555" s="2" t="s">
        <v>594</v>
      </c>
      <c r="D2555" s="2" t="str">
        <f t="shared" si="38"/>
        <v>Error?</v>
      </c>
    </row>
    <row r="2556" spans="1:4" x14ac:dyDescent="0.2">
      <c r="A2556" s="5">
        <v>2495</v>
      </c>
      <c r="B2556" s="138">
        <f>'Acct Summary 7-8'!C12</f>
        <v>520418</v>
      </c>
      <c r="C2556" s="2" t="s">
        <v>594</v>
      </c>
      <c r="D2556" s="2" t="str">
        <f t="shared" si="38"/>
        <v>Error?</v>
      </c>
    </row>
    <row r="2557" spans="1:4" x14ac:dyDescent="0.2">
      <c r="A2557" s="5">
        <v>2496</v>
      </c>
      <c r="B2557" s="138">
        <f>'Acct Summary 7-8'!C13</f>
        <v>190474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710892</v>
      </c>
      <c r="C2561" s="2" t="s">
        <v>594</v>
      </c>
      <c r="D2561" s="2" t="str">
        <f t="shared" si="39"/>
        <v>Error?</v>
      </c>
    </row>
    <row r="2562" spans="1:4" x14ac:dyDescent="0.2">
      <c r="A2562" s="5">
        <v>2501</v>
      </c>
      <c r="B2562" s="138">
        <f>'Acct Summary 7-8'!C20</f>
        <v>170632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37697</v>
      </c>
      <c r="D2718" s="2" t="str">
        <f t="shared" si="41"/>
        <v>Error?</v>
      </c>
    </row>
    <row r="2719" spans="1:4" x14ac:dyDescent="0.2">
      <c r="A2719" s="5">
        <v>2658</v>
      </c>
      <c r="B2719" s="138">
        <f>'Expenditures 15-22'!D51</f>
        <v>7258</v>
      </c>
      <c r="D2719" s="2" t="str">
        <f t="shared" si="41"/>
        <v>Error?</v>
      </c>
    </row>
    <row r="2720" spans="1:4" x14ac:dyDescent="0.2">
      <c r="A2720" s="5">
        <v>2659</v>
      </c>
      <c r="B2720" s="138">
        <f>'Expenditures 15-22'!E51</f>
        <v>13087</v>
      </c>
      <c r="D2720" s="2" t="str">
        <f t="shared" si="41"/>
        <v>Error?</v>
      </c>
    </row>
    <row r="2721" spans="1:4" x14ac:dyDescent="0.2">
      <c r="A2721" s="5">
        <v>2660</v>
      </c>
      <c r="B2721" s="138">
        <f>'Expenditures 15-22'!F51</f>
        <v>4044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62086</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27250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27250</v>
      </c>
      <c r="D2914" s="2" t="str">
        <f t="shared" si="44"/>
        <v>Error?</v>
      </c>
    </row>
    <row r="2915" spans="1:4" x14ac:dyDescent="0.2">
      <c r="A2915" s="10">
        <v>2854</v>
      </c>
      <c r="D2915" s="2" t="str">
        <f t="shared" si="44"/>
        <v>OK</v>
      </c>
    </row>
    <row r="2916" spans="1:4" x14ac:dyDescent="0.2">
      <c r="A2916" s="5">
        <v>2855</v>
      </c>
      <c r="B2916" s="138">
        <f>'Assets-Liab 5-6'!L34</f>
        <v>27250</v>
      </c>
      <c r="C2916" s="2" t="s">
        <v>594</v>
      </c>
      <c r="D2916" s="2" t="str">
        <f t="shared" si="44"/>
        <v>Error?</v>
      </c>
    </row>
    <row r="2917" spans="1:4" x14ac:dyDescent="0.2">
      <c r="A2917" s="5">
        <v>2856</v>
      </c>
      <c r="B2917" s="138">
        <f>'Assets-Liab 5-6'!L41</f>
        <v>27250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170632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760943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27250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881524</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710892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760943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470751</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15800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486551</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9100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9100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1680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1680</v>
      </c>
      <c r="C5112" s="2" t="s">
        <v>594</v>
      </c>
      <c r="D5112" s="2" t="str">
        <f t="shared" si="78"/>
        <v>Error?</v>
      </c>
    </row>
    <row r="5113" spans="1:4" x14ac:dyDescent="0.2">
      <c r="A5113" s="5">
        <v>5052</v>
      </c>
      <c r="B5113" s="138">
        <f>'Revenues 9-14'!C95</f>
        <v>310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156988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157298</v>
      </c>
      <c r="C5120" s="2" t="s">
        <v>594</v>
      </c>
      <c r="D5120" s="2" t="str">
        <f t="shared" si="79"/>
        <v>Error?</v>
      </c>
    </row>
    <row r="5121" spans="1:4" x14ac:dyDescent="0.2">
      <c r="A5121" s="5">
        <v>5060</v>
      </c>
      <c r="B5121" s="138">
        <f>'Revenues 9-14'!C109</f>
        <v>654629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226895</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226895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226895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226895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0</v>
      </c>
      <c r="C5326" s="2" t="s">
        <v>594</v>
      </c>
      <c r="D5326" s="2" t="str">
        <f t="shared" si="82"/>
        <v>Error?</v>
      </c>
    </row>
    <row r="5327" spans="1:4" x14ac:dyDescent="0.2">
      <c r="A5327" s="5">
        <v>5266</v>
      </c>
      <c r="B5327" s="138">
        <f>'Revenues 9-14'!C275</f>
        <v>881524</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170632</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0.22423755787227165</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11371</v>
      </c>
      <c r="D7615" s="2" t="str">
        <f t="shared" ref="D7615:D7678" si="124">IF(ISBLANK(B7615),"OK",IF(A7615-B7615=0,"OK","Error?"))</f>
        <v>Error?</v>
      </c>
      <c r="E7615" s="2" t="s">
        <v>19</v>
      </c>
    </row>
    <row r="7616" spans="1:5" x14ac:dyDescent="0.2">
      <c r="A7616">
        <f t="shared" si="123"/>
        <v>7555</v>
      </c>
      <c r="B7616" s="138">
        <f>'Cap Outlay Deprec 26'!D14</f>
        <v>816</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12187</v>
      </c>
      <c r="D7618" s="2" t="str">
        <f t="shared" si="124"/>
        <v>Error?</v>
      </c>
      <c r="E7618" s="2" t="s">
        <v>19</v>
      </c>
    </row>
    <row r="7619" spans="1:5" x14ac:dyDescent="0.2">
      <c r="A7619">
        <f t="shared" si="123"/>
        <v>7558</v>
      </c>
      <c r="B7619" s="138">
        <f>'Cap Outlay Deprec 26'!H14</f>
        <v>7463</v>
      </c>
      <c r="D7619" s="2" t="str">
        <f t="shared" si="124"/>
        <v>Error?</v>
      </c>
      <c r="E7619" s="2" t="s">
        <v>19</v>
      </c>
    </row>
    <row r="7620" spans="1:5" x14ac:dyDescent="0.2">
      <c r="A7620">
        <f t="shared" si="123"/>
        <v>7559</v>
      </c>
      <c r="B7620" s="138">
        <f>'Cap Outlay Deprec 26'!I14</f>
        <v>4062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11525</v>
      </c>
      <c r="D7622" s="2" t="str">
        <f t="shared" si="124"/>
        <v>Error?</v>
      </c>
      <c r="E7622" s="2" t="s">
        <v>19</v>
      </c>
    </row>
    <row r="7623" spans="1:5" x14ac:dyDescent="0.2">
      <c r="A7623">
        <f t="shared" si="123"/>
        <v>7562</v>
      </c>
      <c r="B7623" s="138">
        <f>'Cap Outlay Deprec 26'!L14</f>
        <v>662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11203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1952</v>
      </c>
    </row>
    <row r="7775" spans="1:5" x14ac:dyDescent="0.2">
      <c r="A7775">
        <v>7714</v>
      </c>
      <c r="B7775" s="138">
        <f>'Expenditures 15-22'!H133</f>
        <v>0</v>
      </c>
      <c r="D7775" s="2" t="str">
        <f t="shared" si="127"/>
        <v>Error?</v>
      </c>
      <c r="E7775" s="4" t="s">
        <v>1952</v>
      </c>
    </row>
    <row r="7776" spans="1:5" x14ac:dyDescent="0.2">
      <c r="A7776">
        <v>7715</v>
      </c>
      <c r="B7776" s="138">
        <f>'Expenditures 15-22'!K133</f>
        <v>0</v>
      </c>
      <c r="D7776" s="2" t="str">
        <f t="shared" si="127"/>
        <v>Error?</v>
      </c>
      <c r="E7776" s="4" t="s">
        <v>1952</v>
      </c>
    </row>
    <row r="7777" spans="1:5" x14ac:dyDescent="0.2">
      <c r="A7777">
        <v>7716</v>
      </c>
      <c r="B7777" s="138">
        <f>'Expenditures 15-22'!H157</f>
        <v>0</v>
      </c>
      <c r="D7777" s="2" t="str">
        <f t="shared" si="127"/>
        <v>Error?</v>
      </c>
      <c r="E7777" s="4" t="s">
        <v>1952</v>
      </c>
    </row>
    <row r="7778" spans="1:5" x14ac:dyDescent="0.2">
      <c r="A7778">
        <v>7717</v>
      </c>
      <c r="B7778" s="138">
        <f>'Expenditures 15-22'!K157</f>
        <v>0</v>
      </c>
      <c r="D7778" s="2" t="str">
        <f t="shared" si="127"/>
        <v>Error?</v>
      </c>
      <c r="E7778" s="4" t="s">
        <v>1952</v>
      </c>
    </row>
    <row r="7779" spans="1:5" x14ac:dyDescent="0.2">
      <c r="A7779">
        <v>7718</v>
      </c>
      <c r="B7779" s="138">
        <f>'Expenditures 15-22'!H158</f>
        <v>0</v>
      </c>
      <c r="D7779" s="2" t="str">
        <f t="shared" si="127"/>
        <v>Error?</v>
      </c>
      <c r="E7779" s="4" t="s">
        <v>1952</v>
      </c>
    </row>
    <row r="7780" spans="1:5" x14ac:dyDescent="0.2">
      <c r="A7780">
        <v>7719</v>
      </c>
      <c r="B7780" s="138">
        <f>'Expenditures 15-22'!K158</f>
        <v>0</v>
      </c>
      <c r="D7780" s="2" t="str">
        <f t="shared" si="127"/>
        <v>Error?</v>
      </c>
      <c r="E7780" s="4" t="s">
        <v>1952</v>
      </c>
    </row>
    <row r="7781" spans="1:5" x14ac:dyDescent="0.2">
      <c r="A7781">
        <v>7720</v>
      </c>
      <c r="B7781" s="138">
        <f>'Expenditures 15-22'!H159</f>
        <v>0</v>
      </c>
      <c r="D7781" s="2" t="str">
        <f t="shared" si="127"/>
        <v>Error?</v>
      </c>
      <c r="E7781" s="4" t="s">
        <v>1952</v>
      </c>
    </row>
    <row r="7782" spans="1:5" x14ac:dyDescent="0.2">
      <c r="A7782">
        <v>7721</v>
      </c>
      <c r="B7782" s="138">
        <f>'Expenditures 15-22'!K159</f>
        <v>0</v>
      </c>
      <c r="D7782" s="2" t="str">
        <f t="shared" si="127"/>
        <v>Error?</v>
      </c>
      <c r="E7782" s="4" t="s">
        <v>1952</v>
      </c>
    </row>
    <row r="7783" spans="1:5" x14ac:dyDescent="0.2">
      <c r="A7783">
        <v>7722</v>
      </c>
      <c r="B7783" s="138">
        <f>'Expenditures 15-22'!D282</f>
        <v>0</v>
      </c>
      <c r="D7783" s="2" t="str">
        <f t="shared" si="127"/>
        <v>Error?</v>
      </c>
      <c r="E7783" s="4" t="s">
        <v>1952</v>
      </c>
    </row>
    <row r="7784" spans="1:5" x14ac:dyDescent="0.2">
      <c r="A7784">
        <v>7723</v>
      </c>
      <c r="B7784" s="138">
        <f>'Expenditures 15-22'!K282</f>
        <v>0</v>
      </c>
      <c r="D7784" s="2" t="str">
        <f t="shared" si="127"/>
        <v>Error?</v>
      </c>
      <c r="E7784" s="4" t="s">
        <v>1952</v>
      </c>
    </row>
    <row r="7785" spans="1:5" x14ac:dyDescent="0.2">
      <c r="A7785">
        <v>7724</v>
      </c>
      <c r="B7785" s="138">
        <f>'Expenditures 15-22'!H332</f>
        <v>0</v>
      </c>
      <c r="D7785" s="2" t="str">
        <f t="shared" si="127"/>
        <v>Error?</v>
      </c>
      <c r="E7785" s="4" t="s">
        <v>1952</v>
      </c>
    </row>
    <row r="7786" spans="1:5" x14ac:dyDescent="0.2">
      <c r="A7786">
        <v>7725</v>
      </c>
      <c r="B7786" s="138">
        <f>'Expenditures 15-22'!K332</f>
        <v>0</v>
      </c>
      <c r="D7786" s="2" t="str">
        <f t="shared" si="127"/>
        <v>Error?</v>
      </c>
      <c r="E7786" s="4" t="s">
        <v>1952</v>
      </c>
    </row>
    <row r="7787" spans="1:5" x14ac:dyDescent="0.2">
      <c r="A7787">
        <v>7726</v>
      </c>
      <c r="B7787" s="138">
        <f>'Expenditures 15-22'!H333</f>
        <v>0</v>
      </c>
      <c r="D7787" s="2" t="str">
        <f t="shared" si="127"/>
        <v>Error?</v>
      </c>
      <c r="E7787" s="4" t="s">
        <v>1952</v>
      </c>
    </row>
    <row r="7788" spans="1:5" x14ac:dyDescent="0.2">
      <c r="A7788">
        <v>7727</v>
      </c>
      <c r="B7788" s="138">
        <f>'Expenditures 15-22'!K333</f>
        <v>0</v>
      </c>
      <c r="D7788" s="2" t="str">
        <f t="shared" si="127"/>
        <v>Error?</v>
      </c>
      <c r="E7788" s="4" t="s">
        <v>1952</v>
      </c>
    </row>
    <row r="7789" spans="1:5" x14ac:dyDescent="0.2">
      <c r="A7789">
        <v>7728</v>
      </c>
      <c r="B7789" s="138">
        <f>'Expenditures 15-22'!H334</f>
        <v>0</v>
      </c>
      <c r="D7789" s="2" t="str">
        <f t="shared" si="127"/>
        <v>Error?</v>
      </c>
      <c r="E7789" s="4" t="s">
        <v>1952</v>
      </c>
    </row>
    <row r="7790" spans="1:5" x14ac:dyDescent="0.2">
      <c r="A7790">
        <v>7729</v>
      </c>
      <c r="B7790" s="138">
        <f>'Expenditures 15-22'!K334</f>
        <v>0</v>
      </c>
      <c r="D7790" s="2" t="str">
        <f t="shared" si="127"/>
        <v>Error?</v>
      </c>
      <c r="E7790" s="4" t="s">
        <v>1952</v>
      </c>
    </row>
    <row r="7791" spans="1:5" x14ac:dyDescent="0.2">
      <c r="A7791">
        <v>7730</v>
      </c>
      <c r="B7791" s="138">
        <f>'Expenditures 15-22'!H354</f>
        <v>0</v>
      </c>
      <c r="D7791" s="2" t="str">
        <f t="shared" si="127"/>
        <v>Error?</v>
      </c>
      <c r="E7791" s="4" t="s">
        <v>1952</v>
      </c>
    </row>
    <row r="7792" spans="1:5" x14ac:dyDescent="0.2">
      <c r="A7792">
        <v>7731</v>
      </c>
      <c r="B7792" s="138">
        <f>'Expenditures 15-22'!K354</f>
        <v>0</v>
      </c>
      <c r="D7792" s="2" t="str">
        <f t="shared" si="127"/>
        <v>Error?</v>
      </c>
      <c r="E7792" s="4" t="s">
        <v>1952</v>
      </c>
    </row>
    <row r="7793" spans="1:5" x14ac:dyDescent="0.2">
      <c r="A7793">
        <v>7732</v>
      </c>
      <c r="B7793" s="138">
        <f>'Expenditures 15-22'!H355</f>
        <v>0</v>
      </c>
      <c r="D7793" s="2" t="str">
        <f t="shared" si="127"/>
        <v>Error?</v>
      </c>
      <c r="E7793" s="4" t="s">
        <v>1952</v>
      </c>
    </row>
    <row r="7794" spans="1:5" x14ac:dyDescent="0.2">
      <c r="A7794">
        <v>7733</v>
      </c>
      <c r="B7794" s="138">
        <f>'Expenditures 15-22'!K355</f>
        <v>0</v>
      </c>
      <c r="D7794" s="2" t="str">
        <f t="shared" si="127"/>
        <v>Error?</v>
      </c>
      <c r="E7794" s="4" t="s">
        <v>1952</v>
      </c>
    </row>
    <row r="7795" spans="1:5" x14ac:dyDescent="0.2">
      <c r="A7795">
        <v>7734</v>
      </c>
      <c r="B7795" s="138">
        <f>'Expenditures 15-22'!E138</f>
        <v>0</v>
      </c>
      <c r="D7795" s="2" t="str">
        <f t="shared" si="127"/>
        <v>Error?</v>
      </c>
      <c r="E7795" s="4" t="s">
        <v>1952</v>
      </c>
    </row>
    <row r="7796" spans="1:5" x14ac:dyDescent="0.2">
      <c r="A7796">
        <v>7735</v>
      </c>
      <c r="B7796" s="138">
        <f>'Acct Summary 7-8'!J15</f>
        <v>0</v>
      </c>
      <c r="D7796" s="2" t="str">
        <f t="shared" si="127"/>
        <v>Error?</v>
      </c>
      <c r="E7796" s="4" t="s">
        <v>1952</v>
      </c>
    </row>
    <row r="7797" spans="1:5" x14ac:dyDescent="0.2">
      <c r="A7797">
        <v>7736</v>
      </c>
      <c r="B7797" s="138">
        <f>'Contracts Paid in CY 29'!D141</f>
        <v>0</v>
      </c>
      <c r="D7797" s="2" t="str">
        <f t="shared" si="127"/>
        <v>Error?</v>
      </c>
      <c r="E7797" s="4" t="s">
        <v>2005</v>
      </c>
    </row>
    <row r="7798" spans="1:5" x14ac:dyDescent="0.2">
      <c r="A7798">
        <v>7737</v>
      </c>
      <c r="B7798" s="138">
        <f>'Contracts Paid in CY 29'!F141</f>
        <v>0</v>
      </c>
      <c r="D7798" s="2" t="str">
        <f t="shared" si="127"/>
        <v>Error?</v>
      </c>
      <c r="E7798" s="4" t="s">
        <v>2005</v>
      </c>
    </row>
    <row r="7799" spans="1:5" x14ac:dyDescent="0.2">
      <c r="A7799">
        <v>7738</v>
      </c>
      <c r="B7799" s="138">
        <f>'Contracts Paid in CY 29'!G141</f>
        <v>0</v>
      </c>
      <c r="D7799" s="2" t="str">
        <f t="shared" si="127"/>
        <v>Error?</v>
      </c>
      <c r="E7799" s="4" t="s">
        <v>2005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1785</v>
      </c>
      <c r="B4" s="2438"/>
      <c r="C4" s="2438"/>
      <c r="D4" s="2438"/>
      <c r="E4" s="2438"/>
      <c r="F4" s="2438"/>
      <c r="G4" s="2438"/>
      <c r="H4" s="2438"/>
      <c r="I4" s="2438"/>
      <c r="J4" s="2438"/>
      <c r="K4" s="2438"/>
      <c r="L4" s="2438"/>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01" t="str">
        <f>COVER!A17</f>
        <v>Livingston Area Career Center</v>
      </c>
      <c r="B7" s="2402"/>
      <c r="C7" s="2402"/>
      <c r="D7" s="2439"/>
      <c r="E7" s="2440">
        <f>COVER!A13</f>
        <v>17053090041</v>
      </c>
      <c r="F7" s="2441"/>
      <c r="G7" s="2408" t="str">
        <f>COVER!T23</f>
        <v>066-004933</v>
      </c>
      <c r="H7" s="2409"/>
      <c r="I7" s="2409"/>
      <c r="J7" s="2409"/>
      <c r="K7" s="2409"/>
      <c r="L7" s="2410"/>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11"/>
      <c r="B9" s="2412"/>
      <c r="C9" s="2412"/>
      <c r="D9" s="2412"/>
      <c r="E9" s="2412"/>
      <c r="F9" s="2413"/>
      <c r="G9" s="2414" t="str">
        <f>COVER!T13</f>
        <v>Phillips &amp; Associates, CPAs, P.C.</v>
      </c>
      <c r="H9" s="2415"/>
      <c r="I9" s="2415"/>
      <c r="J9" s="2415"/>
      <c r="K9" s="2415"/>
      <c r="L9" s="2416"/>
    </row>
    <row r="10" spans="1:29" ht="13.5" customHeight="1" x14ac:dyDescent="0.2">
      <c r="A10" s="2398" t="str">
        <f>COVER!A38</f>
        <v>Tera Graves</v>
      </c>
      <c r="B10" s="2399"/>
      <c r="C10" s="2399"/>
      <c r="D10" s="2399"/>
      <c r="E10" s="2399"/>
      <c r="F10" s="2400"/>
      <c r="G10" s="2414" t="str">
        <f>COVER!T17</f>
        <v>1600 Hunt Drive, Suite B</v>
      </c>
      <c r="H10" s="2427"/>
      <c r="I10" s="2427"/>
      <c r="J10" s="2427"/>
      <c r="K10" s="2427"/>
      <c r="L10" s="2428"/>
    </row>
    <row r="11" spans="1:29" ht="13.5" customHeight="1" x14ac:dyDescent="0.2">
      <c r="A11" s="1182" t="s">
        <v>1599</v>
      </c>
      <c r="B11" s="1183"/>
      <c r="C11" s="1184"/>
      <c r="D11" s="1189"/>
      <c r="E11" s="1184"/>
      <c r="F11" s="1188"/>
      <c r="G11" s="2414" t="str">
        <f>COVER!T19</f>
        <v>Normal</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rwp6505@aol.com</v>
      </c>
      <c r="J13" s="2436"/>
      <c r="K13" s="2436"/>
      <c r="L13" s="2437"/>
    </row>
    <row r="14" spans="1:29" ht="13.5" customHeight="1" x14ac:dyDescent="0.2">
      <c r="A14" s="2414" t="str">
        <f>COVER!A19</f>
        <v>1100 Indiana Avenue</v>
      </c>
      <c r="B14" s="2427"/>
      <c r="C14" s="2427"/>
      <c r="D14" s="2427"/>
      <c r="E14" s="2427"/>
      <c r="F14" s="2428"/>
      <c r="G14" s="1193" t="s">
        <v>1247</v>
      </c>
      <c r="H14" s="1191"/>
      <c r="I14" s="1191"/>
      <c r="J14" s="1191"/>
      <c r="K14" s="1191"/>
      <c r="L14" s="1192"/>
    </row>
    <row r="15" spans="1:29" ht="13.5" customHeight="1" x14ac:dyDescent="0.2">
      <c r="A15" s="2414" t="str">
        <f>COVER!A21</f>
        <v>Pontiac</v>
      </c>
      <c r="B15" s="2427"/>
      <c r="C15" s="2427"/>
      <c r="D15" s="2427"/>
      <c r="E15" s="2427"/>
      <c r="F15" s="2428"/>
      <c r="G15" s="2424" t="str">
        <f>COVER!T15</f>
        <v>Richard W. Phillips</v>
      </c>
      <c r="H15" s="2425"/>
      <c r="I15" s="2425"/>
      <c r="J15" s="2425"/>
      <c r="K15" s="2425"/>
      <c r="L15" s="2426"/>
    </row>
    <row r="16" spans="1:29" ht="12.2" customHeight="1" x14ac:dyDescent="0.2">
      <c r="A16" s="2404">
        <f>COVER!A25</f>
        <v>61764</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3" t="s">
        <v>1246</v>
      </c>
      <c r="H17" s="1191"/>
      <c r="I17" s="1191"/>
      <c r="J17" s="1191"/>
      <c r="K17" s="1195" t="s">
        <v>1245</v>
      </c>
      <c r="L17" s="1188"/>
      <c r="M17" s="1181"/>
    </row>
    <row r="18" spans="1:13" ht="12.2" customHeight="1" x14ac:dyDescent="0.2">
      <c r="A18" s="2398"/>
      <c r="B18" s="2399"/>
      <c r="C18" s="2399"/>
      <c r="D18" s="2399"/>
      <c r="E18" s="2399"/>
      <c r="F18" s="2400"/>
      <c r="G18" s="2401">
        <f>COVER!T21</f>
        <v>3094522417</v>
      </c>
      <c r="H18" s="2402"/>
      <c r="I18" s="2402"/>
      <c r="J18" s="2402"/>
      <c r="K18" s="2401">
        <f>COVER!X21</f>
        <v>3098889261</v>
      </c>
      <c r="L18" s="2403"/>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1786</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1787</v>
      </c>
    </row>
    <row r="27" spans="1:13" s="1196" customFormat="1" ht="9" customHeight="1" x14ac:dyDescent="0.2">
      <c r="B27" s="1201"/>
      <c r="C27" s="1200"/>
    </row>
    <row r="28" spans="1:13" s="1196" customFormat="1" ht="12.2" customHeight="1" x14ac:dyDescent="0.2">
      <c r="A28" s="1203"/>
      <c r="B28" s="1199"/>
      <c r="C28" s="1200" t="s">
        <v>1788</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1789</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1932</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1790</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2" t="str">
        <f>'Single Audit Cover'!A7</f>
        <v>Livingston Area Career Center</v>
      </c>
      <c r="B1" s="2438"/>
      <c r="C1" s="2438"/>
      <c r="D1" s="2438"/>
    </row>
    <row r="2" spans="1:11" s="1212" customFormat="1" ht="12.75" x14ac:dyDescent="0.2">
      <c r="A2" s="2443">
        <f>'Single Audit Cover'!E7</f>
        <v>17053090041</v>
      </c>
      <c r="B2" s="2444"/>
      <c r="C2" s="2444"/>
      <c r="D2" s="2444"/>
    </row>
    <row r="3" spans="1:11" s="1212" customFormat="1" ht="12.75" x14ac:dyDescent="0.2">
      <c r="A3" s="2442" t="s">
        <v>1593</v>
      </c>
      <c r="B3" s="2438"/>
      <c r="C3" s="2438"/>
      <c r="D3" s="2438"/>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1791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1792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1793</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1794</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1815</v>
      </c>
      <c r="E24" s="1225"/>
      <c r="F24" s="1225"/>
      <c r="G24" s="1225"/>
      <c r="H24" s="1225"/>
      <c r="I24" s="1225"/>
      <c r="J24" s="1225"/>
      <c r="K24" s="1225"/>
    </row>
    <row r="25" spans="1:11" x14ac:dyDescent="0.2">
      <c r="A25" s="1219"/>
      <c r="B25" s="1228"/>
      <c r="D25" s="1227" t="s">
        <v>1795</v>
      </c>
      <c r="E25" s="1225"/>
      <c r="F25" s="1225"/>
      <c r="G25" s="1225"/>
      <c r="H25" s="1225"/>
      <c r="I25" s="1225"/>
      <c r="J25" s="1225"/>
      <c r="K25" s="1225"/>
    </row>
    <row r="26" spans="1:11" x14ac:dyDescent="0.2">
      <c r="A26" s="1219"/>
      <c r="B26" s="1228"/>
      <c r="D26" s="1232" t="s">
        <v>1796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09"/>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1797</v>
      </c>
    </row>
    <row r="57" spans="1:4" ht="10.5" customHeight="1" x14ac:dyDescent="0.2">
      <c r="A57" s="1219"/>
      <c r="D57" s="1234" t="s">
        <v>1798</v>
      </c>
    </row>
    <row r="58" spans="1:4" x14ac:dyDescent="0.2">
      <c r="A58" s="1219"/>
      <c r="C58" s="1241"/>
      <c r="D58" s="1234" t="s">
        <v>1799</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1800</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1801</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1802</v>
      </c>
    </row>
    <row r="70" spans="1:4" x14ac:dyDescent="0.2">
      <c r="A70" s="1219"/>
      <c r="D70" s="1243" t="s">
        <v>1268</v>
      </c>
    </row>
    <row r="71" spans="1:4" ht="3" customHeight="1" x14ac:dyDescent="0.2">
      <c r="A71" s="1219"/>
      <c r="D71" s="1218"/>
    </row>
    <row r="72" spans="1:4" x14ac:dyDescent="0.2">
      <c r="A72" s="1219"/>
      <c r="B72" s="1222"/>
      <c r="C72" s="1223">
        <f>C56+1</f>
        <v>18</v>
      </c>
      <c r="D72" s="1244" t="s">
        <v>1803</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1804</v>
      </c>
    </row>
    <row r="77" spans="1:4" ht="3" customHeight="1" x14ac:dyDescent="0.2">
      <c r="A77" s="1219"/>
      <c r="B77" s="1226"/>
      <c r="C77" s="1223"/>
      <c r="D77" s="1245"/>
    </row>
    <row r="78" spans="1:4" x14ac:dyDescent="0.2">
      <c r="A78" s="1219"/>
      <c r="B78" s="1222"/>
      <c r="C78" s="1223">
        <f>C76+1</f>
        <v>21</v>
      </c>
      <c r="D78" s="1218" t="s">
        <v>1805</v>
      </c>
    </row>
    <row r="79" spans="1:4" ht="3" customHeight="1" x14ac:dyDescent="0.2">
      <c r="A79" s="1219"/>
      <c r="B79" s="1226"/>
      <c r="C79" s="1223"/>
      <c r="D79" s="1218"/>
    </row>
    <row r="80" spans="1:4" x14ac:dyDescent="0.2">
      <c r="A80" s="1219"/>
      <c r="B80" s="1222"/>
      <c r="C80" s="1223">
        <f>C78+1</f>
        <v>22</v>
      </c>
      <c r="D80" s="1246" t="s">
        <v>1806</v>
      </c>
    </row>
    <row r="81" spans="1:4" ht="3" customHeight="1" x14ac:dyDescent="0.2">
      <c r="A81" s="1219"/>
      <c r="B81" s="1226"/>
      <c r="C81" s="1223"/>
      <c r="D81" s="1246"/>
    </row>
    <row r="82" spans="1:4" x14ac:dyDescent="0.2">
      <c r="A82" s="1219"/>
      <c r="B82" s="1222"/>
      <c r="C82" s="1223">
        <f>C80+1</f>
        <v>23</v>
      </c>
      <c r="D82" s="1245" t="s">
        <v>1807</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1808</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1809</v>
      </c>
    </row>
    <row r="97" spans="1:4" ht="3" customHeight="1" x14ac:dyDescent="0.2">
      <c r="A97" s="1219"/>
      <c r="B97" s="1226"/>
      <c r="C97" s="1223"/>
      <c r="D97" s="1234"/>
    </row>
    <row r="98" spans="1:4" x14ac:dyDescent="0.2">
      <c r="A98" s="1219"/>
      <c r="B98" s="1222"/>
      <c r="C98" s="1223">
        <f>C96+1</f>
        <v>29</v>
      </c>
      <c r="D98" s="1248" t="s">
        <v>1810</v>
      </c>
    </row>
    <row r="99" spans="1:4" ht="3" customHeight="1" x14ac:dyDescent="0.2">
      <c r="A99" s="1219"/>
      <c r="B99" s="1226"/>
      <c r="C99" s="1223"/>
      <c r="D99" s="1248"/>
    </row>
    <row r="100" spans="1:4" x14ac:dyDescent="0.2">
      <c r="A100" s="1219"/>
      <c r="B100" s="1222"/>
      <c r="C100" s="1223">
        <f>C98+1</f>
        <v>30</v>
      </c>
      <c r="D100" s="1234" t="s">
        <v>1811</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09"/>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1812</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1813</v>
      </c>
    </row>
    <row r="118" spans="1:4" ht="3" customHeight="1" x14ac:dyDescent="0.2">
      <c r="A118" s="1219"/>
      <c r="B118" s="1226"/>
      <c r="C118" s="1223"/>
      <c r="D118" s="1234"/>
    </row>
    <row r="119" spans="1:4" x14ac:dyDescent="0.2">
      <c r="A119" s="1219"/>
      <c r="B119" s="1222"/>
      <c r="C119" s="1223">
        <f>C117+1</f>
        <v>38</v>
      </c>
      <c r="D119" s="1234" t="s">
        <v>1814</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1933</v>
      </c>
    </row>
    <row r="124" spans="1:4" x14ac:dyDescent="0.2">
      <c r="A124" s="1219"/>
      <c r="B124" s="309"/>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4" customWidth="1"/>
    <col min="2" max="2" width="29.5703125" style="1255" customWidth="1"/>
    <col min="3" max="3" width="1.28515625" style="1255" customWidth="1"/>
    <col min="4" max="4" width="24.42578125" style="1256" customWidth="1"/>
    <col min="5" max="5" width="5" style="314" customWidth="1"/>
    <col min="6" max="16384" width="15.7109375" style="314"/>
  </cols>
  <sheetData>
    <row r="1" spans="1:5" x14ac:dyDescent="0.2">
      <c r="A1" s="2446" t="str">
        <f>'Single Audit Cover'!A7</f>
        <v>Livingston Area Career Center</v>
      </c>
      <c r="B1" s="2446"/>
      <c r="C1" s="2446"/>
      <c r="D1" s="2446"/>
      <c r="E1" s="2446"/>
    </row>
    <row r="2" spans="1:5" x14ac:dyDescent="0.2">
      <c r="A2" s="2447">
        <f>'Single Audit Cover'!E7</f>
        <v>17053090041</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7" t="s">
        <v>1305</v>
      </c>
    </row>
    <row r="10" spans="1:5" x14ac:dyDescent="0.2">
      <c r="A10" s="1258" t="s">
        <v>1304</v>
      </c>
      <c r="B10" s="1259" t="s">
        <v>1303</v>
      </c>
      <c r="C10" s="1259"/>
      <c r="D10" s="1260">
        <f>SUM('Acct Summary 7-8'!C7:K7)</f>
        <v>0</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1816</v>
      </c>
      <c r="B14" s="1259"/>
      <c r="C14" s="1259"/>
      <c r="D14" s="1261">
        <f>'ICR Computation 30'!E11</f>
        <v>0</v>
      </c>
    </row>
    <row r="15" spans="1:5" x14ac:dyDescent="0.2">
      <c r="A15" s="1258"/>
      <c r="B15" s="1259"/>
      <c r="C15" s="1259"/>
    </row>
    <row r="16" spans="1:5" x14ac:dyDescent="0.2">
      <c r="A16" s="1258" t="s">
        <v>1941</v>
      </c>
      <c r="B16" s="1259"/>
      <c r="C16" s="1259"/>
    </row>
    <row r="17" spans="1:4" x14ac:dyDescent="0.2">
      <c r="A17" s="1258" t="s">
        <v>1601</v>
      </c>
      <c r="B17" s="1259" t="s">
        <v>1298</v>
      </c>
      <c r="C17" s="1259"/>
      <c r="D17" s="1261">
        <f>-SUM('Revenues 9-14'!C271:D271,'Revenues 9-14'!F271:G271)</f>
        <v>0</v>
      </c>
    </row>
    <row r="19" spans="1:4" ht="13.5" thickBot="1" x14ac:dyDescent="0.25">
      <c r="A19" s="1262" t="s">
        <v>1297</v>
      </c>
      <c r="D19" s="1263">
        <f>SUM(D10:D17)</f>
        <v>0</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48"/>
      <c r="B24" s="2448"/>
      <c r="D24" s="1265"/>
    </row>
    <row r="25" spans="1:4" x14ac:dyDescent="0.2">
      <c r="A25" s="2445"/>
      <c r="B25" s="2445"/>
      <c r="D25" s="1265"/>
    </row>
    <row r="26" spans="1:4" x14ac:dyDescent="0.2">
      <c r="A26" s="2445"/>
      <c r="B26" s="2445"/>
      <c r="D26" s="1265"/>
    </row>
    <row r="27" spans="1:4" x14ac:dyDescent="0.2">
      <c r="A27" s="2445"/>
      <c r="B27" s="2445"/>
      <c r="D27" s="1265"/>
    </row>
    <row r="28" spans="1:4" x14ac:dyDescent="0.2">
      <c r="A28" s="2445"/>
      <c r="B28" s="2445"/>
      <c r="D28" s="1265"/>
    </row>
    <row r="29" spans="1:4" x14ac:dyDescent="0.2">
      <c r="A29" s="2445"/>
      <c r="B29" s="2445"/>
      <c r="D29" s="1265"/>
    </row>
    <row r="30" spans="1:4" x14ac:dyDescent="0.2">
      <c r="A30" s="2445"/>
      <c r="B30" s="2445"/>
      <c r="D30" s="1265"/>
    </row>
    <row r="32" spans="1:4" x14ac:dyDescent="0.2">
      <c r="A32" s="1257" t="s">
        <v>1295</v>
      </c>
      <c r="D32" s="1260">
        <f>SUM(D19:D30)</f>
        <v>0</v>
      </c>
    </row>
    <row r="33" spans="1:4" x14ac:dyDescent="0.2">
      <c r="D33" s="1266"/>
    </row>
    <row r="34" spans="1:4" x14ac:dyDescent="0.2">
      <c r="A34" s="314" t="s">
        <v>1294</v>
      </c>
    </row>
    <row r="35" spans="1:4" x14ac:dyDescent="0.2">
      <c r="A35" s="314" t="s">
        <v>1293</v>
      </c>
      <c r="B35" s="1255" t="s">
        <v>1292</v>
      </c>
      <c r="D35" s="1267"/>
    </row>
    <row r="37" spans="1:4" x14ac:dyDescent="0.2">
      <c r="A37" s="1257" t="s">
        <v>1291</v>
      </c>
    </row>
    <row r="39" spans="1:4" ht="13.35" customHeight="1" x14ac:dyDescent="0.2">
      <c r="A39" s="1264" t="s">
        <v>1290</v>
      </c>
    </row>
    <row r="40" spans="1:4" x14ac:dyDescent="0.2">
      <c r="A40" s="2445"/>
      <c r="B40" s="2445"/>
      <c r="D40" s="1265"/>
    </row>
    <row r="41" spans="1:4" x14ac:dyDescent="0.2">
      <c r="A41" s="2445"/>
      <c r="B41" s="2445"/>
      <c r="D41" s="1268"/>
    </row>
    <row r="42" spans="1:4" x14ac:dyDescent="0.2">
      <c r="A42" s="2445"/>
      <c r="B42" s="2445"/>
      <c r="D42" s="1268"/>
    </row>
    <row r="43" spans="1:4" x14ac:dyDescent="0.2">
      <c r="A43" s="2445"/>
      <c r="B43" s="2445"/>
      <c r="D43" s="1268"/>
    </row>
    <row r="44" spans="1:4" x14ac:dyDescent="0.2">
      <c r="A44" s="2445"/>
      <c r="B44" s="2445"/>
      <c r="D44" s="1268"/>
    </row>
    <row r="45" spans="1:4" x14ac:dyDescent="0.2">
      <c r="A45" s="2445"/>
      <c r="B45" s="2445"/>
      <c r="D45" s="1268"/>
    </row>
    <row r="47" spans="1:4" x14ac:dyDescent="0.2">
      <c r="B47" s="1269" t="s">
        <v>1289</v>
      </c>
      <c r="C47" s="1269"/>
      <c r="D47" s="1270">
        <f>SUM(D35:D45)</f>
        <v>0</v>
      </c>
    </row>
    <row r="49" spans="2:4" x14ac:dyDescent="0.2">
      <c r="B49" s="1269" t="s">
        <v>1288</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4" customWidth="1"/>
    <col min="2" max="2" width="53.28515625" style="314" customWidth="1"/>
    <col min="3" max="3" width="14" style="1255" customWidth="1"/>
    <col min="4" max="4" width="16.7109375" style="1255" customWidth="1"/>
    <col min="5" max="5" width="7.5703125" style="314" customWidth="1"/>
    <col min="6" max="6" width="2.7109375" style="314" customWidth="1"/>
    <col min="7" max="7" width="3.28515625" style="314" customWidth="1"/>
    <col min="8" max="16384" width="8" style="314"/>
  </cols>
  <sheetData>
    <row r="1" spans="1:7" ht="13.5" customHeight="1" x14ac:dyDescent="0.2">
      <c r="A1" s="2451" t="str">
        <f>'Single Audit Cover'!A7</f>
        <v>Livingston Area Career Center</v>
      </c>
      <c r="B1" s="2451"/>
      <c r="C1" s="2451"/>
      <c r="D1" s="2451"/>
      <c r="E1" s="2451"/>
      <c r="F1" s="2451"/>
    </row>
    <row r="2" spans="1:7" ht="13.5" customHeight="1" x14ac:dyDescent="0.2">
      <c r="A2" s="2452">
        <f>'Single Audit Cover'!E7</f>
        <v>17053090041</v>
      </c>
      <c r="B2" s="2452"/>
      <c r="C2" s="2452"/>
      <c r="D2" s="2452"/>
      <c r="E2" s="2452"/>
      <c r="F2" s="2452"/>
      <c r="G2" s="1272"/>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4"/>
      <c r="D5" s="314"/>
    </row>
    <row r="6" spans="1:7" ht="13.5" customHeight="1" x14ac:dyDescent="0.2">
      <c r="A6" s="1273" t="s">
        <v>1817</v>
      </c>
      <c r="C6" s="314"/>
      <c r="D6" s="314"/>
    </row>
    <row r="7" spans="1:7" ht="60.95" customHeight="1" x14ac:dyDescent="0.2">
      <c r="A7" s="2450" t="s">
        <v>1818</v>
      </c>
      <c r="B7" s="2450"/>
      <c r="C7" s="2450"/>
      <c r="D7" s="2450"/>
      <c r="E7" s="2450"/>
      <c r="F7" s="2450"/>
    </row>
    <row r="8" spans="1:7" ht="12" customHeight="1" x14ac:dyDescent="0.2">
      <c r="A8" s="1273"/>
      <c r="B8" s="1279"/>
      <c r="C8" s="1279"/>
      <c r="D8" s="1279"/>
    </row>
    <row r="9" spans="1:7" ht="15" customHeight="1" x14ac:dyDescent="0.2">
      <c r="A9" s="1274" t="s">
        <v>1819</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0"/>
      <c r="D11" s="1277"/>
      <c r="E11" s="1920"/>
      <c r="F11" s="1277"/>
      <c r="G11" s="1275"/>
    </row>
    <row r="12" spans="1:7" x14ac:dyDescent="0.2">
      <c r="A12" s="1273" t="s">
        <v>1669</v>
      </c>
      <c r="C12" s="1257"/>
      <c r="D12" s="1257"/>
    </row>
    <row r="13" spans="1:7" ht="15" customHeight="1" x14ac:dyDescent="0.2">
      <c r="A13" s="2450" t="s">
        <v>1820</v>
      </c>
      <c r="B13" s="2450"/>
      <c r="C13" s="2450"/>
      <c r="D13" s="2450"/>
      <c r="E13" s="2450"/>
      <c r="F13" s="2450"/>
    </row>
    <row r="14" spans="1:7" ht="9.75" customHeight="1" x14ac:dyDescent="0.2">
      <c r="C14" s="1257"/>
      <c r="D14" s="1257"/>
    </row>
    <row r="15" spans="1:7" ht="13.5" customHeight="1" x14ac:dyDescent="0.2">
      <c r="C15" s="1868" t="s">
        <v>1332</v>
      </c>
      <c r="D15" s="2456" t="s">
        <v>1331</v>
      </c>
      <c r="E15" s="2456"/>
      <c r="F15" s="2456"/>
    </row>
    <row r="16" spans="1:7" ht="13.5" customHeight="1" x14ac:dyDescent="0.2">
      <c r="A16" s="1279"/>
      <c r="B16" s="1273" t="s">
        <v>1330</v>
      </c>
      <c r="C16" s="1868" t="s">
        <v>1329</v>
      </c>
      <c r="D16" s="2457" t="s">
        <v>1670</v>
      </c>
      <c r="E16" s="2457"/>
      <c r="F16" s="2457"/>
    </row>
    <row r="17" spans="1:6" ht="20.45" customHeight="1" x14ac:dyDescent="0.2">
      <c r="A17" s="1280"/>
      <c r="B17" s="1281"/>
      <c r="C17" s="1282"/>
      <c r="D17" s="2455"/>
      <c r="E17" s="2455"/>
      <c r="F17" s="2455"/>
    </row>
    <row r="18" spans="1:6" ht="20.65" customHeight="1" x14ac:dyDescent="0.2">
      <c r="A18" s="1280"/>
      <c r="B18" s="1281"/>
      <c r="C18" s="1282"/>
      <c r="D18" s="2455"/>
      <c r="E18" s="2455"/>
      <c r="F18" s="2455"/>
    </row>
    <row r="19" spans="1:6" ht="20.65" customHeight="1" x14ac:dyDescent="0.2">
      <c r="A19" s="1280"/>
      <c r="B19" s="1281"/>
      <c r="C19" s="1282"/>
      <c r="D19" s="2455"/>
      <c r="E19" s="2455"/>
      <c r="F19" s="2455"/>
    </row>
    <row r="20" spans="1:6" ht="20.65" customHeight="1" x14ac:dyDescent="0.2">
      <c r="A20" s="1280"/>
      <c r="B20" s="1281"/>
      <c r="C20" s="1282"/>
      <c r="D20" s="2455"/>
      <c r="E20" s="2455"/>
      <c r="F20" s="2455"/>
    </row>
    <row r="21" spans="1:6" ht="20.65" customHeight="1" x14ac:dyDescent="0.2">
      <c r="A21" s="1280"/>
      <c r="B21" s="1281"/>
      <c r="C21" s="1282"/>
      <c r="D21" s="2455"/>
      <c r="E21" s="2455"/>
      <c r="F21" s="2455"/>
    </row>
    <row r="22" spans="1:6" ht="20.65" customHeight="1" x14ac:dyDescent="0.2">
      <c r="A22" s="1280"/>
      <c r="B22" s="1281"/>
      <c r="C22" s="1282"/>
      <c r="D22" s="2455"/>
      <c r="E22" s="2455"/>
      <c r="F22" s="2455"/>
    </row>
    <row r="23" spans="1:6" ht="20.65" customHeight="1" x14ac:dyDescent="0.2">
      <c r="A23" s="1280"/>
      <c r="B23" s="1281"/>
      <c r="C23" s="1282"/>
      <c r="D23" s="2455"/>
      <c r="E23" s="2455"/>
      <c r="F23" s="2455"/>
    </row>
    <row r="24" spans="1:6" ht="20.65" customHeight="1" x14ac:dyDescent="0.2">
      <c r="A24" s="1280"/>
      <c r="B24" s="1281"/>
      <c r="C24" s="1282"/>
      <c r="D24" s="2455"/>
      <c r="E24" s="2455"/>
      <c r="F24" s="2455"/>
    </row>
    <row r="25" spans="1:6" ht="20.65" customHeight="1" x14ac:dyDescent="0.2">
      <c r="A25" s="1280"/>
      <c r="B25" s="1281"/>
      <c r="C25" s="1282"/>
      <c r="D25" s="2455"/>
      <c r="E25" s="2455"/>
      <c r="F25" s="2455"/>
    </row>
    <row r="26" spans="1:6" ht="20.65" customHeight="1" x14ac:dyDescent="0.2">
      <c r="A26" s="1280"/>
      <c r="B26" s="1281"/>
      <c r="C26" s="1282"/>
      <c r="D26" s="2455"/>
      <c r="E26" s="2455"/>
      <c r="F26" s="2455"/>
    </row>
    <row r="27" spans="1:6" ht="20.65" customHeight="1" x14ac:dyDescent="0.2">
      <c r="A27" s="1280"/>
      <c r="B27" s="1281"/>
      <c r="C27" s="1282"/>
      <c r="D27" s="2455"/>
      <c r="E27" s="2455"/>
      <c r="F27" s="2455"/>
    </row>
    <row r="28" spans="1:6" ht="20.65" customHeight="1" x14ac:dyDescent="0.2">
      <c r="A28" s="1280"/>
      <c r="B28" s="1281"/>
      <c r="C28" s="1282"/>
      <c r="D28" s="2455"/>
      <c r="E28" s="2455"/>
      <c r="F28" s="2455"/>
    </row>
    <row r="29" spans="1:6" ht="20.65" customHeight="1" x14ac:dyDescent="0.2">
      <c r="A29" s="1280"/>
      <c r="B29" s="1281"/>
      <c r="C29" s="1282"/>
      <c r="D29" s="2455"/>
      <c r="E29" s="2455"/>
      <c r="F29" s="2455"/>
    </row>
    <row r="30" spans="1:6" ht="12" customHeight="1" x14ac:dyDescent="0.2">
      <c r="A30" s="325"/>
      <c r="B30" s="325"/>
      <c r="C30" s="1475"/>
      <c r="D30" s="1921"/>
      <c r="E30" s="1283"/>
    </row>
    <row r="31" spans="1:6" ht="12" customHeight="1" x14ac:dyDescent="0.2">
      <c r="A31" s="1284" t="s">
        <v>1630</v>
      </c>
      <c r="B31" s="325"/>
      <c r="C31" s="1475"/>
      <c r="D31" s="1921"/>
      <c r="E31" s="1283"/>
    </row>
    <row r="32" spans="1:6" ht="30" customHeight="1" x14ac:dyDescent="0.2">
      <c r="A32" s="2459" t="s">
        <v>1821</v>
      </c>
      <c r="B32" s="2459"/>
      <c r="C32" s="2459"/>
      <c r="D32" s="2459"/>
      <c r="E32" s="2459"/>
      <c r="F32" s="2459"/>
    </row>
    <row r="33" spans="1:6" ht="13.5" customHeight="1" x14ac:dyDescent="0.2">
      <c r="A33" s="325" t="s">
        <v>1509</v>
      </c>
      <c r="B33" s="325"/>
      <c r="C33" s="1285">
        <v>0</v>
      </c>
      <c r="D33" s="1921"/>
      <c r="E33" s="1283"/>
    </row>
    <row r="34" spans="1:6" ht="13.5" customHeight="1" x14ac:dyDescent="0.2">
      <c r="A34" s="325" t="s">
        <v>1934</v>
      </c>
      <c r="B34" s="325"/>
      <c r="C34" s="1286">
        <v>0</v>
      </c>
      <c r="D34" s="1921" t="s">
        <v>1671</v>
      </c>
      <c r="E34" s="2460">
        <f>+C33+C34</f>
        <v>0</v>
      </c>
      <c r="F34" s="2461"/>
    </row>
    <row r="35" spans="1:6" ht="12" customHeight="1" x14ac:dyDescent="0.2">
      <c r="A35" s="325"/>
      <c r="B35" s="325"/>
      <c r="C35" s="1922"/>
      <c r="D35" s="1921"/>
      <c r="E35" s="1287"/>
      <c r="F35" s="1288"/>
    </row>
    <row r="36" spans="1:6" ht="13.5" customHeight="1" x14ac:dyDescent="0.2">
      <c r="A36" s="1284" t="s">
        <v>1631</v>
      </c>
      <c r="B36" s="325"/>
      <c r="C36" s="1475"/>
      <c r="D36" s="1921"/>
      <c r="E36" s="1283"/>
    </row>
    <row r="37" spans="1:6" ht="14.25" customHeight="1" x14ac:dyDescent="0.2">
      <c r="A37" s="325" t="s">
        <v>1563</v>
      </c>
      <c r="B37" s="325"/>
      <c r="C37" s="1923"/>
      <c r="D37" s="1921"/>
      <c r="E37" s="1283"/>
    </row>
    <row r="38" spans="1:6" ht="14.25" customHeight="1" x14ac:dyDescent="0.2">
      <c r="A38" s="325"/>
      <c r="B38" s="325" t="s">
        <v>1510</v>
      </c>
      <c r="C38" s="1289"/>
      <c r="D38" s="1921"/>
      <c r="E38" s="1283"/>
    </row>
    <row r="39" spans="1:6" ht="14.25" customHeight="1" x14ac:dyDescent="0.2">
      <c r="A39" s="325"/>
      <c r="B39" s="325" t="s">
        <v>1511</v>
      </c>
      <c r="C39" s="1289"/>
      <c r="D39" s="1921"/>
      <c r="E39" s="1283"/>
    </row>
    <row r="40" spans="1:6" ht="14.25" customHeight="1" x14ac:dyDescent="0.2">
      <c r="A40" s="325"/>
      <c r="B40" s="325" t="s">
        <v>1512</v>
      </c>
      <c r="C40" s="1289"/>
      <c r="D40" s="1921"/>
      <c r="E40" s="1283"/>
    </row>
    <row r="41" spans="1:6" ht="14.25" customHeight="1" x14ac:dyDescent="0.2">
      <c r="A41" s="325"/>
      <c r="B41" s="325" t="s">
        <v>1513</v>
      </c>
      <c r="C41" s="1289"/>
      <c r="D41" s="1921"/>
      <c r="E41" s="1283"/>
    </row>
    <row r="42" spans="1:6" ht="14.25" customHeight="1" x14ac:dyDescent="0.2">
      <c r="A42" s="325" t="s">
        <v>1514</v>
      </c>
      <c r="B42" s="325"/>
      <c r="C42" s="1919"/>
      <c r="D42" s="1921"/>
      <c r="E42" s="1283"/>
    </row>
    <row r="43" spans="1:6" ht="14.25" customHeight="1" x14ac:dyDescent="0.2">
      <c r="A43" s="325" t="s">
        <v>1515</v>
      </c>
      <c r="B43" s="325"/>
      <c r="C43" s="1290"/>
      <c r="D43" s="1921"/>
      <c r="E43" s="1283"/>
    </row>
    <row r="44" spans="1:6" ht="14.25" customHeight="1" x14ac:dyDescent="0.2">
      <c r="A44" s="325"/>
      <c r="B44" s="325"/>
      <c r="C44" s="1923" t="s">
        <v>1516</v>
      </c>
      <c r="D44" s="1921"/>
      <c r="E44" s="1283"/>
    </row>
    <row r="45" spans="1:6" ht="13.5" customHeight="1" x14ac:dyDescent="0.2">
      <c r="B45" s="319"/>
      <c r="C45" s="1291"/>
      <c r="D45" s="1291"/>
    </row>
    <row r="46" spans="1:6" x14ac:dyDescent="0.2">
      <c r="A46" s="1292" t="s">
        <v>1822</v>
      </c>
      <c r="C46" s="314"/>
      <c r="D46" s="314"/>
    </row>
    <row r="47" spans="1:6" s="319" customFormat="1" ht="11.25" customHeight="1" x14ac:dyDescent="0.2">
      <c r="A47" s="1293"/>
      <c r="B47" s="1294"/>
      <c r="C47" s="1294"/>
      <c r="D47" s="1294"/>
      <c r="E47" s="1294"/>
      <c r="F47" s="1294"/>
    </row>
    <row r="48" spans="1:6" s="319" customFormat="1" ht="6" customHeight="1" x14ac:dyDescent="0.2">
      <c r="A48" s="1295"/>
    </row>
    <row r="49" spans="1:5" s="1297" customFormat="1" ht="23.25" customHeight="1" x14ac:dyDescent="0.2">
      <c r="A49" s="1296">
        <v>5</v>
      </c>
      <c r="B49" s="2462" t="s">
        <v>1672</v>
      </c>
      <c r="C49" s="2462"/>
      <c r="D49" s="2462"/>
      <c r="E49" s="1396"/>
    </row>
    <row r="50" spans="1:5" s="1297" customFormat="1" ht="3.75" customHeight="1" x14ac:dyDescent="0.2">
      <c r="A50" s="1296"/>
      <c r="B50" s="1867"/>
      <c r="C50" s="1867"/>
      <c r="D50" s="1867"/>
      <c r="E50" s="1396"/>
    </row>
    <row r="51" spans="1:5" s="1297" customFormat="1" ht="20.25" customHeight="1" x14ac:dyDescent="0.2">
      <c r="A51" s="1298">
        <v>6</v>
      </c>
      <c r="B51" s="2458" t="s">
        <v>1632</v>
      </c>
      <c r="C51" s="2458"/>
      <c r="D51" s="2458"/>
    </row>
    <row r="52" spans="1:5" ht="14.25" customHeight="1" x14ac:dyDescent="0.2">
      <c r="A52" s="1298"/>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4" customWidth="1"/>
    <col min="2" max="2" width="32.85546875" style="314" customWidth="1"/>
    <col min="3" max="3" width="8.7109375" style="1354" customWidth="1"/>
    <col min="4" max="4" width="12.7109375" style="1355" customWidth="1"/>
    <col min="5" max="6" width="11.7109375" style="314"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4" customWidth="1"/>
    <col min="14" max="14" width="2.7109375" style="314" customWidth="1"/>
    <col min="15" max="16384" width="33.5703125" style="314"/>
  </cols>
  <sheetData>
    <row r="1" spans="2:14" ht="11.85" customHeight="1" x14ac:dyDescent="0.2">
      <c r="B1" s="2407" t="str">
        <f>'Single Audit Cover'!A7</f>
        <v>Livingston Area Career Center</v>
      </c>
      <c r="C1" s="2463"/>
      <c r="D1" s="2463"/>
      <c r="E1" s="2463"/>
      <c r="F1" s="2463"/>
      <c r="G1" s="2463"/>
      <c r="H1" s="2463"/>
      <c r="I1" s="2463"/>
      <c r="J1" s="2463"/>
      <c r="K1" s="2463"/>
      <c r="L1" s="2463"/>
      <c r="M1" s="2463"/>
    </row>
    <row r="2" spans="2:14" ht="15" x14ac:dyDescent="0.2">
      <c r="B2" s="2452">
        <f>'Single Audit Cover'!E7</f>
        <v>17053090041</v>
      </c>
      <c r="C2" s="2452"/>
      <c r="D2" s="2452"/>
      <c r="E2" s="2452"/>
      <c r="F2" s="2452"/>
      <c r="G2" s="2452"/>
      <c r="H2" s="2452"/>
      <c r="I2" s="2452"/>
      <c r="J2" s="2452"/>
      <c r="K2" s="2452"/>
      <c r="L2" s="2452"/>
      <c r="M2" s="2452"/>
      <c r="N2" s="1299"/>
    </row>
    <row r="3" spans="2:14" ht="15" x14ac:dyDescent="0.2">
      <c r="B3" s="2464" t="s">
        <v>1281</v>
      </c>
      <c r="C3" s="2464"/>
      <c r="D3" s="2464"/>
      <c r="E3" s="2464"/>
      <c r="F3" s="2464"/>
      <c r="G3" s="2464"/>
      <c r="H3" s="2464"/>
      <c r="I3" s="2464"/>
      <c r="J3" s="2464"/>
      <c r="K3" s="2464"/>
      <c r="L3" s="2464"/>
      <c r="M3" s="2464"/>
      <c r="N3" s="1299"/>
    </row>
    <row r="4" spans="2:14" ht="15" x14ac:dyDescent="0.2">
      <c r="B4" s="2465" t="str">
        <f>'Single Audit Cover'!A4</f>
        <v>Year Ending June 30, 2018</v>
      </c>
      <c r="C4" s="2465"/>
      <c r="D4" s="2465"/>
      <c r="E4" s="2465"/>
      <c r="F4" s="2465"/>
      <c r="G4" s="2465"/>
      <c r="H4" s="2465"/>
      <c r="I4" s="2465"/>
      <c r="J4" s="2465"/>
      <c r="K4" s="2465"/>
      <c r="L4" s="2465"/>
      <c r="M4" s="2465"/>
      <c r="N4" s="1299"/>
    </row>
    <row r="6" spans="2:14" x14ac:dyDescent="0.2">
      <c r="B6" s="1300"/>
      <c r="C6" s="1301"/>
      <c r="D6" s="1302" t="s">
        <v>1327</v>
      </c>
      <c r="E6" s="1303" t="s">
        <v>548</v>
      </c>
      <c r="F6" s="1304"/>
      <c r="G6" s="1305" t="s">
        <v>1823</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1935</v>
      </c>
      <c r="K8" s="1316" t="s">
        <v>1323</v>
      </c>
      <c r="L8" s="1317" t="s">
        <v>1319</v>
      </c>
      <c r="M8" s="1318" t="s">
        <v>30</v>
      </c>
    </row>
    <row r="9" spans="2:14" ht="14.25" x14ac:dyDescent="0.2">
      <c r="B9" s="1322" t="s">
        <v>1321</v>
      </c>
      <c r="C9" s="1310" t="s">
        <v>1824</v>
      </c>
      <c r="D9" s="1311" t="s">
        <v>1825</v>
      </c>
      <c r="E9" s="1319" t="s">
        <v>1663</v>
      </c>
      <c r="F9" s="1320" t="s">
        <v>1935</v>
      </c>
      <c r="G9" s="1321" t="s">
        <v>1663</v>
      </c>
      <c r="H9" s="1314" t="s">
        <v>1664</v>
      </c>
      <c r="I9" s="1316" t="s">
        <v>1935</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1826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1936</v>
      </c>
      <c r="C32" s="1349"/>
      <c r="D32" s="1350"/>
      <c r="E32" s="1351"/>
      <c r="F32" s="1351"/>
      <c r="G32" s="1351"/>
      <c r="H32" s="1351"/>
      <c r="I32" s="314"/>
      <c r="J32" s="314"/>
    </row>
    <row r="33" spans="2:13" x14ac:dyDescent="0.2">
      <c r="B33" s="1274"/>
      <c r="C33" s="1352"/>
      <c r="D33" s="1353"/>
      <c r="E33" s="1275"/>
      <c r="F33" s="1275"/>
      <c r="G33" s="314"/>
      <c r="H33" s="314"/>
      <c r="I33" s="314"/>
      <c r="J33" s="314"/>
    </row>
    <row r="34" spans="2:13" ht="13.5" customHeight="1" x14ac:dyDescent="0.2">
      <c r="B34" s="1273" t="s">
        <v>1308</v>
      </c>
      <c r="G34" s="314"/>
      <c r="H34" s="314"/>
      <c r="I34" s="314"/>
      <c r="J34" s="314"/>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4"/>
      <c r="H36" s="314"/>
      <c r="I36" s="314"/>
      <c r="J36" s="314"/>
    </row>
    <row r="37" spans="2:13" ht="11.25" customHeight="1" x14ac:dyDescent="0.2">
      <c r="B37" s="1361" t="s">
        <v>1827</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1828</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1829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1830</v>
      </c>
      <c r="C45" s="1365"/>
      <c r="D45" s="1366"/>
      <c r="E45" s="1297"/>
      <c r="F45" s="1297"/>
      <c r="G45" s="1297"/>
      <c r="H45" s="1297"/>
      <c r="I45" s="1297"/>
      <c r="J45" s="1297"/>
      <c r="K45" s="1367"/>
      <c r="L45" s="1367"/>
      <c r="M45" s="1297"/>
    </row>
    <row r="46" spans="2:13" ht="11.25" customHeight="1" x14ac:dyDescent="0.2">
      <c r="B46" s="1297" t="s">
        <v>1668</v>
      </c>
      <c r="G46" s="314"/>
      <c r="H46" s="314"/>
      <c r="I46" s="314"/>
      <c r="J46" s="314"/>
    </row>
    <row r="47" spans="2:13" ht="11.1" customHeight="1" x14ac:dyDescent="0.2">
      <c r="B47" s="1297"/>
      <c r="G47" s="314"/>
      <c r="H47" s="314"/>
      <c r="I47" s="314"/>
      <c r="J47" s="314"/>
    </row>
    <row r="48" spans="2:13" ht="11.1" customHeight="1" x14ac:dyDescent="0.2">
      <c r="B48" s="1297"/>
      <c r="G48" s="314"/>
      <c r="H48" s="314"/>
      <c r="I48" s="314"/>
      <c r="J48" s="314"/>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4"/>
      <c r="H52" s="314"/>
      <c r="I52" s="314"/>
      <c r="J52" s="314"/>
    </row>
    <row r="53" spans="7:13" ht="13.5" customHeight="1" x14ac:dyDescent="0.2">
      <c r="G53" s="314"/>
      <c r="H53" s="314"/>
      <c r="I53" s="314"/>
      <c r="J53" s="314"/>
    </row>
    <row r="54" spans="7:13" ht="13.5" customHeight="1" x14ac:dyDescent="0.2">
      <c r="G54" s="314"/>
      <c r="H54" s="314"/>
      <c r="I54" s="314"/>
      <c r="J54" s="314"/>
    </row>
    <row r="55" spans="7:13" ht="13.5" customHeight="1" x14ac:dyDescent="0.2">
      <c r="G55" s="314"/>
      <c r="H55" s="314"/>
      <c r="I55" s="314"/>
      <c r="J55" s="314"/>
    </row>
    <row r="56" spans="7:13" ht="13.5" customHeight="1" x14ac:dyDescent="0.2">
      <c r="G56" s="314"/>
      <c r="H56" s="314"/>
      <c r="I56" s="314"/>
      <c r="J56" s="314"/>
    </row>
    <row r="57" spans="7:13" ht="13.5" customHeight="1" x14ac:dyDescent="0.2">
      <c r="G57" s="314"/>
      <c r="H57" s="314"/>
      <c r="I57" s="314"/>
      <c r="J57" s="314"/>
    </row>
    <row r="58" spans="7:13" ht="13.5" customHeight="1" x14ac:dyDescent="0.2">
      <c r="G58" s="314"/>
      <c r="H58" s="314"/>
      <c r="I58" s="314"/>
      <c r="J58" s="31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43"/>
  <sheetViews>
    <sheetView showGridLines="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1" t="s">
        <v>2075</v>
      </c>
      <c r="B4" s="341"/>
      <c r="C4" s="341"/>
      <c r="D4" s="341"/>
      <c r="E4" s="341"/>
      <c r="F4" s="341"/>
      <c r="G4" s="341"/>
      <c r="H4" s="341"/>
      <c r="I4" s="341"/>
      <c r="J4" s="341"/>
      <c r="K4" s="341"/>
    </row>
    <row r="5" spans="1:11" x14ac:dyDescent="0.2">
      <c r="A5" s="236" t="s">
        <v>1722</v>
      </c>
      <c r="B5" s="341"/>
      <c r="C5" s="341"/>
      <c r="D5" s="341"/>
      <c r="E5" s="341"/>
      <c r="F5" s="341"/>
      <c r="G5" s="341"/>
      <c r="H5" s="341"/>
      <c r="I5" s="341"/>
      <c r="J5" s="341"/>
      <c r="K5" s="341"/>
    </row>
    <row r="6" spans="1:11" ht="16.5" customHeight="1" x14ac:dyDescent="0.2">
      <c r="A6" s="211"/>
      <c r="B6" s="212"/>
      <c r="C6" s="213"/>
      <c r="D6" s="212"/>
    </row>
    <row r="7" spans="1:11" ht="15" customHeight="1" x14ac:dyDescent="0.2">
      <c r="A7" s="1947"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2076</v>
      </c>
    </row>
    <row r="11" spans="1:11" s="181" customFormat="1" x14ac:dyDescent="0.2">
      <c r="A11" s="218"/>
      <c r="B11" s="225"/>
      <c r="C11" s="226">
        <v>2</v>
      </c>
      <c r="D11" s="227" t="s">
        <v>2077</v>
      </c>
    </row>
    <row r="12" spans="1:11" s="181" customFormat="1" hidden="1" x14ac:dyDescent="0.2">
      <c r="A12" s="218"/>
      <c r="B12" s="228"/>
      <c r="C12" s="226"/>
      <c r="D12" s="229"/>
    </row>
    <row r="13" spans="1:11" s="181" customFormat="1" x14ac:dyDescent="0.2">
      <c r="A13" s="218"/>
      <c r="B13" s="225"/>
      <c r="C13" s="226">
        <v>3</v>
      </c>
      <c r="D13" s="227" t="s">
        <v>2078</v>
      </c>
    </row>
    <row r="14" spans="1:11" s="181" customFormat="1" x14ac:dyDescent="0.2">
      <c r="A14" s="218"/>
      <c r="B14" s="225"/>
      <c r="C14" s="226">
        <v>4</v>
      </c>
      <c r="D14" s="227" t="s">
        <v>2079</v>
      </c>
    </row>
    <row r="15" spans="1:11" s="181" customFormat="1" x14ac:dyDescent="0.2">
      <c r="A15" s="218"/>
      <c r="B15" s="225"/>
      <c r="C15" s="226">
        <v>5</v>
      </c>
      <c r="D15" s="1950" t="s">
        <v>1026</v>
      </c>
    </row>
    <row r="16" spans="1:11" s="181" customFormat="1" x14ac:dyDescent="0.2">
      <c r="A16" s="218"/>
      <c r="B16" s="225"/>
      <c r="C16" s="226">
        <v>6</v>
      </c>
      <c r="D16" s="1950" t="s">
        <v>1534</v>
      </c>
    </row>
    <row r="17" spans="1:4" s="181" customFormat="1" x14ac:dyDescent="0.2">
      <c r="A17" s="218"/>
      <c r="B17" s="228"/>
      <c r="C17" s="226"/>
      <c r="D17" s="231"/>
    </row>
    <row r="18" spans="1:4" s="181" customFormat="1" x14ac:dyDescent="0.2">
      <c r="A18" s="218"/>
      <c r="B18" s="225"/>
      <c r="C18" s="226">
        <v>7</v>
      </c>
      <c r="D18" s="1950" t="s">
        <v>1533</v>
      </c>
    </row>
    <row r="19" spans="1:4" s="181" customFormat="1" x14ac:dyDescent="0.2">
      <c r="A19" s="218"/>
      <c r="B19" s="228"/>
      <c r="C19" s="226"/>
      <c r="D19" s="231"/>
    </row>
    <row r="20" spans="1:4" s="181" customFormat="1" x14ac:dyDescent="0.2">
      <c r="A20" s="218"/>
      <c r="B20" s="225"/>
      <c r="C20" s="226">
        <v>8</v>
      </c>
      <c r="D20" s="1950" t="s">
        <v>2080</v>
      </c>
    </row>
    <row r="21" spans="1:4" s="181" customFormat="1" x14ac:dyDescent="0.2">
      <c r="A21" s="218"/>
      <c r="B21" s="228"/>
      <c r="C21" s="226"/>
      <c r="D21" s="232" t="s">
        <v>1636</v>
      </c>
    </row>
    <row r="22" spans="1:4" s="181" customFormat="1" x14ac:dyDescent="0.2">
      <c r="A22" s="218"/>
      <c r="B22" s="225"/>
      <c r="C22" s="226">
        <v>9</v>
      </c>
      <c r="D22" s="1950" t="s">
        <v>2081</v>
      </c>
    </row>
    <row r="23" spans="1:4" s="181" customFormat="1" x14ac:dyDescent="0.2">
      <c r="A23" s="218"/>
      <c r="B23" s="233"/>
      <c r="C23" s="226"/>
      <c r="D23" s="234" t="s">
        <v>1637</v>
      </c>
    </row>
    <row r="24" spans="1:4" s="181" customFormat="1" x14ac:dyDescent="0.2">
      <c r="A24" s="218"/>
      <c r="B24" s="225"/>
      <c r="C24" s="226">
        <v>10</v>
      </c>
      <c r="D24" s="1950" t="s">
        <v>2082</v>
      </c>
    </row>
    <row r="25" spans="1:4" s="181" customFormat="1" x14ac:dyDescent="0.2">
      <c r="A25" s="218"/>
      <c r="B25" s="225"/>
      <c r="C25" s="226">
        <v>11</v>
      </c>
      <c r="D25" s="1950" t="s">
        <v>2083</v>
      </c>
    </row>
    <row r="26" spans="1:4" s="181" customFormat="1" x14ac:dyDescent="0.2">
      <c r="A26" s="218"/>
      <c r="B26" s="233"/>
      <c r="C26" s="226"/>
      <c r="D26" s="234" t="s">
        <v>1638</v>
      </c>
    </row>
    <row r="27" spans="1:4" s="181" customFormat="1" x14ac:dyDescent="0.2">
      <c r="A27" s="218"/>
      <c r="B27" s="225"/>
      <c r="C27" s="226">
        <v>12</v>
      </c>
      <c r="D27" s="1950" t="s">
        <v>1640</v>
      </c>
    </row>
    <row r="28" spans="1:4" s="181" customFormat="1" x14ac:dyDescent="0.2">
      <c r="A28" s="218"/>
      <c r="B28" s="228"/>
      <c r="C28" s="226"/>
      <c r="D28" s="224"/>
    </row>
    <row r="29" spans="1:4" s="181" customFormat="1" x14ac:dyDescent="0.2">
      <c r="A29" s="218"/>
      <c r="B29" s="225"/>
      <c r="C29" s="226">
        <v>13</v>
      </c>
      <c r="D29" s="1950" t="s">
        <v>546</v>
      </c>
    </row>
    <row r="30" spans="1:4" s="181" customFormat="1" x14ac:dyDescent="0.2">
      <c r="A30" s="218"/>
      <c r="B30" s="228"/>
      <c r="C30" s="226"/>
      <c r="D30" s="224" t="s">
        <v>2084</v>
      </c>
    </row>
    <row r="31" spans="1:4" s="181" customFormat="1" x14ac:dyDescent="0.2">
      <c r="A31" s="218"/>
      <c r="B31" s="225"/>
      <c r="C31" s="226">
        <v>14</v>
      </c>
      <c r="D31" s="1950" t="s">
        <v>1688</v>
      </c>
    </row>
    <row r="32" spans="1:4" s="181" customFormat="1" x14ac:dyDescent="0.2">
      <c r="A32" s="218"/>
      <c r="B32" s="235"/>
      <c r="C32" s="226"/>
      <c r="D32" s="236" t="s">
        <v>2085</v>
      </c>
    </row>
    <row r="33" spans="1:9" s="181" customFormat="1" x14ac:dyDescent="0.2">
      <c r="A33" s="218"/>
      <c r="B33" s="235"/>
      <c r="C33" s="226"/>
      <c r="D33" s="237" t="s">
        <v>1231</v>
      </c>
    </row>
    <row r="34" spans="1:9" s="181" customFormat="1" x14ac:dyDescent="0.2">
      <c r="A34" s="218"/>
      <c r="B34" s="228"/>
      <c r="C34" s="226"/>
      <c r="D34" s="238"/>
    </row>
    <row r="35" spans="1:9" s="181" customFormat="1" x14ac:dyDescent="0.2">
      <c r="A35" s="2083" t="s">
        <v>2086</v>
      </c>
      <c r="B35" s="2084"/>
      <c r="C35" s="2084"/>
      <c r="D35" s="2084"/>
      <c r="E35" s="2085"/>
      <c r="F35" s="2085"/>
      <c r="G35" s="2085"/>
      <c r="H35" s="2085"/>
      <c r="I35" s="2085"/>
    </row>
    <row r="36" spans="1:9" s="181" customFormat="1" x14ac:dyDescent="0.2">
      <c r="A36" s="218"/>
      <c r="B36" s="228"/>
      <c r="C36" s="226"/>
      <c r="D36" s="238"/>
    </row>
    <row r="37" spans="1:9" s="181" customFormat="1" x14ac:dyDescent="0.2">
      <c r="A37" s="218"/>
      <c r="B37" s="225"/>
      <c r="C37" s="226">
        <v>15</v>
      </c>
      <c r="D37" s="1950" t="s">
        <v>380</v>
      </c>
    </row>
    <row r="38" spans="1:9" s="181" customFormat="1" x14ac:dyDescent="0.2">
      <c r="A38" s="218"/>
      <c r="B38" s="228"/>
      <c r="C38" s="226"/>
      <c r="D38" s="239" t="s">
        <v>2087</v>
      </c>
    </row>
    <row r="39" spans="1:9" s="181" customFormat="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2088</v>
      </c>
    </row>
    <row r="43" spans="1:9" s="181" customFormat="1" x14ac:dyDescent="0.2">
      <c r="A43" s="218"/>
      <c r="B43" s="228"/>
      <c r="C43" s="226"/>
      <c r="D43" s="239" t="s">
        <v>2089</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x14ac:dyDescent="0.2">
      <c r="A46" s="218"/>
      <c r="B46" s="228"/>
      <c r="C46" s="226"/>
      <c r="D46" s="238"/>
    </row>
    <row r="47" spans="1:9" s="181" customFormat="1" x14ac:dyDescent="0.2">
      <c r="A47" s="2083" t="s">
        <v>331</v>
      </c>
      <c r="B47" s="2086"/>
      <c r="C47" s="2086"/>
      <c r="D47" s="2086"/>
      <c r="E47" s="2087"/>
      <c r="F47" s="2087"/>
      <c r="G47" s="2087"/>
      <c r="H47" s="2087"/>
      <c r="I47" s="2087"/>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1723</v>
      </c>
    </row>
    <row r="51" spans="1:10" x14ac:dyDescent="0.2">
      <c r="B51" s="243"/>
      <c r="C51" s="244">
        <v>21</v>
      </c>
      <c r="D51" s="217" t="s">
        <v>1109</v>
      </c>
    </row>
    <row r="52" spans="1:10" x14ac:dyDescent="0.2">
      <c r="B52" s="245"/>
      <c r="C52" s="244"/>
      <c r="D52" s="239" t="s">
        <v>895</v>
      </c>
    </row>
    <row r="53" spans="1:10" s="181" customForma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47"/>
      <c r="B55" s="1948"/>
      <c r="C55" s="1948"/>
      <c r="D55" s="1950" t="s">
        <v>1881</v>
      </c>
      <c r="E55" s="1949"/>
      <c r="F55" s="1949"/>
      <c r="G55" s="1949"/>
      <c r="H55" s="1949"/>
      <c r="I55" s="1949"/>
    </row>
    <row r="56" spans="1:10" s="181" customFormat="1" x14ac:dyDescent="0.2">
      <c r="A56" s="1947"/>
      <c r="B56" s="1948"/>
      <c r="E56" s="1949"/>
      <c r="F56" s="1949"/>
      <c r="G56" s="1949"/>
      <c r="H56" s="1949"/>
      <c r="I56" s="1949"/>
    </row>
    <row r="57" spans="1:10" s="181" customFormat="1" x14ac:dyDescent="0.2">
      <c r="A57" s="251"/>
      <c r="B57" s="2088"/>
      <c r="C57" s="2089"/>
      <c r="D57" s="2089"/>
      <c r="E57" s="2089"/>
      <c r="F57" s="2089"/>
      <c r="G57" s="2089"/>
      <c r="H57" s="2089"/>
      <c r="I57" s="2089"/>
      <c r="J57" s="2090"/>
    </row>
    <row r="58" spans="1:10" s="181" customFormat="1" x14ac:dyDescent="0.2">
      <c r="A58" s="251"/>
      <c r="B58" s="2091"/>
      <c r="C58" s="2092"/>
      <c r="D58" s="2092"/>
      <c r="E58" s="2092"/>
      <c r="F58" s="2092"/>
      <c r="G58" s="2092"/>
      <c r="H58" s="2092"/>
      <c r="I58" s="2092"/>
      <c r="J58" s="2093"/>
    </row>
    <row r="59" spans="1:10" s="181" customFormat="1" x14ac:dyDescent="0.2">
      <c r="A59" s="251"/>
      <c r="B59" s="2091"/>
      <c r="C59" s="2092"/>
      <c r="D59" s="2092"/>
      <c r="E59" s="2092"/>
      <c r="F59" s="2092"/>
      <c r="G59" s="2092"/>
      <c r="H59" s="2092"/>
      <c r="I59" s="2092"/>
      <c r="J59" s="2093"/>
    </row>
    <row r="60" spans="1:10" s="181" customFormat="1" x14ac:dyDescent="0.2">
      <c r="A60" s="251"/>
      <c r="B60" s="2091"/>
      <c r="C60" s="2092"/>
      <c r="D60" s="2092"/>
      <c r="E60" s="2092"/>
      <c r="F60" s="2092"/>
      <c r="G60" s="2092"/>
      <c r="H60" s="2092"/>
      <c r="I60" s="2092"/>
      <c r="J60" s="2093"/>
    </row>
    <row r="61" spans="1:10" s="181" customFormat="1" x14ac:dyDescent="0.2">
      <c r="A61" s="251"/>
      <c r="B61" s="2091"/>
      <c r="C61" s="2092"/>
      <c r="D61" s="2092"/>
      <c r="E61" s="2092"/>
      <c r="F61" s="2092"/>
      <c r="G61" s="2092"/>
      <c r="H61" s="2092"/>
      <c r="I61" s="2092"/>
      <c r="J61" s="2093"/>
    </row>
    <row r="62" spans="1:10" s="181" customFormat="1" x14ac:dyDescent="0.2">
      <c r="A62" s="251"/>
      <c r="B62" s="2091"/>
      <c r="C62" s="2092"/>
      <c r="D62" s="2092"/>
      <c r="E62" s="2092"/>
      <c r="F62" s="2092"/>
      <c r="G62" s="2092"/>
      <c r="H62" s="2092"/>
      <c r="I62" s="2092"/>
      <c r="J62" s="2093"/>
    </row>
    <row r="63" spans="1:10" s="181" customFormat="1" x14ac:dyDescent="0.2">
      <c r="A63" s="251"/>
      <c r="B63" s="2091"/>
      <c r="C63" s="2092"/>
      <c r="D63" s="2092"/>
      <c r="E63" s="2092"/>
      <c r="F63" s="2092"/>
      <c r="G63" s="2092"/>
      <c r="H63" s="2092"/>
      <c r="I63" s="2092"/>
      <c r="J63" s="2093"/>
    </row>
    <row r="64" spans="1:10" s="181" customFormat="1" x14ac:dyDescent="0.2">
      <c r="A64" s="251"/>
      <c r="B64" s="2091"/>
      <c r="C64" s="2092"/>
      <c r="D64" s="2092"/>
      <c r="E64" s="2092"/>
      <c r="F64" s="2092"/>
      <c r="G64" s="2092"/>
      <c r="H64" s="2092"/>
      <c r="I64" s="2092"/>
      <c r="J64" s="2093"/>
    </row>
    <row r="65" spans="1:10" s="181" customFormat="1" x14ac:dyDescent="0.2">
      <c r="A65" s="251"/>
      <c r="B65" s="2091"/>
      <c r="C65" s="2092"/>
      <c r="D65" s="2092"/>
      <c r="E65" s="2092"/>
      <c r="F65" s="2092"/>
      <c r="G65" s="2092"/>
      <c r="H65" s="2092"/>
      <c r="I65" s="2092"/>
      <c r="J65" s="2093"/>
    </row>
    <row r="66" spans="1:10" s="181" customFormat="1" x14ac:dyDescent="0.2">
      <c r="A66" s="251"/>
      <c r="B66" s="2091"/>
      <c r="C66" s="2092"/>
      <c r="D66" s="2092"/>
      <c r="E66" s="2092"/>
      <c r="F66" s="2092"/>
      <c r="G66" s="2092"/>
      <c r="H66" s="2092"/>
      <c r="I66" s="2092"/>
      <c r="J66" s="2093"/>
    </row>
    <row r="67" spans="1:10" s="181" customFormat="1" x14ac:dyDescent="0.2">
      <c r="A67" s="252"/>
      <c r="B67" s="2094"/>
      <c r="C67" s="2095"/>
      <c r="D67" s="2095"/>
      <c r="E67" s="2095"/>
      <c r="F67" s="2095"/>
      <c r="G67" s="2095"/>
      <c r="H67" s="2095"/>
      <c r="I67" s="2095"/>
      <c r="J67" s="2096"/>
    </row>
    <row r="68" spans="1:10" s="181" customForma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83" t="s">
        <v>1390</v>
      </c>
      <c r="B70" s="2086"/>
      <c r="C70" s="2086"/>
      <c r="D70" s="2086"/>
      <c r="E70" s="2087"/>
      <c r="F70" s="2087"/>
      <c r="G70" s="2087"/>
      <c r="H70" s="2087"/>
      <c r="I70" s="2087"/>
    </row>
    <row r="71" spans="1:10" s="181" customFormat="1" x14ac:dyDescent="0.2">
      <c r="A71" s="218"/>
      <c r="C71" s="255"/>
      <c r="D71" s="256" t="s">
        <v>1389</v>
      </c>
      <c r="E71" s="254"/>
      <c r="F71" s="254"/>
      <c r="G71" s="254"/>
      <c r="H71" s="254"/>
    </row>
    <row r="72" spans="1:10" s="181" customFormat="1" x14ac:dyDescent="0.2">
      <c r="B72" s="253"/>
      <c r="C72" s="254"/>
      <c r="D72" s="254"/>
      <c r="E72" s="254"/>
      <c r="F72" s="254"/>
      <c r="G72" s="254"/>
      <c r="H72" s="254"/>
    </row>
    <row r="73" spans="1:10" s="181" customFormat="1" x14ac:dyDescent="0.2">
      <c r="A73" s="257" t="s">
        <v>2055</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x14ac:dyDescent="0.2">
      <c r="A76" s="238" t="s">
        <v>1498</v>
      </c>
      <c r="B76" s="253"/>
      <c r="C76" s="254"/>
      <c r="D76" s="254"/>
      <c r="E76" s="254"/>
      <c r="F76" s="254"/>
      <c r="G76" s="254"/>
      <c r="H76" s="254"/>
    </row>
    <row r="77" spans="1:10" s="181" customFormat="1" x14ac:dyDescent="0.2">
      <c r="C77" s="179">
        <v>24</v>
      </c>
      <c r="D77" s="246" t="s">
        <v>1731</v>
      </c>
      <c r="G77" s="295" t="s">
        <v>2006</v>
      </c>
      <c r="I77" s="1858"/>
      <c r="J77" s="259"/>
    </row>
    <row r="78" spans="1:10" s="181" customFormat="1" x14ac:dyDescent="0.2">
      <c r="A78" s="218"/>
      <c r="B78" s="260"/>
      <c r="C78" s="179"/>
      <c r="D78" s="246"/>
      <c r="E78" s="247"/>
      <c r="F78" s="248"/>
    </row>
    <row r="79" spans="1:10" s="181" customFormat="1" x14ac:dyDescent="0.2">
      <c r="A79" s="218"/>
      <c r="B79" s="260"/>
      <c r="C79" s="179">
        <v>25</v>
      </c>
      <c r="D79" s="246" t="s">
        <v>1729</v>
      </c>
      <c r="E79" s="247"/>
      <c r="F79" s="248"/>
    </row>
    <row r="80" spans="1:10" s="181" customFormat="1" x14ac:dyDescent="0.2">
      <c r="A80" s="218"/>
      <c r="B80" s="260"/>
      <c r="C80" s="179"/>
      <c r="D80" s="246" t="s">
        <v>1730</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097" t="s">
        <v>1387</v>
      </c>
      <c r="B83" s="2097"/>
      <c r="C83" s="2097"/>
      <c r="D83" s="2098"/>
      <c r="E83" s="261" t="s">
        <v>1424</v>
      </c>
      <c r="F83" s="261" t="s">
        <v>1425</v>
      </c>
      <c r="G83" s="261" t="s">
        <v>1426</v>
      </c>
      <c r="H83" s="261" t="s">
        <v>1427</v>
      </c>
      <c r="I83" s="261" t="s">
        <v>1428</v>
      </c>
      <c r="J83" s="262" t="s">
        <v>158</v>
      </c>
    </row>
    <row r="84" spans="1:10" s="181" customFormat="1" ht="13.5" thickTop="1" x14ac:dyDescent="0.2">
      <c r="A84" s="263" t="s">
        <v>1519</v>
      </c>
      <c r="B84" s="264"/>
      <c r="C84" s="265"/>
      <c r="D84" s="266"/>
      <c r="E84" s="267"/>
      <c r="F84" s="267"/>
      <c r="G84" s="267"/>
      <c r="H84" s="267"/>
      <c r="I84" s="267"/>
      <c r="J84" s="268"/>
    </row>
    <row r="85" spans="1:10" s="181" customFormat="1" x14ac:dyDescent="0.2">
      <c r="A85" s="269" t="s">
        <v>2053</v>
      </c>
      <c r="B85" s="270"/>
      <c r="C85" s="271"/>
      <c r="D85" s="272"/>
      <c r="E85" s="273"/>
      <c r="F85" s="274">
        <v>1</v>
      </c>
      <c r="G85" s="274"/>
      <c r="H85" s="274"/>
      <c r="I85" s="274"/>
      <c r="J85" s="275">
        <v>1</v>
      </c>
    </row>
    <row r="86" spans="1:10" s="181" customFormat="1" x14ac:dyDescent="0.2">
      <c r="A86" s="276"/>
      <c r="B86" s="277"/>
      <c r="C86" s="278"/>
      <c r="D86" s="279"/>
      <c r="E86" s="267"/>
      <c r="F86" s="267"/>
      <c r="G86" s="267"/>
      <c r="H86" s="267"/>
      <c r="I86" s="267"/>
      <c r="J86" s="268"/>
    </row>
    <row r="87" spans="1:10" s="181" customFormat="1" x14ac:dyDescent="0.2">
      <c r="A87" s="280" t="s">
        <v>1388</v>
      </c>
      <c r="B87" s="281"/>
      <c r="C87" s="282"/>
      <c r="D87" s="279"/>
      <c r="E87" s="267"/>
      <c r="F87" s="267"/>
      <c r="G87" s="267"/>
      <c r="H87" s="267"/>
      <c r="I87" s="267"/>
      <c r="J87" s="268"/>
    </row>
    <row r="88" spans="1:10" s="181" customFormat="1" x14ac:dyDescent="0.2">
      <c r="A88" s="283" t="s">
        <v>2053</v>
      </c>
      <c r="B88" s="284"/>
      <c r="C88" s="285"/>
      <c r="D88" s="286"/>
      <c r="E88" s="274"/>
      <c r="F88" s="274"/>
      <c r="G88" s="274"/>
      <c r="H88" s="274"/>
      <c r="I88" s="274"/>
      <c r="J88" s="275">
        <v>0</v>
      </c>
    </row>
    <row r="89" spans="1:10" s="181" customFormat="1" x14ac:dyDescent="0.2">
      <c r="A89" s="287"/>
      <c r="B89" s="288"/>
      <c r="C89" s="289"/>
      <c r="D89" s="286"/>
      <c r="E89" s="274"/>
      <c r="F89" s="274"/>
      <c r="G89" s="274"/>
      <c r="H89" s="274"/>
      <c r="I89" s="274"/>
      <c r="J89" s="290"/>
    </row>
    <row r="90" spans="1:10" s="181" customFormat="1" x14ac:dyDescent="0.2">
      <c r="A90" s="280" t="s">
        <v>158</v>
      </c>
      <c r="B90" s="281"/>
      <c r="C90" s="282"/>
      <c r="D90" s="291"/>
      <c r="E90" s="292"/>
      <c r="F90" s="292"/>
      <c r="G90" s="292"/>
      <c r="H90" s="292"/>
      <c r="I90" s="292"/>
      <c r="J90" s="293">
        <v>1</v>
      </c>
    </row>
    <row r="91" spans="1:10" s="181" customFormat="1" x14ac:dyDescent="0.2">
      <c r="A91" s="218"/>
      <c r="B91" s="260"/>
      <c r="C91" s="179"/>
      <c r="E91" s="258"/>
      <c r="F91" s="294"/>
      <c r="H91" s="295"/>
    </row>
    <row r="92" spans="1:10" s="181" customFormat="1" x14ac:dyDescent="0.2">
      <c r="A92" s="218"/>
      <c r="B92" s="246" t="s">
        <v>1724</v>
      </c>
      <c r="C92" s="179"/>
      <c r="E92" s="258"/>
      <c r="F92" s="294"/>
      <c r="H92" s="295"/>
    </row>
    <row r="93" spans="1:10" s="181" customFormat="1" x14ac:dyDescent="0.2">
      <c r="A93" s="218"/>
      <c r="B93" s="296" t="s">
        <v>2054</v>
      </c>
      <c r="C93" s="179"/>
      <c r="E93" s="258"/>
      <c r="F93" s="294"/>
      <c r="H93" s="295"/>
    </row>
    <row r="94" spans="1:10" s="181" customFormat="1" x14ac:dyDescent="0.2">
      <c r="A94" s="297" t="s">
        <v>1398</v>
      </c>
      <c r="B94" s="298"/>
      <c r="C94" s="298"/>
      <c r="D94" s="299"/>
      <c r="E94" s="300"/>
      <c r="F94" s="301"/>
      <c r="G94" s="302"/>
      <c r="H94" s="303"/>
      <c r="I94" s="302"/>
    </row>
    <row r="95" spans="1:10" s="181" customFormat="1" x14ac:dyDescent="0.2">
      <c r="A95" s="304"/>
      <c r="B95" s="305" t="s">
        <v>1725</v>
      </c>
      <c r="C95" s="306"/>
      <c r="D95" s="307"/>
      <c r="E95" s="302"/>
      <c r="F95" s="302"/>
      <c r="G95" s="302"/>
      <c r="H95" s="302"/>
      <c r="I95" s="302"/>
    </row>
    <row r="96" spans="1:10" s="181" customFormat="1" x14ac:dyDescent="0.2">
      <c r="A96" s="304" t="s">
        <v>1231</v>
      </c>
      <c r="B96" s="342" t="s">
        <v>1727</v>
      </c>
      <c r="C96" s="306"/>
      <c r="D96" s="308"/>
      <c r="E96" s="308"/>
      <c r="F96" s="308"/>
      <c r="G96" s="308"/>
      <c r="H96" s="308"/>
      <c r="I96" s="302"/>
    </row>
    <row r="97" spans="1:9" s="181" customFormat="1" x14ac:dyDescent="0.2">
      <c r="A97" s="304"/>
      <c r="B97" s="305" t="s">
        <v>1726</v>
      </c>
      <c r="C97" s="306"/>
      <c r="D97" s="308"/>
      <c r="E97" s="308"/>
      <c r="F97" s="308"/>
      <c r="G97" s="308"/>
      <c r="H97" s="308"/>
      <c r="I97" s="302"/>
    </row>
    <row r="98" spans="1:9" s="181" customFormat="1" x14ac:dyDescent="0.2">
      <c r="A98" s="305"/>
      <c r="B98" s="309" t="s">
        <v>1728</v>
      </c>
      <c r="C98" s="306"/>
      <c r="D98" s="308"/>
      <c r="E98" s="308"/>
      <c r="F98" s="308"/>
      <c r="G98" s="308"/>
      <c r="H98" s="308"/>
      <c r="I98" s="302"/>
    </row>
    <row r="99" spans="1:9" s="181" customFormat="1" x14ac:dyDescent="0.2">
      <c r="A99" s="310"/>
      <c r="B99" s="311"/>
      <c r="C99" s="306"/>
      <c r="D99" s="308"/>
      <c r="E99" s="308"/>
      <c r="F99" s="308"/>
      <c r="G99" s="308"/>
      <c r="H99" s="308"/>
      <c r="I99" s="302"/>
    </row>
    <row r="100" spans="1:9" s="181" customFormat="1" x14ac:dyDescent="0.2">
      <c r="A100" s="307"/>
      <c r="B100" s="312"/>
      <c r="C100" s="307"/>
      <c r="D100" s="308"/>
      <c r="E100" s="308"/>
      <c r="F100" s="308"/>
      <c r="G100" s="308"/>
      <c r="H100" s="308"/>
      <c r="I100" s="302"/>
    </row>
    <row r="101" spans="1:9" s="181" customFormat="1" x14ac:dyDescent="0.2">
      <c r="A101" s="307"/>
      <c r="B101" s="312" t="s">
        <v>1228</v>
      </c>
      <c r="C101" s="307"/>
      <c r="D101" s="307"/>
      <c r="E101" s="302"/>
      <c r="F101" s="302"/>
      <c r="G101" s="302"/>
      <c r="H101" s="302"/>
      <c r="I101" s="302"/>
    </row>
    <row r="102" spans="1:9" s="181" customFormat="1" x14ac:dyDescent="0.2">
      <c r="A102" s="313"/>
      <c r="B102" s="2069"/>
      <c r="C102" s="2070"/>
      <c r="D102" s="2070"/>
      <c r="E102" s="2070"/>
      <c r="F102" s="2070"/>
      <c r="G102" s="2070"/>
      <c r="H102" s="2070"/>
      <c r="I102" s="2071"/>
    </row>
    <row r="103" spans="1:9" s="181" customFormat="1" x14ac:dyDescent="0.2">
      <c r="A103" s="313"/>
      <c r="B103" s="2072"/>
      <c r="C103" s="2073"/>
      <c r="D103" s="2073"/>
      <c r="E103" s="2073"/>
      <c r="F103" s="2073"/>
      <c r="G103" s="2073"/>
      <c r="H103" s="2073"/>
      <c r="I103" s="2074"/>
    </row>
    <row r="104" spans="1:9" s="181" customFormat="1" x14ac:dyDescent="0.2">
      <c r="A104" s="313"/>
      <c r="B104" s="2072"/>
      <c r="C104" s="2073"/>
      <c r="D104" s="2073"/>
      <c r="E104" s="2073"/>
      <c r="F104" s="2073"/>
      <c r="G104" s="2073"/>
      <c r="H104" s="2073"/>
      <c r="I104" s="2074"/>
    </row>
    <row r="105" spans="1:9" s="181" customFormat="1" x14ac:dyDescent="0.2">
      <c r="A105" s="313"/>
      <c r="B105" s="2072"/>
      <c r="C105" s="2073"/>
      <c r="D105" s="2073"/>
      <c r="E105" s="2073"/>
      <c r="F105" s="2073"/>
      <c r="G105" s="2073"/>
      <c r="H105" s="2073"/>
      <c r="I105" s="2074"/>
    </row>
    <row r="106" spans="1:9" s="181" customFormat="1" x14ac:dyDescent="0.2">
      <c r="A106" s="313"/>
      <c r="B106" s="2072"/>
      <c r="C106" s="2073"/>
      <c r="D106" s="2073"/>
      <c r="E106" s="2073"/>
      <c r="F106" s="2073"/>
      <c r="G106" s="2073"/>
      <c r="H106" s="2073"/>
      <c r="I106" s="2074"/>
    </row>
    <row r="107" spans="1:9" s="181" customFormat="1" x14ac:dyDescent="0.2">
      <c r="A107" s="313"/>
      <c r="B107" s="2072"/>
      <c r="C107" s="2073"/>
      <c r="D107" s="2073"/>
      <c r="E107" s="2073"/>
      <c r="F107" s="2073"/>
      <c r="G107" s="2073"/>
      <c r="H107" s="2073"/>
      <c r="I107" s="2074"/>
    </row>
    <row r="108" spans="1:9" s="181" customFormat="1" x14ac:dyDescent="0.2">
      <c r="A108" s="313"/>
      <c r="B108" s="2072"/>
      <c r="C108" s="2073"/>
      <c r="D108" s="2073"/>
      <c r="E108" s="2073"/>
      <c r="F108" s="2073"/>
      <c r="G108" s="2073"/>
      <c r="H108" s="2073"/>
      <c r="I108" s="2074"/>
    </row>
    <row r="109" spans="1:9" s="181" customFormat="1" x14ac:dyDescent="0.2">
      <c r="A109" s="313"/>
      <c r="B109" s="2072"/>
      <c r="C109" s="2073"/>
      <c r="D109" s="2073"/>
      <c r="E109" s="2073"/>
      <c r="F109" s="2073"/>
      <c r="G109" s="2073"/>
      <c r="H109" s="2073"/>
      <c r="I109" s="2074"/>
    </row>
    <row r="110" spans="1:9" s="181" customFormat="1" x14ac:dyDescent="0.2">
      <c r="A110" s="313"/>
      <c r="B110" s="2072"/>
      <c r="C110" s="2073"/>
      <c r="D110" s="2073"/>
      <c r="E110" s="2073"/>
      <c r="F110" s="2073"/>
      <c r="G110" s="2073"/>
      <c r="H110" s="2073"/>
      <c r="I110" s="2074"/>
    </row>
    <row r="111" spans="1:9" s="181" customFormat="1" x14ac:dyDescent="0.2">
      <c r="A111" s="313"/>
      <c r="B111" s="2072"/>
      <c r="C111" s="2073"/>
      <c r="D111" s="2073"/>
      <c r="E111" s="2073"/>
      <c r="F111" s="2073"/>
      <c r="G111" s="2073"/>
      <c r="H111" s="2073"/>
      <c r="I111" s="2074"/>
    </row>
    <row r="112" spans="1:9" s="181" customFormat="1" x14ac:dyDescent="0.2">
      <c r="A112" s="313"/>
      <c r="B112" s="2075"/>
      <c r="C112" s="2076"/>
      <c r="D112" s="2076"/>
      <c r="E112" s="2076"/>
      <c r="F112" s="2076"/>
      <c r="G112" s="2076"/>
      <c r="H112" s="2076"/>
      <c r="I112" s="2077"/>
    </row>
    <row r="113" spans="1:9" s="181" customFormat="1" x14ac:dyDescent="0.2">
      <c r="A113" s="314"/>
      <c r="B113" s="308"/>
      <c r="C113" s="308"/>
      <c r="D113" s="308"/>
      <c r="E113" s="302"/>
      <c r="F113" s="302"/>
      <c r="G113" s="302"/>
      <c r="H113" s="302"/>
      <c r="I113" s="302"/>
    </row>
    <row r="114" spans="1:9" s="181" customFormat="1" x14ac:dyDescent="0.2">
      <c r="A114" s="313"/>
      <c r="B114" s="314"/>
      <c r="C114" s="2078" t="s">
        <v>2090</v>
      </c>
      <c r="D114" s="2078"/>
      <c r="E114" s="302"/>
      <c r="F114" s="302"/>
      <c r="G114" s="302"/>
      <c r="H114" s="302"/>
      <c r="I114" s="302"/>
    </row>
    <row r="115" spans="1:9" s="181" customFormat="1" x14ac:dyDescent="0.2">
      <c r="A115" s="313"/>
      <c r="B115" s="313"/>
      <c r="C115" s="315"/>
      <c r="D115" s="316" t="s">
        <v>1229</v>
      </c>
      <c r="E115" s="317"/>
      <c r="F115" s="302"/>
      <c r="G115" s="302"/>
      <c r="H115" s="302"/>
      <c r="I115" s="302"/>
    </row>
    <row r="116" spans="1:9" s="181" customFormat="1" x14ac:dyDescent="0.2">
      <c r="A116" s="313"/>
      <c r="B116" s="313"/>
      <c r="C116" s="315"/>
      <c r="D116" s="318"/>
      <c r="E116" s="317"/>
      <c r="F116" s="302"/>
      <c r="G116" s="302"/>
      <c r="H116" s="302"/>
      <c r="I116" s="302"/>
    </row>
    <row r="117" spans="1:9" s="181" customFormat="1" x14ac:dyDescent="0.2">
      <c r="A117" s="313"/>
      <c r="B117" s="319"/>
      <c r="C117" s="2079" t="s">
        <v>1397</v>
      </c>
      <c r="D117" s="2080"/>
      <c r="E117" s="2081"/>
      <c r="F117" s="2081"/>
      <c r="G117" s="2081"/>
      <c r="H117" s="2081"/>
      <c r="I117" s="302"/>
    </row>
    <row r="118" spans="1:9" s="181" customFormat="1" x14ac:dyDescent="0.2">
      <c r="A118" s="313"/>
      <c r="B118" s="313"/>
      <c r="C118" s="313"/>
      <c r="D118" s="320"/>
      <c r="E118" s="319"/>
      <c r="F118" s="321"/>
      <c r="G118" s="1860"/>
      <c r="H118" s="319"/>
      <c r="I118" s="302"/>
    </row>
    <row r="119" spans="1:9" s="181" customFormat="1" x14ac:dyDescent="0.2">
      <c r="A119" s="322"/>
      <c r="B119" s="322"/>
      <c r="C119" s="323"/>
      <c r="D119" s="324" t="s">
        <v>379</v>
      </c>
      <c r="E119" s="307"/>
      <c r="F119" s="1859"/>
      <c r="G119" s="1955">
        <v>43369</v>
      </c>
      <c r="H119" s="325"/>
      <c r="I119" s="302"/>
    </row>
    <row r="120" spans="1:9" ht="27.75" customHeight="1" x14ac:dyDescent="0.2">
      <c r="A120" s="326"/>
      <c r="B120" s="180"/>
      <c r="C120" s="327"/>
      <c r="D120" s="254"/>
      <c r="E120" s="254"/>
      <c r="F120" s="254"/>
      <c r="G120" s="254"/>
      <c r="H120" s="254"/>
      <c r="I120" s="302"/>
    </row>
    <row r="121" spans="1:9" x14ac:dyDescent="0.2">
      <c r="A121" s="326"/>
      <c r="B121" s="1507" t="s">
        <v>1690</v>
      </c>
      <c r="C121" s="328"/>
      <c r="D121" s="254"/>
      <c r="E121" s="254"/>
      <c r="F121" s="254"/>
      <c r="G121" s="254"/>
      <c r="H121" s="254"/>
      <c r="I121" s="302"/>
    </row>
    <row r="122" spans="1:9" s="215" customFormat="1" x14ac:dyDescent="0.2">
      <c r="A122" s="326"/>
      <c r="B122" s="326"/>
      <c r="C122" s="326"/>
      <c r="D122" s="329"/>
      <c r="E122" s="254"/>
      <c r="F122" s="330"/>
      <c r="G122" s="254"/>
      <c r="H122" s="254"/>
      <c r="I122" s="302"/>
    </row>
    <row r="123" spans="1:9" x14ac:dyDescent="0.2">
      <c r="A123" s="331"/>
      <c r="B123" s="331"/>
      <c r="C123" s="332"/>
      <c r="D123" s="333"/>
      <c r="E123" s="181"/>
      <c r="F123" s="181"/>
      <c r="G123" s="181"/>
      <c r="H123" s="181"/>
      <c r="I123" s="302"/>
    </row>
    <row r="124" spans="1:9" x14ac:dyDescent="0.2">
      <c r="A124" s="209"/>
      <c r="B124" s="209"/>
      <c r="C124" s="332"/>
      <c r="D124" s="334"/>
      <c r="E124" s="335"/>
      <c r="F124" s="181"/>
      <c r="G124" s="181"/>
      <c r="H124" s="181"/>
      <c r="I124" s="302"/>
    </row>
    <row r="125" spans="1:9" x14ac:dyDescent="0.2">
      <c r="A125" s="209"/>
      <c r="B125" s="209"/>
      <c r="C125" s="336"/>
      <c r="D125" s="329"/>
      <c r="E125" s="335"/>
      <c r="F125" s="181"/>
      <c r="G125" s="181"/>
      <c r="H125" s="181"/>
      <c r="I125" s="302"/>
    </row>
    <row r="126" spans="1:9" x14ac:dyDescent="0.2">
      <c r="A126" s="209"/>
      <c r="B126" s="209"/>
      <c r="C126" s="336"/>
      <c r="D126" s="337"/>
      <c r="E126" s="337"/>
      <c r="F126" s="337"/>
      <c r="G126" s="337"/>
      <c r="H126" s="337"/>
      <c r="I126" s="302"/>
    </row>
    <row r="127" spans="1:9" x14ac:dyDescent="0.2">
      <c r="A127" s="209"/>
      <c r="B127" s="209"/>
      <c r="C127" s="336"/>
      <c r="I127" s="181"/>
    </row>
    <row r="128" spans="1:9" x14ac:dyDescent="0.2">
      <c r="A128" s="209"/>
      <c r="B128" s="209"/>
      <c r="C128" s="336"/>
      <c r="D128" s="329"/>
      <c r="E128" s="180"/>
      <c r="F128" s="330"/>
      <c r="G128" s="215"/>
      <c r="H128" s="215"/>
    </row>
    <row r="129" spans="1:9" s="215" customFormat="1" x14ac:dyDescent="0.2">
      <c r="A129" s="247"/>
      <c r="B129" s="247"/>
      <c r="C129" s="336"/>
      <c r="D129" s="202"/>
      <c r="E129" s="202"/>
      <c r="F129" s="202"/>
      <c r="G129" s="202"/>
      <c r="H129" s="202"/>
      <c r="I129" s="202"/>
    </row>
    <row r="130" spans="1:9" x14ac:dyDescent="0.2">
      <c r="A130" s="247"/>
      <c r="B130" s="247"/>
      <c r="C130" s="336"/>
      <c r="I130" s="215"/>
    </row>
    <row r="131" spans="1:9" x14ac:dyDescent="0.2">
      <c r="A131" s="247"/>
      <c r="B131" s="247"/>
      <c r="C131" s="336"/>
    </row>
    <row r="132" spans="1:9" x14ac:dyDescent="0.2">
      <c r="A132" s="247"/>
      <c r="B132" s="247"/>
      <c r="C132" s="336"/>
    </row>
    <row r="133" spans="1:9" x14ac:dyDescent="0.2">
      <c r="A133" s="247"/>
      <c r="B133" s="247"/>
      <c r="C133" s="336"/>
      <c r="G133" s="215"/>
      <c r="H133" s="215"/>
    </row>
    <row r="134" spans="1:9" x14ac:dyDescent="0.2">
      <c r="A134" s="247"/>
      <c r="B134" s="247"/>
      <c r="C134" s="336"/>
    </row>
    <row r="135" spans="1:9" x14ac:dyDescent="0.2">
      <c r="A135" s="247"/>
      <c r="B135" s="247"/>
      <c r="C135" s="336"/>
    </row>
    <row r="136" spans="1:9" x14ac:dyDescent="0.2">
      <c r="A136" s="247"/>
      <c r="B136" s="247"/>
      <c r="C136" s="336"/>
    </row>
    <row r="137" spans="1:9" x14ac:dyDescent="0.2">
      <c r="A137" s="247"/>
      <c r="B137" s="247"/>
      <c r="C137" s="336"/>
      <c r="I137" s="215"/>
    </row>
    <row r="138" spans="1:9" x14ac:dyDescent="0.2">
      <c r="A138" s="209"/>
      <c r="B138" s="209"/>
      <c r="C138" s="336"/>
    </row>
    <row r="139" spans="1:9" x14ac:dyDescent="0.2">
      <c r="A139" s="215"/>
      <c r="B139" s="216"/>
    </row>
    <row r="140" spans="1:9" x14ac:dyDescent="0.2">
      <c r="A140" s="338"/>
      <c r="B140" s="338"/>
      <c r="C140" s="339"/>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7" top="0.75" bottom="0.75" header="0.3" footer="0.3"/>
  <pageSetup scale="76" fitToHeight="2" orientation="portrait" r:id="rId1"/>
  <headerFooter>
    <oddHeader>&amp;LPage 2&amp;RPage 2</oddHeader>
    <oddFooter>&amp;LPrinted: &amp;D  &amp;F</oddFooter>
  </headerFooter>
  <drawing r:id="rId2"/>
  <legacyDrawing r:id="rId3"/>
  <oleObjects>
    <mc:AlternateContent xmlns:mc="http://schemas.openxmlformats.org/markup-compatibility/2006">
      <mc:Choice Requires="x14">
        <oleObject progId="Document" shapeId="36865" r:id="rId4">
          <objectPr defaultSize="0" autoPict="0" r:id="rId5">
            <anchor moveWithCells="1">
              <from>
                <xdr:col>3</xdr:col>
                <xdr:colOff>0</xdr:colOff>
                <xdr:row>117</xdr:row>
                <xdr:rowOff>0</xdr:rowOff>
              </from>
              <to>
                <xdr:col>5</xdr:col>
                <xdr:colOff>542925</xdr:colOff>
                <xdr:row>119</xdr:row>
                <xdr:rowOff>295275</xdr:rowOff>
              </to>
            </anchor>
          </objectPr>
        </oleObject>
      </mc:Choice>
      <mc:Fallback>
        <oleObject progId="Document" shapeId="36865"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4" customWidth="1"/>
    <col min="4" max="4" width="9.28515625" style="314" customWidth="1"/>
    <col min="5" max="5" width="5.28515625" style="1255" customWidth="1"/>
    <col min="6" max="8" width="5.28515625" style="314" customWidth="1"/>
    <col min="9" max="9" width="14.42578125" style="314" customWidth="1"/>
    <col min="10" max="10" width="1.42578125" style="314" customWidth="1"/>
    <col min="11" max="11" width="5.140625" style="314" customWidth="1"/>
    <col min="12" max="12" width="4.5703125" style="314" customWidth="1"/>
    <col min="13" max="16384" width="9.140625" style="314"/>
  </cols>
  <sheetData>
    <row r="1" spans="2:10" s="314" customFormat="1" ht="12.75" customHeight="1" x14ac:dyDescent="0.2">
      <c r="B1" s="2470" t="str">
        <f>'Single Audit Cover'!A7</f>
        <v>Livingston Area Career Center</v>
      </c>
      <c r="C1" s="2471"/>
      <c r="D1" s="2471"/>
      <c r="E1" s="2471"/>
      <c r="F1" s="2471"/>
      <c r="G1" s="2471"/>
      <c r="H1" s="2471"/>
      <c r="I1" s="2471"/>
      <c r="J1" s="1419"/>
    </row>
    <row r="2" spans="2:10" s="314" customFormat="1" ht="12.75" customHeight="1" x14ac:dyDescent="0.2">
      <c r="B2" s="2472">
        <f>'Single Audit Cover'!E7</f>
        <v>17053090041</v>
      </c>
      <c r="C2" s="2473"/>
      <c r="D2" s="2473"/>
      <c r="E2" s="2473"/>
      <c r="F2" s="2473"/>
      <c r="G2" s="2473"/>
      <c r="H2" s="2473"/>
      <c r="I2" s="2473"/>
      <c r="J2" s="1419"/>
    </row>
    <row r="3" spans="2:10" s="314" customFormat="1" ht="12.75" customHeight="1" x14ac:dyDescent="0.2">
      <c r="B3" s="2474" t="s">
        <v>1347</v>
      </c>
      <c r="C3" s="2475"/>
      <c r="D3" s="2475"/>
      <c r="E3" s="2475"/>
      <c r="F3" s="2475"/>
      <c r="G3" s="2475"/>
      <c r="H3" s="2475"/>
      <c r="I3" s="2475"/>
      <c r="J3" s="1420"/>
    </row>
    <row r="4" spans="2:10" s="314" customFormat="1" ht="12.75" customHeight="1" x14ac:dyDescent="0.2">
      <c r="B4" s="2474" t="str">
        <f>'Single Audit Cover'!A4</f>
        <v>Year Ending June 30, 2018</v>
      </c>
      <c r="C4" s="2475"/>
      <c r="D4" s="2475"/>
      <c r="E4" s="2475"/>
      <c r="F4" s="2475"/>
      <c r="G4" s="2475"/>
      <c r="H4" s="2475"/>
      <c r="I4" s="2475"/>
    </row>
    <row r="5" spans="2:10" s="314" customFormat="1" ht="6.2" customHeight="1" x14ac:dyDescent="0.2">
      <c r="B5" s="1421" t="s">
        <v>1231</v>
      </c>
      <c r="C5" s="1291"/>
      <c r="D5" s="1291"/>
      <c r="E5" s="1380"/>
      <c r="F5" s="319"/>
      <c r="G5" s="319"/>
      <c r="H5" s="319"/>
      <c r="I5" s="319"/>
    </row>
    <row r="6" spans="2:10" s="314" customFormat="1" ht="6.2" customHeight="1" x14ac:dyDescent="0.2">
      <c r="B6" s="1422"/>
      <c r="C6" s="1376"/>
      <c r="D6" s="1376"/>
      <c r="E6" s="1377"/>
      <c r="F6" s="1376"/>
      <c r="G6" s="1376"/>
      <c r="H6" s="1376"/>
      <c r="I6" s="1376"/>
    </row>
    <row r="7" spans="2:10" s="314" customFormat="1" ht="13.5" customHeight="1" x14ac:dyDescent="0.2">
      <c r="B7" s="2474" t="s">
        <v>1346</v>
      </c>
      <c r="C7" s="2475"/>
      <c r="D7" s="2475"/>
      <c r="E7" s="2475"/>
      <c r="F7" s="2475"/>
      <c r="G7" s="2475"/>
      <c r="H7" s="2475"/>
      <c r="I7" s="2475"/>
    </row>
    <row r="8" spans="2:10" s="314" customFormat="1" ht="6.2" customHeight="1" x14ac:dyDescent="0.2">
      <c r="B8" s="1423" t="s">
        <v>1231</v>
      </c>
      <c r="C8" s="1424"/>
      <c r="D8" s="1424"/>
      <c r="E8" s="1425"/>
      <c r="F8" s="1424"/>
      <c r="G8" s="1424"/>
      <c r="H8" s="1424"/>
      <c r="I8" s="1424"/>
    </row>
    <row r="9" spans="2:10" s="314" customFormat="1" ht="9" customHeight="1" x14ac:dyDescent="0.2">
      <c r="B9" s="1426"/>
      <c r="C9" s="319"/>
      <c r="D9" s="319"/>
      <c r="E9" s="1380"/>
      <c r="F9" s="319"/>
      <c r="G9" s="319"/>
      <c r="H9" s="319"/>
      <c r="I9" s="319"/>
    </row>
    <row r="10" spans="2:10" s="314" customFormat="1" ht="12.75" customHeight="1" x14ac:dyDescent="0.2">
      <c r="B10" s="1427" t="s">
        <v>1345</v>
      </c>
      <c r="C10" s="1428"/>
      <c r="D10" s="1428"/>
      <c r="E10" s="1255"/>
    </row>
    <row r="11" spans="2:10" s="314" customFormat="1" ht="13.5" customHeight="1" x14ac:dyDescent="0.2">
      <c r="B11" s="1346" t="s">
        <v>1344</v>
      </c>
      <c r="C11" s="2476"/>
      <c r="D11" s="2476"/>
      <c r="E11" s="1429"/>
      <c r="F11" s="1429"/>
      <c r="G11" s="1429"/>
    </row>
    <row r="12" spans="2:10" s="314" customFormat="1" ht="11.45" customHeight="1" x14ac:dyDescent="0.2">
      <c r="B12" s="1354"/>
      <c r="C12" s="1430" t="s">
        <v>1517</v>
      </c>
      <c r="D12" s="1431"/>
      <c r="E12" s="1255"/>
    </row>
    <row r="13" spans="2:10" s="314" customFormat="1" ht="12.75" customHeight="1" x14ac:dyDescent="0.2">
      <c r="B13" s="1432"/>
      <c r="C13" s="1384"/>
      <c r="D13" s="1384"/>
      <c r="E13" s="1255"/>
    </row>
    <row r="14" spans="2:10" s="314" customFormat="1" ht="12.75" customHeight="1" x14ac:dyDescent="0.2">
      <c r="B14" s="1365" t="s">
        <v>1343</v>
      </c>
      <c r="C14" s="1279"/>
      <c r="E14" s="1255"/>
    </row>
    <row r="15" spans="2:10" s="314" customFormat="1" ht="13.5" customHeight="1" x14ac:dyDescent="0.2">
      <c r="B15" s="1433" t="s">
        <v>1340</v>
      </c>
      <c r="C15" s="1434"/>
      <c r="D15" s="1395"/>
      <c r="E15" s="1435"/>
      <c r="F15" s="1297" t="s">
        <v>940</v>
      </c>
      <c r="G15" s="1435"/>
      <c r="H15" s="1297" t="s">
        <v>1338</v>
      </c>
      <c r="I15" s="1297"/>
    </row>
    <row r="16" spans="2:10" s="314" customFormat="1" ht="8.4499999999999993" customHeight="1" x14ac:dyDescent="0.2">
      <c r="B16" s="1365"/>
      <c r="C16" s="1279"/>
      <c r="E16" s="1380"/>
      <c r="F16" s="1297"/>
      <c r="G16" s="319"/>
      <c r="H16" s="1297"/>
      <c r="I16" s="1297"/>
    </row>
    <row r="17" spans="2:9" s="314" customFormat="1" ht="13.5" customHeight="1" x14ac:dyDescent="0.2">
      <c r="B17" s="1433" t="s">
        <v>1339</v>
      </c>
      <c r="C17" s="1434"/>
      <c r="D17" s="1395"/>
      <c r="E17" s="1436"/>
      <c r="F17" s="1254"/>
      <c r="G17" s="1436"/>
      <c r="H17" s="1297"/>
      <c r="I17" s="1297"/>
    </row>
    <row r="18" spans="2:9" s="314" customFormat="1" ht="12.75" customHeight="1" x14ac:dyDescent="0.2">
      <c r="B18" s="1433" t="s">
        <v>1518</v>
      </c>
      <c r="C18" s="1434"/>
      <c r="D18" s="1395"/>
      <c r="E18" s="1435"/>
      <c r="F18" s="1297" t="s">
        <v>940</v>
      </c>
      <c r="G18" s="1435"/>
      <c r="H18" s="1297" t="s">
        <v>1338</v>
      </c>
      <c r="I18" s="1297"/>
    </row>
    <row r="19" spans="2:9" s="314" customFormat="1" ht="8.4499999999999993" customHeight="1" x14ac:dyDescent="0.2">
      <c r="B19" s="1365"/>
      <c r="C19" s="1279"/>
      <c r="E19" s="1380"/>
      <c r="F19" s="1297"/>
      <c r="G19" s="319"/>
      <c r="H19" s="1297"/>
      <c r="I19" s="1297"/>
    </row>
    <row r="20" spans="2:9" s="314" customFormat="1" ht="13.5" customHeight="1" x14ac:dyDescent="0.2">
      <c r="B20" s="1433" t="s">
        <v>1673</v>
      </c>
      <c r="C20" s="1434"/>
      <c r="D20" s="1395"/>
      <c r="E20" s="1435"/>
      <c r="F20" s="1297" t="s">
        <v>940</v>
      </c>
      <c r="G20" s="1435"/>
      <c r="H20" s="1297" t="s">
        <v>101</v>
      </c>
      <c r="I20" s="1297"/>
    </row>
    <row r="21" spans="2:9" s="314" customFormat="1" ht="12.75" customHeight="1" x14ac:dyDescent="0.2">
      <c r="B21" s="1365"/>
      <c r="C21" s="1279"/>
      <c r="E21" s="1380"/>
      <c r="F21" s="1297"/>
      <c r="G21" s="319"/>
      <c r="H21" s="1297"/>
      <c r="I21" s="1297"/>
    </row>
    <row r="22" spans="2:9" s="314" customFormat="1" ht="12.75" customHeight="1" x14ac:dyDescent="0.2">
      <c r="B22" s="1427" t="s">
        <v>1342</v>
      </c>
      <c r="C22" s="1437"/>
      <c r="D22" s="1428"/>
      <c r="E22" s="1380"/>
      <c r="F22" s="1297"/>
      <c r="G22" s="319"/>
      <c r="H22" s="1297"/>
      <c r="I22" s="1297"/>
    </row>
    <row r="23" spans="2:9" s="314" customFormat="1" ht="12.75" customHeight="1" x14ac:dyDescent="0.2">
      <c r="B23" s="1365" t="s">
        <v>1341</v>
      </c>
      <c r="C23" s="1279"/>
      <c r="E23" s="1380"/>
      <c r="F23" s="1297"/>
      <c r="G23" s="319"/>
      <c r="H23" s="1297"/>
      <c r="I23" s="1297"/>
    </row>
    <row r="24" spans="2:9" s="314" customFormat="1" ht="13.5" customHeight="1" x14ac:dyDescent="0.2">
      <c r="B24" s="1433" t="s">
        <v>1340</v>
      </c>
      <c r="C24" s="1434"/>
      <c r="D24" s="1395"/>
      <c r="E24" s="1435"/>
      <c r="F24" s="1297" t="s">
        <v>940</v>
      </c>
      <c r="G24" s="1435"/>
      <c r="H24" s="1297" t="s">
        <v>1338</v>
      </c>
      <c r="I24" s="1297"/>
    </row>
    <row r="25" spans="2:9" s="314" customFormat="1" ht="8.4499999999999993" customHeight="1" x14ac:dyDescent="0.2">
      <c r="B25" s="1365"/>
      <c r="C25" s="1279"/>
      <c r="E25" s="1380"/>
      <c r="F25" s="1297"/>
      <c r="G25" s="319"/>
      <c r="H25" s="1297"/>
      <c r="I25" s="1297"/>
    </row>
    <row r="26" spans="2:9" s="314" customFormat="1" ht="13.5" customHeight="1" x14ac:dyDescent="0.2">
      <c r="B26" s="1433" t="s">
        <v>1339</v>
      </c>
      <c r="C26" s="1434"/>
      <c r="D26" s="1395"/>
      <c r="E26" s="1436"/>
      <c r="F26" s="1254"/>
      <c r="G26" s="1436"/>
      <c r="H26" s="1297"/>
      <c r="I26" s="1297"/>
    </row>
    <row r="27" spans="2:9" s="314" customFormat="1" ht="12.75" customHeight="1" x14ac:dyDescent="0.2">
      <c r="B27" s="1433" t="s">
        <v>1518</v>
      </c>
      <c r="C27" s="1434"/>
      <c r="D27" s="1395"/>
      <c r="E27" s="1435"/>
      <c r="F27" s="1297" t="s">
        <v>940</v>
      </c>
      <c r="G27" s="1435"/>
      <c r="H27" s="1297" t="s">
        <v>1338</v>
      </c>
      <c r="I27" s="1297"/>
    </row>
    <row r="28" spans="2:9" s="314" customFormat="1" ht="12.75" customHeight="1" x14ac:dyDescent="0.2">
      <c r="B28" s="1365"/>
      <c r="C28" s="1279"/>
      <c r="E28" s="1255"/>
    </row>
    <row r="29" spans="2:9" s="314" customFormat="1" ht="12.75" customHeight="1" x14ac:dyDescent="0.2">
      <c r="B29" s="1365" t="s">
        <v>1337</v>
      </c>
      <c r="C29" s="1279"/>
      <c r="D29" s="2477"/>
      <c r="E29" s="2477"/>
      <c r="F29" s="2477"/>
      <c r="G29" s="2477"/>
      <c r="H29" s="2477"/>
      <c r="I29" s="2477"/>
    </row>
    <row r="30" spans="2:9" s="314" customFormat="1" x14ac:dyDescent="0.2">
      <c r="B30" s="1365"/>
      <c r="C30" s="319"/>
      <c r="D30" s="1430" t="s">
        <v>1837</v>
      </c>
      <c r="E30" s="1431"/>
      <c r="F30" s="1431"/>
      <c r="G30" s="1431"/>
      <c r="H30" s="1431"/>
      <c r="I30" s="1431"/>
    </row>
    <row r="31" spans="2:9" s="314" customFormat="1" ht="9.9499999999999993" customHeight="1" x14ac:dyDescent="0.2">
      <c r="B31" s="1365"/>
      <c r="E31" s="1255"/>
    </row>
    <row r="32" spans="2:9" s="314"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1838</v>
      </c>
      <c r="C35" s="1439"/>
      <c r="D35" s="1264"/>
    </row>
    <row r="36" spans="2:9" ht="6" customHeight="1" x14ac:dyDescent="0.2">
      <c r="B36" s="1438"/>
      <c r="C36" s="1439"/>
      <c r="D36" s="1264"/>
    </row>
    <row r="37" spans="2:9" ht="17.25" customHeight="1" x14ac:dyDescent="0.2">
      <c r="B37" s="1440" t="s">
        <v>1839</v>
      </c>
      <c r="C37" s="2478" t="s">
        <v>1840</v>
      </c>
      <c r="D37" s="2479"/>
      <c r="E37" s="2479"/>
      <c r="F37" s="2480"/>
      <c r="G37" s="2478" t="s">
        <v>1674</v>
      </c>
      <c r="H37" s="2479"/>
      <c r="I37" s="2480"/>
    </row>
    <row r="38" spans="2:9" ht="16.5" customHeight="1" x14ac:dyDescent="0.2">
      <c r="B38" s="1441"/>
      <c r="C38" s="2466"/>
      <c r="D38" s="2467"/>
      <c r="E38" s="2467"/>
      <c r="F38" s="2468"/>
      <c r="G38" s="2481"/>
      <c r="H38" s="2482"/>
      <c r="I38" s="2483"/>
    </row>
    <row r="39" spans="2:9" ht="16.5" customHeight="1" x14ac:dyDescent="0.2">
      <c r="B39" s="1441"/>
      <c r="C39" s="2466"/>
      <c r="D39" s="2467"/>
      <c r="E39" s="2467"/>
      <c r="F39" s="2468"/>
      <c r="G39" s="2469"/>
      <c r="H39" s="2469"/>
      <c r="I39" s="2469"/>
    </row>
    <row r="40" spans="2:9" ht="16.5" customHeight="1" x14ac:dyDescent="0.2">
      <c r="B40" s="1441"/>
      <c r="C40" s="2466"/>
      <c r="D40" s="2467"/>
      <c r="E40" s="2467"/>
      <c r="F40" s="2468"/>
      <c r="G40" s="2469"/>
      <c r="H40" s="2469"/>
      <c r="I40" s="2469"/>
    </row>
    <row r="41" spans="2:9" ht="16.5" customHeight="1" x14ac:dyDescent="0.2">
      <c r="B41" s="1441"/>
      <c r="C41" s="2466"/>
      <c r="D41" s="2467"/>
      <c r="E41" s="2467"/>
      <c r="F41" s="2468"/>
      <c r="G41" s="2469"/>
      <c r="H41" s="2469"/>
      <c r="I41" s="2469"/>
    </row>
    <row r="42" spans="2:9" ht="16.5" customHeight="1" x14ac:dyDescent="0.2">
      <c r="B42" s="1441"/>
      <c r="C42" s="2466"/>
      <c r="D42" s="2467"/>
      <c r="E42" s="2467"/>
      <c r="F42" s="2468"/>
      <c r="G42" s="2469"/>
      <c r="H42" s="2469"/>
      <c r="I42" s="2469"/>
    </row>
    <row r="43" spans="2:9" ht="16.5" customHeight="1" x14ac:dyDescent="0.2">
      <c r="B43" s="1441"/>
      <c r="C43" s="2484" t="s">
        <v>1675</v>
      </c>
      <c r="D43" s="2485"/>
      <c r="E43" s="2485"/>
      <c r="F43" s="2486"/>
      <c r="G43" s="2487">
        <f>SUM(G38:I42)</f>
        <v>0</v>
      </c>
      <c r="H43" s="2487"/>
      <c r="I43" s="2487"/>
    </row>
    <row r="44" spans="2:9" ht="12.75" customHeight="1" x14ac:dyDescent="0.2"/>
    <row r="45" spans="2:9" ht="12.75" customHeight="1" x14ac:dyDescent="0.2">
      <c r="B45" s="1432" t="s">
        <v>1937</v>
      </c>
      <c r="D45" s="2488">
        <v>0</v>
      </c>
      <c r="E45" s="2489"/>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490"/>
      <c r="F49" s="2490"/>
      <c r="G49" s="2490"/>
      <c r="H49" s="319"/>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19"/>
      <c r="D53" s="1452"/>
      <c r="E53" s="1453"/>
      <c r="F53" s="1454"/>
      <c r="G53" s="1454"/>
      <c r="H53" s="1454"/>
      <c r="I53" s="1454"/>
    </row>
    <row r="54" spans="1:9" s="1458" customFormat="1" ht="14.25" x14ac:dyDescent="0.2">
      <c r="A54" s="1455"/>
      <c r="B54" s="1456" t="s">
        <v>1841</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1842</v>
      </c>
      <c r="C58" s="1461"/>
      <c r="D58" s="1461"/>
    </row>
    <row r="59" spans="1:9" s="1458" customFormat="1" ht="3.95" customHeight="1" x14ac:dyDescent="0.2">
      <c r="A59" s="1455"/>
      <c r="B59" s="1460"/>
      <c r="C59" s="1461"/>
      <c r="D59" s="1461"/>
    </row>
    <row r="60" spans="1:9" s="1458" customFormat="1" ht="13.5" customHeight="1" x14ac:dyDescent="0.2">
      <c r="A60" s="1455"/>
      <c r="B60" s="1460" t="s">
        <v>1843</v>
      </c>
      <c r="C60" s="1461"/>
      <c r="D60" s="1461"/>
    </row>
    <row r="61" spans="1:9" s="1458" customFormat="1" ht="3.95" customHeight="1" x14ac:dyDescent="0.2">
      <c r="A61" s="1455"/>
      <c r="B61" s="1460"/>
      <c r="C61" s="1461"/>
      <c r="D61" s="1461"/>
    </row>
    <row r="62" spans="1:9" s="1458" customFormat="1" ht="12.75" customHeight="1" x14ac:dyDescent="0.2">
      <c r="A62" s="1455"/>
      <c r="B62" s="1460" t="s">
        <v>1844</v>
      </c>
      <c r="C62" s="1461"/>
      <c r="D62" s="1461"/>
    </row>
    <row r="63" spans="1:9" s="1458" customFormat="1" ht="13.5" customHeight="1" x14ac:dyDescent="0.2">
      <c r="A63" s="1455"/>
      <c r="B63" s="1459" t="s">
        <v>1679</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4" customWidth="1"/>
    <col min="2" max="2" width="21.42578125" style="314" customWidth="1"/>
    <col min="3" max="3" width="6.140625" style="314" customWidth="1"/>
    <col min="4" max="4" width="4.42578125" style="314" customWidth="1"/>
    <col min="5" max="5" width="3.5703125" style="314" customWidth="1"/>
    <col min="6" max="6" width="20.140625" style="314" customWidth="1"/>
    <col min="7" max="7" width="3.5703125" style="1255" customWidth="1"/>
    <col min="8" max="8" width="10.5703125" style="314" customWidth="1"/>
    <col min="9" max="9" width="3.42578125" style="1255" customWidth="1"/>
    <col min="10" max="10" width="15.42578125" style="314" customWidth="1"/>
    <col min="11" max="11" width="8.5703125" style="314" customWidth="1"/>
    <col min="12" max="12" width="1.42578125" style="314" customWidth="1"/>
    <col min="13" max="13" width="3.42578125" style="314" customWidth="1"/>
    <col min="14" max="16384" width="9.140625" style="314"/>
  </cols>
  <sheetData>
    <row r="1" spans="1:13" ht="11.1" customHeight="1" x14ac:dyDescent="0.2">
      <c r="B1" s="2470" t="str">
        <f>'Single Audit Cover'!A7</f>
        <v>Livingston Area Career Center</v>
      </c>
      <c r="C1" s="2470"/>
      <c r="D1" s="2470"/>
      <c r="E1" s="2470"/>
      <c r="F1" s="2470"/>
      <c r="G1" s="2470"/>
      <c r="H1" s="2470"/>
      <c r="I1" s="2470"/>
      <c r="J1" s="2470"/>
      <c r="K1" s="2470"/>
      <c r="L1" s="1371"/>
      <c r="M1" s="1371"/>
    </row>
    <row r="2" spans="1:13" ht="12" customHeight="1" x14ac:dyDescent="0.2">
      <c r="B2" s="2472">
        <f>'Single Audit Cover'!E7</f>
        <v>17053090041</v>
      </c>
      <c r="C2" s="2472"/>
      <c r="D2" s="2472"/>
      <c r="E2" s="2472"/>
      <c r="F2" s="2472"/>
      <c r="G2" s="2472"/>
      <c r="H2" s="2472"/>
      <c r="I2" s="2472"/>
      <c r="J2" s="2472"/>
      <c r="K2" s="2472"/>
      <c r="L2" s="1372"/>
      <c r="M2" s="1373"/>
    </row>
    <row r="3" spans="1:13" ht="10.35" customHeight="1" x14ac:dyDescent="0.2">
      <c r="B3" s="2493" t="s">
        <v>1347</v>
      </c>
      <c r="C3" s="2493"/>
      <c r="D3" s="2493"/>
      <c r="E3" s="2493"/>
      <c r="F3" s="2493"/>
      <c r="G3" s="2493"/>
      <c r="H3" s="2493"/>
      <c r="I3" s="2493"/>
      <c r="J3" s="2493"/>
      <c r="K3" s="2493"/>
      <c r="L3" s="1374"/>
      <c r="M3" s="1374"/>
    </row>
    <row r="4" spans="1:13" ht="14.25" customHeight="1" x14ac:dyDescent="0.2">
      <c r="B4" s="2494" t="str">
        <f>'Single Audit Cover'!A4</f>
        <v>Year Ending June 30, 2018</v>
      </c>
      <c r="C4" s="2494"/>
      <c r="D4" s="2494"/>
      <c r="E4" s="2494"/>
      <c r="F4" s="2494"/>
      <c r="G4" s="2494"/>
      <c r="H4" s="2494"/>
      <c r="I4" s="2494"/>
      <c r="J4" s="2494"/>
      <c r="K4" s="2494"/>
      <c r="L4" s="310"/>
      <c r="M4" s="310"/>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4" t="s">
        <v>1363</v>
      </c>
      <c r="C7" s="2494"/>
      <c r="D7" s="2495"/>
      <c r="E7" s="2495"/>
      <c r="F7" s="2495"/>
      <c r="G7" s="2495"/>
      <c r="H7" s="2495"/>
      <c r="I7" s="2495"/>
      <c r="J7" s="2495"/>
      <c r="K7" s="2495"/>
      <c r="L7" s="1379"/>
    </row>
    <row r="8" spans="1:13" ht="7.5" customHeight="1" x14ac:dyDescent="0.2">
      <c r="B8" s="319"/>
      <c r="C8" s="319"/>
      <c r="D8" s="319"/>
      <c r="E8" s="319"/>
      <c r="F8" s="319"/>
      <c r="G8" s="1380"/>
      <c r="H8" s="319"/>
      <c r="I8" s="1380"/>
      <c r="J8" s="319"/>
      <c r="K8" s="319"/>
      <c r="L8" s="1378"/>
    </row>
    <row r="9" spans="1:13" ht="9.6" customHeight="1" x14ac:dyDescent="0.2">
      <c r="B9" s="1376"/>
      <c r="C9" s="1376"/>
      <c r="D9" s="1376"/>
      <c r="E9" s="1376"/>
      <c r="F9" s="1376"/>
      <c r="G9" s="1377"/>
      <c r="H9" s="1376"/>
      <c r="I9" s="1377"/>
      <c r="J9" s="1376"/>
      <c r="K9" s="1376"/>
      <c r="L9" s="1378"/>
    </row>
    <row r="10" spans="1:13" ht="16.5" customHeight="1" x14ac:dyDescent="0.2">
      <c r="B10" s="1381" t="s">
        <v>1831</v>
      </c>
      <c r="C10" s="1382" t="s">
        <v>1938</v>
      </c>
      <c r="D10" s="1383"/>
      <c r="E10" s="319"/>
      <c r="F10" s="1384" t="s">
        <v>1362</v>
      </c>
      <c r="G10" s="1385"/>
      <c r="H10" s="1386" t="s">
        <v>1361</v>
      </c>
      <c r="I10" s="1385"/>
      <c r="J10" s="1387" t="s">
        <v>1360</v>
      </c>
      <c r="K10" s="319"/>
      <c r="L10" s="1378"/>
    </row>
    <row r="11" spans="1:13" ht="13.5" customHeight="1" x14ac:dyDescent="0.2">
      <c r="B11" s="319"/>
      <c r="C11" s="319"/>
      <c r="D11" s="319"/>
      <c r="E11" s="319"/>
      <c r="F11" s="319"/>
      <c r="G11" s="1380"/>
      <c r="H11" s="319"/>
      <c r="I11" s="1388" t="s">
        <v>1359</v>
      </c>
      <c r="J11" s="319"/>
      <c r="K11" s="1389"/>
      <c r="L11" s="1378"/>
    </row>
    <row r="12" spans="1:13" ht="13.5" customHeight="1" x14ac:dyDescent="0.2">
      <c r="B12" s="1291"/>
      <c r="C12" s="1291"/>
      <c r="D12" s="319"/>
      <c r="E12" s="319"/>
      <c r="F12" s="319"/>
      <c r="G12" s="1380"/>
      <c r="H12" s="319"/>
      <c r="I12" s="1380"/>
      <c r="J12" s="319"/>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2"/>
      <c r="C14" s="2492"/>
      <c r="D14" s="2492"/>
      <c r="E14" s="2492"/>
      <c r="F14" s="2492"/>
      <c r="G14" s="2492"/>
      <c r="H14" s="2492"/>
      <c r="I14" s="2492"/>
      <c r="J14" s="2492"/>
      <c r="K14" s="249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2"/>
      <c r="C17" s="2492"/>
      <c r="D17" s="2492"/>
      <c r="E17" s="2492"/>
      <c r="F17" s="2492"/>
      <c r="G17" s="2492"/>
      <c r="H17" s="2492"/>
      <c r="I17" s="2492"/>
      <c r="J17" s="2492"/>
      <c r="K17" s="2492"/>
      <c r="L17" s="1378"/>
    </row>
    <row r="18" spans="2:12" ht="4.5" customHeight="1" x14ac:dyDescent="0.2">
      <c r="B18" s="1395"/>
      <c r="C18" s="1395"/>
      <c r="L18" s="1378"/>
    </row>
    <row r="19" spans="2:12" s="1279" customFormat="1" ht="13.5" customHeight="1" x14ac:dyDescent="0.2">
      <c r="B19" s="1390" t="s">
        <v>1832</v>
      </c>
      <c r="C19" s="1390"/>
      <c r="D19" s="1391"/>
      <c r="E19" s="1391"/>
      <c r="F19" s="1391"/>
      <c r="G19" s="1392"/>
      <c r="H19" s="1391"/>
      <c r="I19" s="1392"/>
      <c r="J19" s="1391"/>
      <c r="K19" s="1391"/>
      <c r="L19" s="1393"/>
    </row>
    <row r="20" spans="2:12" ht="45.75" customHeight="1" x14ac:dyDescent="0.2">
      <c r="B20" s="2496"/>
      <c r="C20" s="2496"/>
      <c r="D20" s="2492"/>
      <c r="E20" s="2492"/>
      <c r="F20" s="2492"/>
      <c r="G20" s="2492"/>
      <c r="H20" s="2492"/>
      <c r="I20" s="2492"/>
      <c r="J20" s="2492"/>
      <c r="K20" s="2492"/>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2"/>
      <c r="C23" s="2492"/>
      <c r="D23" s="2492"/>
      <c r="E23" s="2492"/>
      <c r="F23" s="2492"/>
      <c r="G23" s="2492"/>
      <c r="H23" s="2492"/>
      <c r="I23" s="2492"/>
      <c r="J23" s="2492"/>
      <c r="K23" s="2492"/>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2"/>
      <c r="C26" s="2492"/>
      <c r="D26" s="2492"/>
      <c r="E26" s="2492"/>
      <c r="F26" s="2492"/>
      <c r="G26" s="2492"/>
      <c r="H26" s="2492"/>
      <c r="I26" s="2492"/>
      <c r="J26" s="2492"/>
      <c r="K26" s="2492"/>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1"/>
      <c r="C29" s="2491"/>
      <c r="D29" s="2492"/>
      <c r="E29" s="2492"/>
      <c r="F29" s="2492"/>
      <c r="G29" s="2492"/>
      <c r="H29" s="2492"/>
      <c r="I29" s="2492"/>
      <c r="J29" s="2492"/>
      <c r="K29" s="2492"/>
      <c r="L29" s="1378"/>
    </row>
    <row r="30" spans="2:12" ht="4.5" customHeight="1" x14ac:dyDescent="0.2">
      <c r="B30" s="1399"/>
      <c r="C30" s="1399"/>
      <c r="D30" s="319"/>
      <c r="E30" s="319"/>
      <c r="F30" s="319"/>
      <c r="G30" s="1380"/>
      <c r="H30" s="319"/>
      <c r="I30" s="1380"/>
      <c r="J30" s="319"/>
      <c r="K30" s="319"/>
      <c r="L30" s="1378"/>
    </row>
    <row r="31" spans="2:12" s="319" customFormat="1" ht="13.5" customHeight="1" x14ac:dyDescent="0.2">
      <c r="B31" s="1400" t="s">
        <v>1833</v>
      </c>
      <c r="C31" s="1400"/>
      <c r="D31" s="1375"/>
      <c r="E31" s="1376"/>
      <c r="F31" s="1376"/>
      <c r="G31" s="1377"/>
      <c r="H31" s="1376"/>
      <c r="I31" s="1377"/>
      <c r="J31" s="1376"/>
      <c r="K31" s="1376"/>
      <c r="L31" s="1378"/>
    </row>
    <row r="32" spans="2:12" s="319" customFormat="1" ht="44.25" customHeight="1" x14ac:dyDescent="0.2">
      <c r="B32" s="2491"/>
      <c r="C32" s="2491"/>
      <c r="D32" s="2492"/>
      <c r="E32" s="2492"/>
      <c r="F32" s="2492"/>
      <c r="G32" s="2492"/>
      <c r="H32" s="2492"/>
      <c r="I32" s="2492"/>
      <c r="J32" s="2492"/>
      <c r="K32" s="2492"/>
      <c r="L32" s="1378"/>
    </row>
    <row r="33" spans="1:13" s="319" customFormat="1" ht="4.5" customHeight="1" x14ac:dyDescent="0.2">
      <c r="B33" s="1399"/>
      <c r="C33" s="1399"/>
      <c r="G33" s="1380"/>
      <c r="I33" s="1380"/>
      <c r="L33" s="1378"/>
    </row>
    <row r="34" spans="1:13" s="319" customFormat="1" x14ac:dyDescent="0.2">
      <c r="A34" s="1294"/>
      <c r="B34" s="1414"/>
      <c r="C34" s="1414"/>
      <c r="D34" s="1414"/>
      <c r="E34" s="1414"/>
      <c r="F34" s="1414"/>
      <c r="G34" s="1415"/>
      <c r="H34" s="1414"/>
      <c r="I34" s="1415"/>
      <c r="J34" s="1414"/>
      <c r="K34" s="1414"/>
      <c r="L34" s="1378"/>
    </row>
    <row r="35" spans="1:13" ht="11.85" customHeight="1" x14ac:dyDescent="0.2">
      <c r="B35" s="1416" t="s">
        <v>1834</v>
      </c>
      <c r="C35" s="1416"/>
      <c r="D35" s="319"/>
      <c r="E35" s="319"/>
      <c r="F35" s="319"/>
      <c r="L35" s="1378"/>
    </row>
    <row r="36" spans="1:13" ht="9.6" customHeight="1" x14ac:dyDescent="0.2">
      <c r="B36" s="1297" t="s">
        <v>1939</v>
      </c>
      <c r="C36" s="1297"/>
      <c r="L36" s="1378"/>
    </row>
    <row r="37" spans="1:13" ht="9.6" customHeight="1" x14ac:dyDescent="0.2">
      <c r="B37" s="1297" t="s">
        <v>1940</v>
      </c>
      <c r="C37" s="1297"/>
    </row>
    <row r="38" spans="1:13" ht="11.85" customHeight="1" x14ac:dyDescent="0.2">
      <c r="B38" s="1417" t="s">
        <v>1835</v>
      </c>
      <c r="C38" s="1417"/>
    </row>
    <row r="39" spans="1:13" ht="9.6" customHeight="1" x14ac:dyDescent="0.2">
      <c r="B39" s="1297" t="s">
        <v>1348</v>
      </c>
      <c r="C39" s="1297"/>
      <c r="M39" s="1418"/>
    </row>
    <row r="40" spans="1:13" ht="12.6" customHeight="1" x14ac:dyDescent="0.2">
      <c r="B40" s="1417" t="s">
        <v>1836</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4" customWidth="1"/>
    <col min="2" max="2" width="21.5703125" style="314" customWidth="1"/>
    <col min="3" max="3" width="6.140625" style="314" customWidth="1"/>
    <col min="4" max="4" width="4.7109375" style="314" customWidth="1"/>
    <col min="5" max="5" width="3.5703125" style="314" customWidth="1"/>
    <col min="6" max="6" width="20.140625" style="314" customWidth="1"/>
    <col min="7" max="7" width="3.5703125" style="1255" customWidth="1"/>
    <col min="8" max="8" width="10.5703125" style="314" customWidth="1"/>
    <col min="9" max="9" width="3.42578125" style="1255" customWidth="1"/>
    <col min="10" max="10" width="15.5703125" style="314" customWidth="1"/>
    <col min="11" max="11" width="8.5703125" style="314" customWidth="1"/>
    <col min="12" max="12" width="1.5703125" style="314" customWidth="1"/>
    <col min="13" max="13" width="3.42578125" style="314" customWidth="1"/>
    <col min="14" max="16384" width="9.140625" style="314"/>
  </cols>
  <sheetData>
    <row r="1" spans="1:12" ht="12.75" customHeight="1" x14ac:dyDescent="0.2">
      <c r="B1" s="2497" t="str">
        <f>'Single Audit Cover'!A7</f>
        <v>Livingston Area Career Center</v>
      </c>
      <c r="C1" s="2497"/>
      <c r="D1" s="2497"/>
      <c r="E1" s="2497"/>
      <c r="F1" s="2497"/>
      <c r="G1" s="2497"/>
      <c r="H1" s="2497"/>
      <c r="I1" s="2497"/>
      <c r="J1" s="2497"/>
      <c r="K1" s="2497"/>
      <c r="L1" s="1462"/>
    </row>
    <row r="2" spans="1:12" ht="12.75" customHeight="1" x14ac:dyDescent="0.2">
      <c r="B2" s="2498">
        <f>'Single Audit Cover'!E7</f>
        <v>17053090041</v>
      </c>
      <c r="C2" s="2498"/>
      <c r="D2" s="2498"/>
      <c r="E2" s="2498"/>
      <c r="F2" s="2498"/>
      <c r="G2" s="2498"/>
      <c r="H2" s="2498"/>
      <c r="I2" s="2498"/>
      <c r="J2" s="2498"/>
      <c r="K2" s="2498"/>
      <c r="L2" s="1463"/>
    </row>
    <row r="3" spans="1:12" ht="12.75" customHeight="1" x14ac:dyDescent="0.2">
      <c r="B3" s="2493" t="s">
        <v>1347</v>
      </c>
      <c r="C3" s="2493"/>
      <c r="D3" s="2493"/>
      <c r="E3" s="2493"/>
      <c r="F3" s="2493"/>
      <c r="G3" s="2493"/>
      <c r="H3" s="2493"/>
      <c r="I3" s="2493"/>
      <c r="J3" s="2493"/>
      <c r="K3" s="2493"/>
      <c r="L3" s="1374"/>
    </row>
    <row r="4" spans="1:12" ht="12.75" customHeight="1" x14ac:dyDescent="0.2">
      <c r="B4" s="2493" t="str">
        <f>'Single Audit Cover'!A4</f>
        <v>Year Ending June 30, 2018</v>
      </c>
      <c r="C4" s="2493"/>
      <c r="D4" s="2493"/>
      <c r="E4" s="2493"/>
      <c r="F4" s="2493"/>
      <c r="G4" s="2493"/>
      <c r="H4" s="2493"/>
      <c r="I4" s="2493"/>
      <c r="J4" s="2493"/>
      <c r="K4" s="2493"/>
      <c r="L4" s="1374"/>
    </row>
    <row r="5" spans="1:12" ht="5.25" customHeight="1" x14ac:dyDescent="0.2">
      <c r="B5" s="1257" t="s">
        <v>1231</v>
      </c>
      <c r="C5" s="1257"/>
      <c r="L5" s="319"/>
    </row>
    <row r="6" spans="1:12" ht="30.75" customHeight="1" x14ac:dyDescent="0.2">
      <c r="A6" s="319"/>
      <c r="B6" s="2499" t="s">
        <v>1375</v>
      </c>
      <c r="C6" s="2499"/>
      <c r="D6" s="2499"/>
      <c r="E6" s="2499"/>
      <c r="F6" s="2499"/>
      <c r="G6" s="2499"/>
      <c r="H6" s="2499"/>
      <c r="I6" s="2499"/>
      <c r="J6" s="2499"/>
      <c r="K6" s="2499"/>
      <c r="L6" s="319"/>
    </row>
    <row r="7" spans="1:12" ht="4.5" customHeight="1" x14ac:dyDescent="0.2">
      <c r="B7" s="1376"/>
      <c r="C7" s="1376"/>
      <c r="D7" s="1376"/>
      <c r="E7" s="1376"/>
      <c r="F7" s="1376"/>
      <c r="G7" s="1377"/>
      <c r="H7" s="1376"/>
      <c r="I7" s="1377"/>
      <c r="J7" s="1376"/>
      <c r="K7" s="1376"/>
      <c r="L7" s="319"/>
    </row>
    <row r="8" spans="1:12" ht="13.5" customHeight="1" x14ac:dyDescent="0.2">
      <c r="B8" s="1384" t="s">
        <v>1845</v>
      </c>
      <c r="C8" s="1464" t="s">
        <v>1938</v>
      </c>
      <c r="D8" s="1465"/>
      <c r="E8" s="319"/>
      <c r="F8" s="1381" t="s">
        <v>1362</v>
      </c>
      <c r="G8" s="1466"/>
      <c r="H8" s="1467" t="s">
        <v>1374</v>
      </c>
      <c r="I8" s="1466"/>
      <c r="J8" s="1468" t="s">
        <v>1373</v>
      </c>
      <c r="L8" s="319"/>
    </row>
    <row r="9" spans="1:12" ht="13.5" customHeight="1" x14ac:dyDescent="0.2">
      <c r="D9" s="319"/>
      <c r="E9" s="319"/>
      <c r="F9" s="319"/>
      <c r="G9" s="1380"/>
      <c r="H9" s="319"/>
      <c r="I9" s="1469" t="s">
        <v>1359</v>
      </c>
      <c r="J9" s="319"/>
      <c r="K9" s="1470"/>
      <c r="L9" s="319"/>
    </row>
    <row r="10" spans="1:12" ht="4.5" customHeight="1" x14ac:dyDescent="0.2">
      <c r="B10" s="1471"/>
      <c r="C10" s="1471"/>
      <c r="D10" s="1424"/>
      <c r="E10" s="1424"/>
      <c r="F10" s="1424"/>
      <c r="G10" s="1425"/>
      <c r="H10" s="1424"/>
      <c r="I10" s="1425"/>
      <c r="J10" s="1424"/>
      <c r="K10" s="1424"/>
      <c r="L10" s="319"/>
    </row>
    <row r="11" spans="1:12" ht="5.25" customHeight="1" x14ac:dyDescent="0.2">
      <c r="B11" s="319"/>
      <c r="C11" s="319"/>
      <c r="D11" s="302"/>
      <c r="E11" s="319"/>
      <c r="F11" s="319"/>
      <c r="G11" s="1380"/>
      <c r="H11" s="319"/>
      <c r="I11" s="1380"/>
      <c r="J11" s="319"/>
      <c r="K11" s="1429"/>
      <c r="L11" s="319"/>
    </row>
    <row r="12" spans="1:12" ht="13.5" customHeight="1" x14ac:dyDescent="0.2">
      <c r="B12" s="1381" t="s">
        <v>1372</v>
      </c>
      <c r="C12" s="1381"/>
      <c r="D12" s="302"/>
      <c r="E12" s="319"/>
      <c r="F12" s="2477"/>
      <c r="G12" s="2477"/>
      <c r="H12" s="2477"/>
      <c r="I12" s="2477"/>
      <c r="J12" s="2477"/>
      <c r="K12" s="2477"/>
      <c r="L12" s="319"/>
    </row>
    <row r="13" spans="1:12" ht="9.6" customHeight="1" x14ac:dyDescent="0.2">
      <c r="B13" s="1254"/>
      <c r="C13" s="1254"/>
      <c r="D13" s="302"/>
      <c r="E13" s="319"/>
      <c r="F13" s="319"/>
      <c r="G13" s="1380"/>
      <c r="H13" s="319"/>
      <c r="I13" s="1380"/>
      <c r="J13" s="319"/>
      <c r="K13" s="1429"/>
      <c r="L13" s="319"/>
    </row>
    <row r="14" spans="1:12" ht="13.5" customHeight="1" x14ac:dyDescent="0.2">
      <c r="B14" s="1384" t="s">
        <v>1371</v>
      </c>
      <c r="C14" s="1384"/>
      <c r="D14" s="2500"/>
      <c r="E14" s="2500"/>
      <c r="F14" s="2500"/>
      <c r="H14" s="1472" t="s">
        <v>1370</v>
      </c>
      <c r="I14" s="2501"/>
      <c r="J14" s="2501"/>
      <c r="K14" s="2501"/>
      <c r="L14" s="319"/>
    </row>
    <row r="15" spans="1:12" ht="9.4" customHeight="1" x14ac:dyDescent="0.2">
      <c r="B15" s="1384"/>
      <c r="C15" s="1384"/>
      <c r="D15" s="1370"/>
      <c r="E15" s="1257"/>
      <c r="F15" s="1257"/>
      <c r="G15" s="1283"/>
      <c r="H15" s="1257"/>
      <c r="I15" s="1473"/>
      <c r="J15" s="1291"/>
      <c r="K15" s="1288"/>
      <c r="L15" s="319"/>
    </row>
    <row r="16" spans="1:12" ht="13.5" customHeight="1" x14ac:dyDescent="0.2">
      <c r="B16" s="1384" t="s">
        <v>1369</v>
      </c>
      <c r="C16" s="1384"/>
      <c r="D16" s="2501"/>
      <c r="E16" s="2501"/>
      <c r="F16" s="2501"/>
      <c r="G16" s="2501"/>
      <c r="H16" s="2501"/>
      <c r="I16" s="2501"/>
      <c r="J16" s="2501"/>
      <c r="K16" s="2501"/>
      <c r="L16" s="319"/>
    </row>
    <row r="17" spans="2:12" ht="13.5" customHeight="1" x14ac:dyDescent="0.2">
      <c r="B17" s="1384" t="s">
        <v>1368</v>
      </c>
      <c r="C17" s="1384"/>
      <c r="D17" s="2502"/>
      <c r="E17" s="2502"/>
      <c r="F17" s="2502"/>
      <c r="G17" s="2502"/>
      <c r="H17" s="2502"/>
      <c r="I17" s="2502"/>
      <c r="J17" s="2502"/>
      <c r="K17" s="2502"/>
      <c r="L17" s="319"/>
    </row>
    <row r="18" spans="2:12" ht="9.4" customHeight="1" x14ac:dyDescent="0.2">
      <c r="B18" s="1424"/>
      <c r="C18" s="1424"/>
      <c r="D18" s="1424"/>
      <c r="E18" s="1424"/>
      <c r="F18" s="1424"/>
      <c r="G18" s="1425"/>
      <c r="H18" s="1424"/>
      <c r="I18" s="1425"/>
      <c r="J18" s="1424"/>
      <c r="K18" s="1424"/>
      <c r="L18" s="319"/>
    </row>
    <row r="19" spans="2:12" ht="13.5" customHeight="1" x14ac:dyDescent="0.2">
      <c r="B19" s="1474" t="s">
        <v>1367</v>
      </c>
      <c r="C19" s="1474"/>
      <c r="D19" s="325"/>
      <c r="E19" s="325"/>
      <c r="F19" s="325"/>
      <c r="G19" s="1475"/>
      <c r="H19" s="325"/>
      <c r="I19" s="1475"/>
      <c r="J19" s="319"/>
      <c r="K19" s="319"/>
      <c r="L19" s="319"/>
    </row>
    <row r="20" spans="2:12" ht="35.25" customHeight="1" x14ac:dyDescent="0.2">
      <c r="B20" s="2492"/>
      <c r="C20" s="2492"/>
      <c r="D20" s="2492"/>
      <c r="E20" s="2492"/>
      <c r="F20" s="2492"/>
      <c r="G20" s="2492"/>
      <c r="H20" s="2492"/>
      <c r="I20" s="2492"/>
      <c r="J20" s="2492"/>
      <c r="K20" s="2492"/>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1846</v>
      </c>
      <c r="C22" s="1474"/>
      <c r="D22" s="319"/>
      <c r="E22" s="319"/>
      <c r="F22" s="319"/>
      <c r="G22" s="1380"/>
      <c r="H22" s="319"/>
      <c r="I22" s="1380"/>
      <c r="J22" s="319"/>
      <c r="K22" s="319"/>
      <c r="L22" s="319"/>
    </row>
    <row r="23" spans="2:12" ht="37.5" customHeight="1" x14ac:dyDescent="0.2">
      <c r="B23" s="2492"/>
      <c r="C23" s="2492"/>
      <c r="D23" s="2492"/>
      <c r="E23" s="2492"/>
      <c r="F23" s="2492"/>
      <c r="G23" s="2492"/>
      <c r="H23" s="2492"/>
      <c r="I23" s="2492"/>
      <c r="J23" s="2492"/>
      <c r="K23" s="2492"/>
      <c r="L23" s="319"/>
    </row>
    <row r="24" spans="2:12" ht="4.5" customHeight="1" x14ac:dyDescent="0.2">
      <c r="B24" s="1476"/>
      <c r="C24" s="1476"/>
      <c r="D24" s="1424"/>
      <c r="E24" s="1424"/>
      <c r="F24" s="1424"/>
      <c r="G24" s="1425"/>
      <c r="H24" s="1424"/>
      <c r="I24" s="1425"/>
      <c r="J24" s="1424"/>
      <c r="K24" s="1424"/>
      <c r="L24" s="319"/>
    </row>
    <row r="25" spans="2:12" ht="13.5" customHeight="1" x14ac:dyDescent="0.2">
      <c r="B25" s="1474" t="s">
        <v>1847</v>
      </c>
      <c r="C25" s="1474"/>
      <c r="D25" s="319"/>
      <c r="E25" s="319"/>
      <c r="F25" s="319"/>
      <c r="G25" s="1380"/>
      <c r="H25" s="319"/>
      <c r="I25" s="1380"/>
      <c r="J25" s="319"/>
      <c r="K25" s="319"/>
      <c r="L25" s="319"/>
    </row>
    <row r="26" spans="2:12" ht="37.5" customHeight="1" x14ac:dyDescent="0.2">
      <c r="B26" s="2492"/>
      <c r="C26" s="2492"/>
      <c r="D26" s="2492"/>
      <c r="E26" s="2492"/>
      <c r="F26" s="2492"/>
      <c r="G26" s="2492"/>
      <c r="H26" s="2492"/>
      <c r="I26" s="2492"/>
      <c r="J26" s="2492"/>
      <c r="K26" s="2492"/>
      <c r="L26" s="319"/>
    </row>
    <row r="27" spans="2:12" ht="4.5" customHeight="1" x14ac:dyDescent="0.2">
      <c r="B27" s="1478"/>
      <c r="C27" s="1478"/>
      <c r="D27" s="1478"/>
      <c r="E27" s="1424"/>
      <c r="F27" s="1424"/>
      <c r="G27" s="1425"/>
      <c r="H27" s="1424"/>
      <c r="I27" s="1425"/>
      <c r="J27" s="1424"/>
      <c r="K27" s="1424"/>
      <c r="L27" s="319"/>
    </row>
    <row r="28" spans="2:12" ht="13.5" customHeight="1" x14ac:dyDescent="0.2">
      <c r="B28" s="1474" t="s">
        <v>1848</v>
      </c>
      <c r="C28" s="1474"/>
      <c r="D28" s="319"/>
      <c r="E28" s="319"/>
      <c r="F28" s="319"/>
      <c r="G28" s="1380"/>
      <c r="H28" s="319"/>
      <c r="I28" s="1380"/>
      <c r="J28" s="319"/>
      <c r="K28" s="319"/>
      <c r="L28" s="319"/>
    </row>
    <row r="29" spans="2:12" ht="37.5" customHeight="1" x14ac:dyDescent="0.2">
      <c r="B29" s="2492"/>
      <c r="C29" s="2492"/>
      <c r="D29" s="2492"/>
      <c r="E29" s="2492"/>
      <c r="F29" s="2492"/>
      <c r="G29" s="2492"/>
      <c r="H29" s="2492"/>
      <c r="I29" s="2492"/>
      <c r="J29" s="2492"/>
      <c r="K29" s="2492"/>
      <c r="L29" s="319"/>
    </row>
    <row r="30" spans="2:12" ht="4.5" customHeight="1" x14ac:dyDescent="0.2">
      <c r="B30" s="1476"/>
      <c r="C30" s="1476"/>
      <c r="D30" s="1424"/>
      <c r="E30" s="1424"/>
      <c r="F30" s="1424"/>
      <c r="G30" s="1425"/>
      <c r="H30" s="1424"/>
      <c r="I30" s="1425"/>
      <c r="J30" s="1424"/>
      <c r="K30" s="1424"/>
      <c r="L30" s="319"/>
    </row>
    <row r="31" spans="2:12" ht="13.5" customHeight="1" x14ac:dyDescent="0.2">
      <c r="B31" s="1474" t="s">
        <v>1366</v>
      </c>
      <c r="C31" s="1474"/>
      <c r="D31" s="319"/>
      <c r="E31" s="319"/>
      <c r="F31" s="319"/>
      <c r="G31" s="1380"/>
      <c r="H31" s="319"/>
      <c r="I31" s="1380"/>
      <c r="J31" s="319"/>
      <c r="K31" s="319"/>
      <c r="L31" s="319"/>
    </row>
    <row r="32" spans="2:12" ht="37.5" customHeight="1" x14ac:dyDescent="0.2">
      <c r="B32" s="2492"/>
      <c r="C32" s="2492"/>
      <c r="D32" s="2492"/>
      <c r="E32" s="2492"/>
      <c r="F32" s="2492"/>
      <c r="G32" s="2492"/>
      <c r="H32" s="2492"/>
      <c r="I32" s="2492"/>
      <c r="J32" s="2492"/>
      <c r="K32" s="2492"/>
      <c r="L32" s="319"/>
    </row>
    <row r="33" spans="2:12" ht="4.5" customHeight="1" x14ac:dyDescent="0.2">
      <c r="B33" s="1476"/>
      <c r="C33" s="1476"/>
      <c r="D33" s="1424"/>
      <c r="E33" s="1424"/>
      <c r="F33" s="1424"/>
      <c r="G33" s="1425"/>
      <c r="H33" s="1424"/>
      <c r="I33" s="1425"/>
      <c r="J33" s="1424"/>
      <c r="K33" s="1424"/>
      <c r="L33" s="319"/>
    </row>
    <row r="34" spans="2:12" ht="13.5" customHeight="1" x14ac:dyDescent="0.2">
      <c r="B34" s="1381" t="s">
        <v>1365</v>
      </c>
      <c r="C34" s="1381"/>
      <c r="D34" s="319"/>
      <c r="E34" s="319"/>
      <c r="F34" s="319"/>
      <c r="G34" s="1380"/>
      <c r="H34" s="319"/>
      <c r="I34" s="1380"/>
      <c r="J34" s="319"/>
      <c r="K34" s="319"/>
      <c r="L34" s="319"/>
    </row>
    <row r="35" spans="2:12" ht="37.5" customHeight="1" x14ac:dyDescent="0.2">
      <c r="B35" s="2492"/>
      <c r="C35" s="2492"/>
      <c r="D35" s="2492"/>
      <c r="E35" s="2492"/>
      <c r="F35" s="2492"/>
      <c r="G35" s="2492"/>
      <c r="H35" s="2492"/>
      <c r="I35" s="2492"/>
      <c r="J35" s="2492"/>
      <c r="K35" s="2492"/>
      <c r="L35" s="319"/>
    </row>
    <row r="36" spans="2:12" ht="4.5" customHeight="1" x14ac:dyDescent="0.2">
      <c r="B36" s="1476"/>
      <c r="C36" s="1476"/>
      <c r="D36" s="1424"/>
      <c r="E36" s="1424"/>
      <c r="F36" s="1424"/>
      <c r="G36" s="1425"/>
      <c r="H36" s="1424"/>
      <c r="I36" s="1425"/>
      <c r="J36" s="1424"/>
      <c r="K36" s="1424"/>
      <c r="L36" s="319"/>
    </row>
    <row r="37" spans="2:12" ht="13.5" customHeight="1" x14ac:dyDescent="0.2">
      <c r="B37" s="1381" t="s">
        <v>1364</v>
      </c>
      <c r="C37" s="1381"/>
      <c r="D37" s="319"/>
      <c r="E37" s="319"/>
      <c r="F37" s="319"/>
      <c r="G37" s="1380"/>
      <c r="H37" s="319"/>
      <c r="I37" s="1380"/>
      <c r="J37" s="319"/>
      <c r="K37" s="319"/>
      <c r="L37" s="319"/>
    </row>
    <row r="38" spans="2:12" ht="35.25" customHeight="1" x14ac:dyDescent="0.2">
      <c r="B38" s="2492"/>
      <c r="C38" s="2492"/>
      <c r="D38" s="2492"/>
      <c r="E38" s="2492"/>
      <c r="F38" s="2492"/>
      <c r="G38" s="2492"/>
      <c r="H38" s="2492"/>
      <c r="I38" s="2492"/>
      <c r="J38" s="2492"/>
      <c r="K38" s="2492"/>
      <c r="L38" s="319"/>
    </row>
    <row r="39" spans="2:12" ht="4.5" customHeight="1" x14ac:dyDescent="0.2">
      <c r="B39" s="1399"/>
      <c r="C39" s="1399"/>
      <c r="D39" s="319"/>
      <c r="E39" s="319"/>
      <c r="F39" s="319"/>
      <c r="G39" s="1380"/>
      <c r="H39" s="319"/>
      <c r="I39" s="1380"/>
      <c r="J39" s="319"/>
      <c r="K39" s="319"/>
      <c r="L39" s="319"/>
    </row>
    <row r="40" spans="2:12" s="319" customFormat="1" ht="13.5" customHeight="1" x14ac:dyDescent="0.2">
      <c r="B40" s="1400" t="s">
        <v>1849</v>
      </c>
      <c r="C40" s="1400"/>
      <c r="D40" s="1375"/>
      <c r="E40" s="1376"/>
      <c r="F40" s="1376"/>
      <c r="G40" s="1377"/>
      <c r="H40" s="1376"/>
      <c r="I40" s="1377"/>
      <c r="J40" s="1376"/>
      <c r="K40" s="1376"/>
    </row>
    <row r="41" spans="2:12" s="319" customFormat="1" ht="33.75" customHeight="1" x14ac:dyDescent="0.2">
      <c r="B41" s="2492"/>
      <c r="C41" s="2492"/>
      <c r="D41" s="2492"/>
      <c r="E41" s="2492"/>
      <c r="F41" s="2492"/>
      <c r="G41" s="2492"/>
      <c r="H41" s="2492"/>
      <c r="I41" s="2492"/>
      <c r="J41" s="2492"/>
      <c r="K41" s="2492"/>
    </row>
    <row r="42" spans="2:12" s="319" customFormat="1" ht="4.5" customHeight="1" x14ac:dyDescent="0.2">
      <c r="B42" s="1399"/>
      <c r="C42" s="1399"/>
      <c r="G42" s="1380"/>
      <c r="I42" s="1380"/>
    </row>
    <row r="43" spans="2:12" s="319" customFormat="1" ht="13.5" customHeight="1" x14ac:dyDescent="0.2">
      <c r="B43" s="1479" t="s">
        <v>1353</v>
      </c>
      <c r="C43" s="1480"/>
      <c r="D43" s="1401"/>
      <c r="E43" s="1401"/>
      <c r="F43" s="1401"/>
      <c r="G43" s="1402"/>
      <c r="H43" s="1401"/>
      <c r="I43" s="1402"/>
      <c r="J43" s="1401"/>
      <c r="K43" s="1403"/>
      <c r="L43" s="1481"/>
    </row>
    <row r="44" spans="2:12" s="319" customFormat="1" ht="13.5" customHeight="1" x14ac:dyDescent="0.2">
      <c r="B44" s="1404" t="s">
        <v>1352</v>
      </c>
      <c r="C44" s="1405"/>
      <c r="D44" s="1482"/>
      <c r="E44" s="1406"/>
      <c r="F44" s="1410" t="s">
        <v>1351</v>
      </c>
      <c r="G44" s="1408"/>
      <c r="H44" s="1407"/>
      <c r="I44" s="1408"/>
      <c r="J44" s="1483"/>
      <c r="K44" s="1484"/>
      <c r="L44" s="1481"/>
    </row>
    <row r="45" spans="2:12" s="319" customFormat="1" ht="13.5" customHeight="1" x14ac:dyDescent="0.2">
      <c r="B45" s="1404" t="s">
        <v>1350</v>
      </c>
      <c r="C45" s="1405"/>
      <c r="D45" s="1483"/>
      <c r="E45" s="1407"/>
      <c r="F45" s="1410" t="s">
        <v>1349</v>
      </c>
      <c r="G45" s="1408"/>
      <c r="H45" s="1407"/>
      <c r="I45" s="1408"/>
      <c r="J45" s="1483"/>
      <c r="K45" s="1484"/>
      <c r="L45" s="1481"/>
    </row>
    <row r="46" spans="2:12" s="319"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1850</v>
      </c>
      <c r="C48" s="1416"/>
      <c r="D48" s="319"/>
      <c r="E48" s="319"/>
      <c r="F48" s="319"/>
    </row>
    <row r="49" spans="2:3" s="314" customFormat="1" ht="10.5" customHeight="1" x14ac:dyDescent="0.2">
      <c r="B49" s="1417" t="s">
        <v>1851</v>
      </c>
      <c r="C49" s="1417"/>
    </row>
    <row r="50" spans="2:3" s="314" customFormat="1" ht="11.1" customHeight="1" x14ac:dyDescent="0.2">
      <c r="B50" s="1417" t="s">
        <v>1852</v>
      </c>
      <c r="C50" s="1417"/>
    </row>
    <row r="51" spans="2:3" s="314" customFormat="1" ht="11.1" customHeight="1" x14ac:dyDescent="0.2">
      <c r="B51" s="1417" t="s">
        <v>1853</v>
      </c>
      <c r="C51" s="1417"/>
    </row>
    <row r="52" spans="2:3" s="314" customFormat="1" ht="11.1" customHeight="1" x14ac:dyDescent="0.2">
      <c r="B52" s="1417" t="s">
        <v>1854</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4" customWidth="1"/>
    <col min="2" max="2" width="14.7109375" style="314" customWidth="1"/>
    <col min="3" max="3" width="40.7109375" style="314" customWidth="1"/>
    <col min="4" max="4" width="42.28515625" style="314" customWidth="1"/>
    <col min="5" max="5" width="8.140625" style="314" customWidth="1"/>
    <col min="6" max="9" width="9.140625" style="314"/>
    <col min="10" max="10" width="6.7109375" style="314" customWidth="1"/>
    <col min="11" max="16384" width="9.140625" style="314"/>
  </cols>
  <sheetData>
    <row r="1" spans="2:5" s="1279" customFormat="1" ht="12.75" customHeight="1" x14ac:dyDescent="0.2">
      <c r="B1" s="2470" t="str">
        <f>'Single Audit Cover'!A7</f>
        <v>Livingston Area Career Center</v>
      </c>
      <c r="C1" s="2470"/>
      <c r="D1" s="2470"/>
      <c r="E1" s="1488"/>
    </row>
    <row r="2" spans="2:5" s="1279" customFormat="1" ht="12.75" customHeight="1" x14ac:dyDescent="0.2">
      <c r="B2" s="2472">
        <f>'Single Audit Cover'!E7</f>
        <v>17053090041</v>
      </c>
      <c r="C2" s="2472"/>
      <c r="D2" s="2472"/>
      <c r="E2" s="1489"/>
    </row>
    <row r="3" spans="2:5" ht="12.75" customHeight="1" x14ac:dyDescent="0.2">
      <c r="B3" s="2493" t="s">
        <v>1855</v>
      </c>
      <c r="C3" s="2493"/>
      <c r="D3" s="2493"/>
      <c r="E3" s="1271"/>
    </row>
    <row r="4" spans="2:5" s="1279" customFormat="1" ht="12.75" customHeight="1" x14ac:dyDescent="0.2">
      <c r="B4" s="2503" t="str">
        <f>'Single Audit Cover'!A4</f>
        <v>Year Ending June 30, 2018</v>
      </c>
      <c r="C4" s="2503"/>
      <c r="D4" s="2503"/>
      <c r="E4" s="1490"/>
    </row>
    <row r="5" spans="2:5" s="1279" customFormat="1" ht="40.15" customHeight="1" x14ac:dyDescent="0.2">
      <c r="B5" s="1491" t="s">
        <v>1856</v>
      </c>
      <c r="C5" s="325"/>
      <c r="D5" s="325"/>
      <c r="E5" s="325"/>
    </row>
    <row r="6" spans="2:5" s="1279" customFormat="1" ht="13.5" customHeight="1" x14ac:dyDescent="0.2">
      <c r="B6" s="1492" t="s">
        <v>1382</v>
      </c>
      <c r="C6" s="1492" t="s">
        <v>1381</v>
      </c>
      <c r="D6" s="1492" t="s">
        <v>1857</v>
      </c>
    </row>
    <row r="7" spans="2:5" ht="13.5" customHeight="1" x14ac:dyDescent="0.2">
      <c r="B7" s="1493"/>
      <c r="C7" s="321"/>
      <c r="D7" s="321"/>
      <c r="E7" s="321"/>
    </row>
    <row r="8" spans="2:5" ht="13.5" customHeight="1" x14ac:dyDescent="0.2">
      <c r="B8" s="1493"/>
      <c r="C8" s="321"/>
      <c r="D8" s="321"/>
      <c r="E8" s="321"/>
    </row>
    <row r="9" spans="2:5" ht="13.5" customHeight="1" x14ac:dyDescent="0.2">
      <c r="B9" s="1494"/>
      <c r="C9" s="320"/>
      <c r="D9" s="320"/>
      <c r="E9" s="320"/>
    </row>
    <row r="10" spans="2:5" ht="13.5" customHeight="1" x14ac:dyDescent="0.2">
      <c r="B10" s="1493"/>
      <c r="C10" s="320"/>
      <c r="D10" s="320"/>
      <c r="E10" s="320"/>
    </row>
    <row r="11" spans="2:5" ht="13.5" customHeight="1" x14ac:dyDescent="0.2">
      <c r="B11" s="1493"/>
      <c r="C11" s="320"/>
      <c r="D11" s="320"/>
      <c r="E11" s="320"/>
    </row>
    <row r="12" spans="2:5" ht="13.5" customHeight="1" x14ac:dyDescent="0.2">
      <c r="B12" s="1493"/>
      <c r="C12" s="320"/>
      <c r="D12" s="320"/>
      <c r="E12" s="320"/>
    </row>
    <row r="13" spans="2:5" ht="13.5" customHeight="1" x14ac:dyDescent="0.2">
      <c r="B13" s="1493"/>
      <c r="C13" s="320"/>
      <c r="D13" s="320"/>
      <c r="E13" s="320"/>
    </row>
    <row r="14" spans="2:5" ht="13.5" customHeight="1" x14ac:dyDescent="0.2">
      <c r="B14" s="1493"/>
      <c r="C14" s="320"/>
      <c r="D14" s="320"/>
      <c r="E14" s="320"/>
    </row>
    <row r="15" spans="2:5" ht="13.5" customHeight="1" x14ac:dyDescent="0.2">
      <c r="B15" s="1493"/>
      <c r="C15" s="320"/>
      <c r="D15" s="320"/>
      <c r="E15" s="320"/>
    </row>
    <row r="16" spans="2:5" ht="13.5" customHeight="1" x14ac:dyDescent="0.2">
      <c r="B16" s="1493"/>
      <c r="C16" s="320"/>
      <c r="D16" s="320"/>
      <c r="E16" s="320"/>
    </row>
    <row r="17" spans="2:5" ht="13.5" customHeight="1" x14ac:dyDescent="0.2">
      <c r="B17" s="1493"/>
      <c r="C17" s="320"/>
      <c r="D17" s="320"/>
      <c r="E17" s="320"/>
    </row>
    <row r="18" spans="2:5" ht="13.5" customHeight="1" x14ac:dyDescent="0.2">
      <c r="B18" s="1493"/>
      <c r="C18" s="320"/>
      <c r="D18" s="320"/>
      <c r="E18" s="320"/>
    </row>
    <row r="19" spans="2:5" ht="13.5" customHeight="1" x14ac:dyDescent="0.2">
      <c r="B19" s="1493"/>
      <c r="C19" s="320"/>
      <c r="D19" s="320"/>
      <c r="E19" s="320"/>
    </row>
    <row r="20" spans="2:5" ht="13.5" customHeight="1" x14ac:dyDescent="0.2">
      <c r="B20" s="1493"/>
      <c r="C20" s="320"/>
      <c r="D20" s="320"/>
      <c r="E20" s="320"/>
    </row>
    <row r="21" spans="2:5" ht="13.5" customHeight="1" x14ac:dyDescent="0.2">
      <c r="B21" s="1493"/>
      <c r="C21" s="320"/>
      <c r="D21" s="320"/>
      <c r="E21" s="320"/>
    </row>
    <row r="22" spans="2:5" ht="13.5" customHeight="1" x14ac:dyDescent="0.2">
      <c r="B22" s="1493"/>
      <c r="C22" s="320"/>
      <c r="D22" s="320"/>
      <c r="E22" s="320"/>
    </row>
    <row r="23" spans="2:5" ht="13.5" customHeight="1" x14ac:dyDescent="0.2">
      <c r="B23" s="1493"/>
      <c r="C23" s="320"/>
      <c r="D23" s="320"/>
      <c r="E23" s="320"/>
    </row>
    <row r="24" spans="2:5" ht="13.5" customHeight="1" x14ac:dyDescent="0.2">
      <c r="B24" s="1493"/>
      <c r="C24" s="320"/>
      <c r="D24" s="320"/>
      <c r="E24" s="320"/>
    </row>
    <row r="25" spans="2:5" ht="13.5" customHeight="1" x14ac:dyDescent="0.2">
      <c r="B25" s="1493"/>
      <c r="C25" s="320"/>
      <c r="D25" s="320"/>
      <c r="E25" s="320"/>
    </row>
    <row r="26" spans="2:5" ht="13.5" customHeight="1" x14ac:dyDescent="0.2">
      <c r="B26" s="1493"/>
      <c r="C26" s="320"/>
      <c r="D26" s="320"/>
      <c r="E26" s="320"/>
    </row>
    <row r="27" spans="2:5" ht="13.5" customHeight="1" x14ac:dyDescent="0.2">
      <c r="B27" s="1493"/>
      <c r="C27" s="320"/>
      <c r="D27" s="320"/>
      <c r="E27" s="320"/>
    </row>
    <row r="28" spans="2:5" ht="13.5" customHeight="1" x14ac:dyDescent="0.2">
      <c r="B28" s="1493"/>
      <c r="C28" s="320"/>
      <c r="D28" s="320"/>
      <c r="E28" s="320"/>
    </row>
    <row r="29" spans="2:5" ht="13.5" customHeight="1" x14ac:dyDescent="0.2">
      <c r="B29" s="1493"/>
      <c r="C29" s="320"/>
      <c r="D29" s="320"/>
      <c r="E29" s="320"/>
    </row>
    <row r="30" spans="2:5" ht="13.5" customHeight="1" x14ac:dyDescent="0.2">
      <c r="B30" s="1493"/>
      <c r="C30" s="320"/>
      <c r="D30" s="320"/>
      <c r="E30" s="320"/>
    </row>
    <row r="31" spans="2:5" ht="13.5" customHeight="1" x14ac:dyDescent="0.2">
      <c r="B31" s="1493"/>
      <c r="C31" s="320"/>
      <c r="D31" s="320"/>
      <c r="E31" s="320"/>
    </row>
    <row r="32" spans="2:5" ht="13.5" customHeight="1" x14ac:dyDescent="0.2">
      <c r="B32" s="1495"/>
      <c r="C32" s="320"/>
      <c r="D32" s="320"/>
      <c r="E32" s="320"/>
    </row>
    <row r="33" spans="2:5" ht="13.5" customHeight="1" x14ac:dyDescent="0.2">
      <c r="B33" s="1496"/>
      <c r="C33" s="320"/>
      <c r="D33" s="320"/>
      <c r="E33" s="320"/>
    </row>
    <row r="34" spans="2:5" ht="13.5" customHeight="1" x14ac:dyDescent="0.2">
      <c r="B34" s="1497"/>
      <c r="C34" s="320"/>
      <c r="D34" s="320"/>
      <c r="E34" s="320"/>
    </row>
    <row r="35" spans="2:5" ht="13.5" customHeight="1" x14ac:dyDescent="0.2">
      <c r="B35" s="1496"/>
      <c r="C35" s="320"/>
      <c r="D35" s="320"/>
      <c r="E35" s="320"/>
    </row>
    <row r="36" spans="2:5" ht="13.5" customHeight="1" x14ac:dyDescent="0.2">
      <c r="B36" s="1497"/>
      <c r="C36" s="320"/>
      <c r="D36" s="320"/>
      <c r="E36" s="320"/>
    </row>
    <row r="37" spans="2:5" ht="13.5" customHeight="1" x14ac:dyDescent="0.2">
      <c r="B37" s="1497"/>
      <c r="C37" s="320"/>
      <c r="D37" s="320"/>
      <c r="E37" s="320"/>
    </row>
    <row r="38" spans="2:5" ht="13.5" customHeight="1" x14ac:dyDescent="0.2">
      <c r="B38" s="1496"/>
      <c r="C38" s="320"/>
      <c r="D38" s="320"/>
      <c r="E38" s="320"/>
    </row>
    <row r="39" spans="2:5" ht="13.5" customHeight="1" x14ac:dyDescent="0.2">
      <c r="B39" s="1497"/>
      <c r="C39" s="320"/>
      <c r="D39" s="320"/>
      <c r="E39" s="320"/>
    </row>
    <row r="40" spans="2:5" ht="13.5" customHeight="1" x14ac:dyDescent="0.2">
      <c r="B40" s="1496"/>
      <c r="C40" s="320"/>
      <c r="D40" s="320"/>
      <c r="E40" s="320"/>
    </row>
    <row r="41" spans="2:5" ht="13.5" customHeight="1" x14ac:dyDescent="0.2">
      <c r="B41" s="1498"/>
      <c r="C41" s="320"/>
      <c r="D41" s="320"/>
      <c r="E41" s="320"/>
    </row>
    <row r="42" spans="2:5" ht="13.5" customHeight="1" x14ac:dyDescent="0.2">
      <c r="B42" s="1499"/>
      <c r="C42" s="320"/>
      <c r="D42" s="320"/>
      <c r="E42" s="320"/>
    </row>
    <row r="43" spans="2:5" ht="12.75" customHeight="1" x14ac:dyDescent="0.2">
      <c r="B43" s="1500"/>
      <c r="C43" s="1501"/>
      <c r="D43" s="1501"/>
      <c r="E43" s="320"/>
    </row>
    <row r="44" spans="2:5" ht="12.2" customHeight="1" x14ac:dyDescent="0.2">
      <c r="B44" s="1254" t="s">
        <v>1380</v>
      </c>
      <c r="C44" s="319"/>
    </row>
    <row r="45" spans="2:5" ht="12.2" customHeight="1" x14ac:dyDescent="0.2">
      <c r="B45" s="1502" t="s">
        <v>1858</v>
      </c>
    </row>
    <row r="46" spans="2:5" ht="12.2" customHeight="1" x14ac:dyDescent="0.2">
      <c r="B46" s="1502" t="s">
        <v>1859</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19"/>
      <c r="C56" s="319"/>
      <c r="D56" s="319"/>
      <c r="E56" s="319"/>
    </row>
    <row r="57" spans="2:5" ht="12.75" customHeight="1" x14ac:dyDescent="0.2">
      <c r="B57" s="319"/>
      <c r="C57" s="319"/>
      <c r="D57" s="319"/>
      <c r="E57" s="319"/>
    </row>
    <row r="58" spans="2:5" ht="12.75" customHeight="1" x14ac:dyDescent="0.2">
      <c r="B58" s="319"/>
      <c r="C58" s="319"/>
      <c r="D58" s="319"/>
      <c r="E58" s="319"/>
    </row>
    <row r="59" spans="2:5" ht="12.75" customHeight="1" x14ac:dyDescent="0.2">
      <c r="B59" s="319"/>
      <c r="C59" s="319"/>
      <c r="D59" s="319"/>
      <c r="E59" s="319"/>
    </row>
    <row r="60" spans="2:5" ht="12.75" customHeight="1" x14ac:dyDescent="0.2">
      <c r="B60" s="319"/>
      <c r="C60" s="319"/>
      <c r="D60" s="319"/>
      <c r="E60" s="319"/>
    </row>
    <row r="61" spans="2:5" ht="12.75" customHeight="1" x14ac:dyDescent="0.2">
      <c r="B61" s="319"/>
      <c r="C61" s="319"/>
      <c r="D61" s="319"/>
      <c r="E61" s="319"/>
    </row>
    <row r="62" spans="2:5" ht="12.75" customHeight="1" x14ac:dyDescent="0.2">
      <c r="B62" s="319"/>
      <c r="C62" s="319"/>
      <c r="D62" s="319"/>
      <c r="E62" s="319"/>
    </row>
    <row r="63" spans="2:5" ht="12.75" customHeight="1" x14ac:dyDescent="0.2">
      <c r="B63" s="319"/>
      <c r="C63" s="319"/>
      <c r="D63" s="319"/>
      <c r="E63" s="319"/>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1" customWidth="1"/>
    <col min="2" max="2" width="2.7109375" style="344" customWidth="1"/>
    <col min="3" max="3" width="3.7109375" style="344" customWidth="1"/>
    <col min="4" max="4" width="14.7109375" style="344" customWidth="1"/>
    <col min="5" max="5" width="2.7109375" style="344" customWidth="1"/>
    <col min="6" max="6" width="14.7109375" style="344" customWidth="1"/>
    <col min="7" max="7" width="4" style="344" customWidth="1"/>
    <col min="8" max="8" width="14.7109375" style="344" customWidth="1"/>
    <col min="9" max="9" width="2.7109375" style="344" customWidth="1"/>
    <col min="10" max="10" width="14.7109375" style="344" customWidth="1"/>
    <col min="11" max="11" width="2.7109375" style="344" customWidth="1"/>
    <col min="12" max="12" width="14.7109375" style="344" customWidth="1"/>
    <col min="13" max="13" width="2.7109375" style="344" customWidth="1"/>
    <col min="14" max="14" width="3.7109375" style="221" customWidth="1"/>
    <col min="15" max="15" width="4.7109375" style="344" customWidth="1"/>
    <col min="16" max="17" width="5.7109375" style="344" customWidth="1"/>
    <col min="18" max="16384" width="9.140625" style="344"/>
  </cols>
  <sheetData>
    <row r="1" spans="1:14" ht="24" customHeight="1" x14ac:dyDescent="0.2">
      <c r="A1" s="2099" t="s">
        <v>404</v>
      </c>
      <c r="B1" s="2099"/>
      <c r="C1" s="2099"/>
      <c r="D1" s="2099"/>
      <c r="E1" s="2099"/>
      <c r="F1" s="2099"/>
      <c r="G1" s="2099"/>
      <c r="H1" s="2099"/>
      <c r="I1" s="2099"/>
      <c r="J1" s="2099"/>
      <c r="K1" s="2099"/>
      <c r="L1" s="2099"/>
      <c r="M1" s="2099"/>
      <c r="N1" s="343"/>
    </row>
    <row r="2" spans="1:14" ht="10.9" customHeight="1" x14ac:dyDescent="0.2">
      <c r="A2" s="343"/>
      <c r="B2" s="343"/>
      <c r="C2" s="343"/>
      <c r="D2" s="343"/>
      <c r="E2" s="343"/>
      <c r="F2" s="343"/>
      <c r="G2" s="343"/>
      <c r="H2" s="343"/>
      <c r="I2" s="343"/>
      <c r="J2" s="343"/>
      <c r="K2" s="343"/>
      <c r="L2" s="343"/>
      <c r="M2" s="343"/>
      <c r="N2" s="343"/>
    </row>
    <row r="3" spans="1:14" x14ac:dyDescent="0.2">
      <c r="A3" s="345" t="s">
        <v>901</v>
      </c>
      <c r="B3" s="343"/>
      <c r="C3" s="343"/>
      <c r="D3" s="343"/>
      <c r="E3" s="343"/>
      <c r="F3" s="343"/>
      <c r="G3" s="343"/>
      <c r="H3" s="343"/>
      <c r="I3" s="343"/>
      <c r="J3" s="343"/>
      <c r="K3" s="343"/>
      <c r="L3" s="343"/>
      <c r="M3" s="343"/>
      <c r="N3" s="343"/>
    </row>
    <row r="4" spans="1:14" ht="10.5" customHeight="1" x14ac:dyDescent="0.2">
      <c r="B4" s="221"/>
      <c r="C4" s="221"/>
      <c r="D4" s="221"/>
      <c r="E4" s="221"/>
      <c r="F4" s="221"/>
      <c r="G4" s="221"/>
      <c r="H4" s="221"/>
      <c r="I4" s="221"/>
      <c r="J4" s="221"/>
      <c r="K4" s="221"/>
      <c r="L4" s="221"/>
      <c r="M4" s="221"/>
    </row>
    <row r="5" spans="1:14" ht="14.25" customHeight="1" x14ac:dyDescent="0.2">
      <c r="A5" s="346" t="s">
        <v>478</v>
      </c>
      <c r="B5" s="346" t="s">
        <v>1732</v>
      </c>
      <c r="C5" s="221"/>
      <c r="D5" s="221"/>
      <c r="E5" s="221"/>
      <c r="F5" s="221"/>
      <c r="G5" s="221"/>
      <c r="H5" s="221"/>
      <c r="I5" s="221"/>
      <c r="J5" s="221"/>
      <c r="K5" s="347"/>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1" t="s">
        <v>1733</v>
      </c>
      <c r="E7" s="221"/>
      <c r="F7" s="348" t="s">
        <v>290</v>
      </c>
      <c r="G7" s="221"/>
      <c r="H7" s="221"/>
      <c r="I7" s="221"/>
      <c r="J7" s="349"/>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0" t="s">
        <v>1217</v>
      </c>
      <c r="E9" s="346"/>
      <c r="F9" s="351" t="s">
        <v>925</v>
      </c>
      <c r="G9" s="346"/>
      <c r="H9" s="350" t="s">
        <v>157</v>
      </c>
      <c r="I9" s="346"/>
      <c r="J9" s="351" t="s">
        <v>1059</v>
      </c>
      <c r="K9" s="346"/>
      <c r="L9" s="350" t="s">
        <v>427</v>
      </c>
      <c r="M9" s="221"/>
    </row>
    <row r="10" spans="1:14" ht="13.35" customHeight="1" x14ac:dyDescent="0.2">
      <c r="A10" s="341" t="s">
        <v>986</v>
      </c>
      <c r="C10" s="221"/>
      <c r="D10" s="352"/>
      <c r="E10" s="353" t="s">
        <v>1062</v>
      </c>
      <c r="F10" s="352"/>
      <c r="G10" s="353" t="s">
        <v>1062</v>
      </c>
      <c r="H10" s="352"/>
      <c r="I10" s="353" t="s">
        <v>1063</v>
      </c>
      <c r="J10" s="1751">
        <f>ROUND(D10+F10+H10,5)</f>
        <v>0</v>
      </c>
      <c r="K10" s="221"/>
      <c r="L10" s="352"/>
      <c r="M10" s="221"/>
    </row>
    <row r="11" spans="1:14" ht="7.5" customHeight="1" x14ac:dyDescent="0.2">
      <c r="B11" s="221"/>
      <c r="C11" s="221"/>
      <c r="D11" s="2109" t="str">
        <f>IF(SUM(J10)&lt;=0.0999999,"","Enter the Tax Rates by moving the decimal two places to the left.")</f>
        <v/>
      </c>
      <c r="E11" s="2110"/>
      <c r="F11" s="2110"/>
      <c r="G11" s="2110"/>
      <c r="H11" s="2110"/>
      <c r="I11" s="2110"/>
      <c r="J11" s="2110"/>
      <c r="K11" s="221"/>
      <c r="L11" s="354"/>
      <c r="M11" s="221"/>
    </row>
    <row r="12" spans="1:14" ht="10.5" hidden="1" customHeight="1" x14ac:dyDescent="0.2">
      <c r="B12" s="221"/>
      <c r="C12" s="221"/>
      <c r="D12" s="355"/>
      <c r="E12" s="356"/>
      <c r="F12" s="356"/>
      <c r="G12" s="356"/>
      <c r="H12" s="356"/>
      <c r="I12" s="356"/>
      <c r="J12" s="356"/>
      <c r="K12" s="221"/>
      <c r="L12" s="354"/>
      <c r="M12" s="221"/>
    </row>
    <row r="13" spans="1:14" ht="14.25" customHeight="1" x14ac:dyDescent="0.2">
      <c r="A13" s="346" t="s">
        <v>99</v>
      </c>
      <c r="B13" s="346" t="s">
        <v>1734</v>
      </c>
      <c r="C13" s="221"/>
      <c r="D13" s="221"/>
      <c r="E13" s="221"/>
      <c r="F13" s="221"/>
      <c r="G13" s="221"/>
      <c r="H13" s="221"/>
      <c r="I13" s="221"/>
      <c r="J13" s="221"/>
      <c r="K13" s="221"/>
      <c r="L13" s="221"/>
      <c r="M13" s="221"/>
    </row>
    <row r="14" spans="1:14" ht="10.9" customHeight="1" x14ac:dyDescent="0.2">
      <c r="A14" s="346"/>
      <c r="B14" s="221"/>
      <c r="C14" s="221"/>
      <c r="D14" s="221"/>
      <c r="E14" s="221"/>
      <c r="F14" s="221"/>
      <c r="G14" s="221"/>
      <c r="H14" s="221"/>
      <c r="I14" s="221"/>
      <c r="J14" s="221"/>
      <c r="K14" s="221"/>
      <c r="L14" s="221"/>
      <c r="M14" s="221"/>
    </row>
    <row r="15" spans="1:14" ht="22.5" x14ac:dyDescent="0.2">
      <c r="A15" s="346"/>
      <c r="B15" s="221"/>
      <c r="C15" s="221"/>
      <c r="D15" s="350" t="s">
        <v>548</v>
      </c>
      <c r="E15" s="221"/>
      <c r="F15" s="351" t="s">
        <v>1060</v>
      </c>
      <c r="G15" s="221"/>
      <c r="H15" s="351" t="s">
        <v>1061</v>
      </c>
      <c r="I15" s="221"/>
      <c r="J15" s="350" t="s">
        <v>410</v>
      </c>
      <c r="K15" s="221"/>
      <c r="L15" s="221"/>
      <c r="M15" s="221"/>
    </row>
    <row r="16" spans="1:14" ht="13.35" customHeight="1" x14ac:dyDescent="0.2">
      <c r="A16" s="346"/>
      <c r="B16" s="221"/>
      <c r="C16" s="221"/>
      <c r="D16" s="1752">
        <f>SUM('Acct Summary 7-8'!C8,'Acct Summary 7-8'!D8,'Acct Summary 7-8'!F8,'Acct Summary 7-8'!I8)</f>
        <v>881524</v>
      </c>
      <c r="E16" s="353"/>
      <c r="F16" s="1752">
        <f>SUM('Acct Summary 7-8'!C17,'Acct Summary 7-8'!D17,'Acct Summary 7-8'!F17)</f>
        <v>710892</v>
      </c>
      <c r="G16" s="353"/>
      <c r="H16" s="1752">
        <f>SUM(D16-F16)</f>
        <v>170632</v>
      </c>
      <c r="I16" s="221"/>
      <c r="J16" s="1752">
        <f>SUM('Acct Summary 7-8'!C81,'Acct Summary 7-8'!D81,'Acct Summary 7-8'!F81,'Acct Summary 7-8'!I81)</f>
        <v>760943</v>
      </c>
      <c r="K16" s="221"/>
      <c r="L16" s="221"/>
      <c r="M16" s="221"/>
    </row>
    <row r="17" spans="1:13" ht="12.2" customHeight="1" x14ac:dyDescent="0.2">
      <c r="A17" s="346"/>
      <c r="B17" s="258" t="s">
        <v>8</v>
      </c>
      <c r="C17" s="236" t="s">
        <v>1463</v>
      </c>
      <c r="D17" s="221"/>
      <c r="E17" s="221"/>
      <c r="F17" s="221"/>
      <c r="G17" s="221"/>
      <c r="H17" s="221"/>
      <c r="I17" s="221"/>
      <c r="J17" s="221"/>
      <c r="K17" s="221"/>
      <c r="L17" s="221"/>
      <c r="M17" s="221"/>
    </row>
    <row r="18" spans="1:13" ht="12.2" customHeight="1" x14ac:dyDescent="0.2">
      <c r="A18" s="346"/>
      <c r="B18" s="221"/>
      <c r="C18" s="236" t="s">
        <v>527</v>
      </c>
      <c r="D18" s="221"/>
      <c r="E18" s="221"/>
      <c r="F18" s="221"/>
      <c r="G18" s="221"/>
      <c r="H18" s="221"/>
      <c r="I18" s="221"/>
      <c r="J18" s="221"/>
      <c r="K18" s="221"/>
      <c r="L18" s="221"/>
      <c r="M18" s="221"/>
    </row>
    <row r="19" spans="1:13" s="326" customFormat="1" ht="10.5" customHeight="1" x14ac:dyDescent="0.2"/>
    <row r="20" spans="1:13" ht="12.75" customHeight="1" x14ac:dyDescent="0.2">
      <c r="A20" s="346" t="s">
        <v>866</v>
      </c>
      <c r="B20" s="346" t="s">
        <v>1735</v>
      </c>
      <c r="C20" s="221"/>
      <c r="D20" s="221"/>
      <c r="E20" s="221"/>
      <c r="F20" s="221"/>
      <c r="G20" s="221"/>
      <c r="H20" s="221"/>
      <c r="I20" s="221"/>
      <c r="J20" s="221"/>
      <c r="K20" s="221"/>
      <c r="L20" s="221"/>
      <c r="M20" s="221"/>
    </row>
    <row r="21" spans="1:13" x14ac:dyDescent="0.2">
      <c r="A21" s="346"/>
      <c r="B21" s="221"/>
      <c r="C21" s="221"/>
      <c r="D21" s="357" t="s">
        <v>412</v>
      </c>
      <c r="E21" s="358"/>
      <c r="F21" s="357" t="s">
        <v>411</v>
      </c>
      <c r="G21" s="358"/>
      <c r="H21" s="357" t="s">
        <v>413</v>
      </c>
      <c r="I21" s="358"/>
      <c r="J21" s="357" t="s">
        <v>43</v>
      </c>
      <c r="K21" s="358"/>
      <c r="L21" s="359" t="s">
        <v>566</v>
      </c>
      <c r="M21" s="221"/>
    </row>
    <row r="22" spans="1:13" ht="13.35" customHeight="1" x14ac:dyDescent="0.2">
      <c r="A22" s="346"/>
      <c r="B22" s="221"/>
      <c r="C22" s="221"/>
      <c r="D22" s="1752">
        <f>'Short-Term Long-Term Debt 24'!F4</f>
        <v>0</v>
      </c>
      <c r="E22" s="353" t="s">
        <v>1062</v>
      </c>
      <c r="F22" s="1752">
        <f>'Short-Term Long-Term Debt 24'!F15</f>
        <v>0</v>
      </c>
      <c r="G22" s="353" t="s">
        <v>1062</v>
      </c>
      <c r="H22" s="1752">
        <f>'Short-Term Long-Term Debt 24'!F21</f>
        <v>0</v>
      </c>
      <c r="I22" s="353" t="s">
        <v>1062</v>
      </c>
      <c r="J22" s="1752">
        <f>'Short-Term Long-Term Debt 24'!F23</f>
        <v>0</v>
      </c>
      <c r="K22" s="353" t="s">
        <v>1062</v>
      </c>
      <c r="L22" s="1752">
        <f>'Short-Term Long-Term Debt 24'!F25</f>
        <v>0</v>
      </c>
      <c r="M22" s="353" t="s">
        <v>1062</v>
      </c>
    </row>
    <row r="23" spans="1:13" ht="15" customHeight="1" x14ac:dyDescent="0.2">
      <c r="A23" s="346"/>
      <c r="B23" s="221"/>
      <c r="C23" s="221"/>
      <c r="D23" s="357" t="s">
        <v>1123</v>
      </c>
      <c r="E23" s="358"/>
      <c r="F23" s="357" t="s">
        <v>158</v>
      </c>
      <c r="G23" s="221"/>
      <c r="H23" s="221"/>
      <c r="I23" s="221"/>
      <c r="J23" s="221"/>
      <c r="K23" s="221"/>
      <c r="L23" s="221"/>
      <c r="M23" s="221"/>
    </row>
    <row r="24" spans="1:13" ht="13.35" customHeight="1" x14ac:dyDescent="0.2">
      <c r="A24" s="346"/>
      <c r="B24" s="221"/>
      <c r="C24" s="353"/>
      <c r="D24" s="1752">
        <f>'Short-Term Long-Term Debt 24'!F27</f>
        <v>0</v>
      </c>
      <c r="E24" s="353" t="s">
        <v>1063</v>
      </c>
      <c r="F24" s="1753">
        <f>SUM(D22,F22,H22,J22,L22, D24)</f>
        <v>0</v>
      </c>
      <c r="G24" s="221"/>
      <c r="H24" s="221"/>
      <c r="I24" s="221"/>
      <c r="J24" s="221"/>
      <c r="K24" s="221"/>
      <c r="L24" s="221"/>
      <c r="M24" s="221"/>
    </row>
    <row r="25" spans="1:13" ht="11.25" customHeight="1" x14ac:dyDescent="0.2">
      <c r="A25" s="346"/>
      <c r="B25" s="181" t="s">
        <v>9</v>
      </c>
      <c r="C25" s="236" t="s">
        <v>883</v>
      </c>
      <c r="D25" s="221"/>
      <c r="E25" s="221"/>
      <c r="F25" s="221"/>
      <c r="G25" s="221"/>
      <c r="H25" s="221"/>
      <c r="I25" s="221"/>
      <c r="J25" s="221"/>
      <c r="K25" s="221"/>
      <c r="L25" s="221"/>
      <c r="M25" s="221"/>
    </row>
    <row r="26" spans="1:13" ht="9" hidden="1" customHeight="1" x14ac:dyDescent="0.2">
      <c r="A26" s="346"/>
      <c r="B26" s="181"/>
      <c r="C26" s="236"/>
      <c r="D26" s="221"/>
      <c r="E26" s="221"/>
      <c r="F26" s="221"/>
      <c r="G26" s="221"/>
      <c r="H26" s="221"/>
      <c r="I26" s="221"/>
      <c r="J26" s="221"/>
      <c r="K26" s="221"/>
      <c r="L26" s="221"/>
      <c r="M26" s="221"/>
    </row>
    <row r="27" spans="1:13" ht="6.75" customHeight="1" x14ac:dyDescent="0.2">
      <c r="A27" s="346"/>
      <c r="B27" s="360"/>
      <c r="C27" s="361"/>
      <c r="D27" s="221"/>
      <c r="E27" s="221"/>
      <c r="F27" s="221"/>
      <c r="G27" s="221"/>
      <c r="H27" s="221"/>
      <c r="I27" s="221"/>
      <c r="J27" s="221"/>
      <c r="K27" s="221"/>
      <c r="L27" s="221"/>
      <c r="M27" s="221"/>
    </row>
    <row r="28" spans="1:13" ht="12.75" customHeight="1" x14ac:dyDescent="0.2">
      <c r="A28" s="346" t="s">
        <v>100</v>
      </c>
      <c r="B28" s="346" t="s">
        <v>143</v>
      </c>
      <c r="C28" s="221"/>
      <c r="D28" s="221"/>
      <c r="E28" s="221"/>
      <c r="F28" s="221"/>
      <c r="G28" s="221"/>
      <c r="H28" s="221"/>
      <c r="I28" s="221"/>
      <c r="J28" s="221"/>
      <c r="K28" s="221"/>
      <c r="L28" s="221"/>
      <c r="M28" s="221"/>
    </row>
    <row r="29" spans="1:13" ht="12.2" customHeight="1" x14ac:dyDescent="0.2">
      <c r="A29" s="346"/>
      <c r="B29" s="236" t="s">
        <v>403</v>
      </c>
      <c r="C29" s="221"/>
      <c r="D29" s="221"/>
      <c r="E29" s="221"/>
      <c r="F29" s="221"/>
      <c r="G29" s="221"/>
      <c r="H29" s="221"/>
      <c r="I29" s="221"/>
      <c r="J29" s="221"/>
      <c r="K29" s="221"/>
      <c r="L29" s="221"/>
      <c r="M29" s="221"/>
    </row>
    <row r="30" spans="1:13" ht="10.9" customHeight="1" x14ac:dyDescent="0.2">
      <c r="A30" s="346"/>
      <c r="B30" s="362"/>
      <c r="C30" s="221"/>
      <c r="D30" s="221"/>
      <c r="E30" s="221"/>
      <c r="F30" s="221"/>
      <c r="G30" s="221"/>
      <c r="H30" s="221"/>
      <c r="I30" s="221"/>
      <c r="J30" s="221"/>
      <c r="K30" s="221"/>
      <c r="L30" s="221"/>
      <c r="M30" s="221"/>
    </row>
    <row r="31" spans="1:13" ht="13.35" customHeight="1" x14ac:dyDescent="0.2">
      <c r="B31" s="363"/>
      <c r="C31" s="364" t="s">
        <v>607</v>
      </c>
      <c r="D31" s="236" t="s">
        <v>1132</v>
      </c>
      <c r="E31" s="221"/>
      <c r="F31" s="221"/>
      <c r="G31" s="360"/>
      <c r="H31" s="1754" t="str">
        <f>IF(B31="X",(J7*0.069),IF(B32="X",(J7*0.138),"Enter x in a.or b."))</f>
        <v>Enter x in a.or b.</v>
      </c>
      <c r="I31" s="365"/>
      <c r="J31" s="221"/>
      <c r="K31" s="221"/>
      <c r="L31" s="221"/>
      <c r="M31" s="221"/>
    </row>
    <row r="32" spans="1:13" ht="13.35" customHeight="1" x14ac:dyDescent="0.2">
      <c r="B32" s="366"/>
      <c r="C32" s="367" t="s">
        <v>608</v>
      </c>
      <c r="D32" s="236" t="s">
        <v>443</v>
      </c>
      <c r="E32" s="221"/>
      <c r="F32" s="221"/>
      <c r="G32" s="221"/>
      <c r="H32" s="221"/>
      <c r="I32" s="221"/>
      <c r="J32" s="221"/>
      <c r="K32" s="221"/>
      <c r="L32" s="221"/>
      <c r="M32" s="221"/>
    </row>
    <row r="33" spans="1:13" ht="8.25" customHeight="1" x14ac:dyDescent="0.2">
      <c r="B33" s="221"/>
      <c r="C33" s="368"/>
      <c r="D33" s="236"/>
      <c r="E33" s="221"/>
      <c r="F33" s="221"/>
      <c r="G33" s="221"/>
      <c r="H33" s="221"/>
      <c r="I33" s="221"/>
      <c r="J33" s="221"/>
      <c r="K33" s="221"/>
      <c r="L33" s="221"/>
      <c r="M33" s="221"/>
    </row>
    <row r="34" spans="1:13" ht="12.2" customHeight="1" x14ac:dyDescent="0.2">
      <c r="B34" s="221" t="s">
        <v>407</v>
      </c>
      <c r="C34" s="369"/>
      <c r="D34" s="221"/>
      <c r="E34" s="221"/>
      <c r="F34" s="221"/>
      <c r="G34" s="221"/>
      <c r="H34" s="221"/>
      <c r="I34" s="221"/>
      <c r="J34" s="221"/>
      <c r="K34" s="221"/>
      <c r="L34" s="221"/>
      <c r="M34" s="221"/>
    </row>
    <row r="35" spans="1:13" ht="8.25" customHeight="1" x14ac:dyDescent="0.2">
      <c r="B35" s="221"/>
      <c r="C35" s="369"/>
      <c r="D35" s="221"/>
      <c r="E35" s="221"/>
      <c r="F35" s="221"/>
      <c r="H35" s="370"/>
      <c r="I35" s="221"/>
      <c r="J35" s="221"/>
      <c r="K35" s="221"/>
      <c r="L35" s="221"/>
      <c r="M35" s="221"/>
    </row>
    <row r="36" spans="1:13" ht="13.5" customHeight="1" x14ac:dyDescent="0.2">
      <c r="B36" s="221"/>
      <c r="C36" s="371" t="s">
        <v>609</v>
      </c>
      <c r="D36" s="246" t="s">
        <v>0</v>
      </c>
      <c r="E36" s="221"/>
      <c r="F36" s="221"/>
      <c r="G36" s="372" t="s">
        <v>408</v>
      </c>
      <c r="H36" s="373"/>
      <c r="I36" s="221"/>
      <c r="J36" s="221"/>
      <c r="K36" s="221"/>
      <c r="L36" s="221"/>
      <c r="M36" s="221"/>
    </row>
    <row r="37" spans="1:13" ht="13.5" customHeight="1" x14ac:dyDescent="0.2">
      <c r="B37" s="221"/>
      <c r="C37" s="371"/>
      <c r="D37" s="246" t="s">
        <v>1197</v>
      </c>
      <c r="E37" s="221"/>
      <c r="F37" s="221"/>
      <c r="G37" s="374">
        <v>511</v>
      </c>
      <c r="H37" s="1753">
        <f>'Assets-Liab 5-6'!N36</f>
        <v>0</v>
      </c>
      <c r="I37" s="221"/>
      <c r="J37" s="212"/>
      <c r="K37" s="212"/>
      <c r="L37" s="212"/>
      <c r="M37" s="221"/>
    </row>
    <row r="38" spans="1:13" ht="7.5" customHeight="1" x14ac:dyDescent="0.2">
      <c r="B38" s="221"/>
      <c r="C38" s="326"/>
      <c r="D38" s="326"/>
      <c r="E38" s="326"/>
      <c r="F38" s="326"/>
      <c r="G38" s="326"/>
      <c r="H38" s="326"/>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6" t="s">
        <v>567</v>
      </c>
      <c r="B40" s="346" t="s">
        <v>204</v>
      </c>
      <c r="C40" s="346"/>
      <c r="D40" s="346"/>
      <c r="E40" s="346"/>
      <c r="F40" s="346"/>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5"/>
      <c r="C44" s="224" t="s">
        <v>320</v>
      </c>
      <c r="E44" s="221"/>
      <c r="F44" s="221"/>
      <c r="G44" s="221"/>
      <c r="H44" s="221"/>
      <c r="I44" s="221"/>
      <c r="J44" s="221"/>
      <c r="K44" s="221"/>
      <c r="L44" s="221"/>
      <c r="M44" s="221"/>
    </row>
    <row r="45" spans="1:13" ht="13.5" customHeight="1" x14ac:dyDescent="0.2">
      <c r="B45" s="375"/>
      <c r="C45" s="224" t="s">
        <v>399</v>
      </c>
      <c r="E45" s="221"/>
      <c r="F45" s="221"/>
      <c r="G45" s="221"/>
      <c r="H45" s="221"/>
      <c r="I45" s="221"/>
      <c r="J45" s="221"/>
      <c r="K45" s="221"/>
      <c r="L45" s="221"/>
      <c r="M45" s="221"/>
    </row>
    <row r="46" spans="1:13" ht="13.5" customHeight="1" x14ac:dyDescent="0.2">
      <c r="B46" s="375"/>
      <c r="C46" s="224" t="s">
        <v>918</v>
      </c>
      <c r="E46" s="221"/>
      <c r="F46" s="221"/>
      <c r="G46" s="221"/>
      <c r="H46" s="221"/>
      <c r="I46" s="221"/>
      <c r="J46" s="221"/>
      <c r="K46" s="221"/>
      <c r="L46" s="221"/>
      <c r="M46" s="221"/>
    </row>
    <row r="47" spans="1:13" ht="13.5" customHeight="1" x14ac:dyDescent="0.2">
      <c r="B47" s="375"/>
      <c r="C47" s="224" t="s">
        <v>57</v>
      </c>
      <c r="E47" s="221"/>
      <c r="F47" s="221"/>
      <c r="G47" s="221"/>
      <c r="H47" s="221"/>
      <c r="I47" s="221"/>
      <c r="J47" s="221"/>
      <c r="K47" s="221"/>
      <c r="L47" s="221"/>
      <c r="M47" s="221"/>
    </row>
    <row r="48" spans="1:13" ht="13.5" customHeight="1" x14ac:dyDescent="0.2">
      <c r="B48" s="375"/>
      <c r="C48" s="224" t="s">
        <v>58</v>
      </c>
      <c r="E48" s="221"/>
      <c r="F48" s="221"/>
      <c r="G48" s="221"/>
      <c r="H48" s="221"/>
      <c r="I48" s="221"/>
      <c r="J48" s="221"/>
      <c r="K48" s="221"/>
      <c r="L48" s="221"/>
      <c r="M48" s="221"/>
    </row>
    <row r="49" spans="1:13" ht="13.5" customHeight="1" x14ac:dyDescent="0.2">
      <c r="B49" s="375"/>
      <c r="C49" s="224" t="s">
        <v>357</v>
      </c>
      <c r="E49" s="221"/>
      <c r="F49" s="221"/>
      <c r="G49" s="221"/>
      <c r="H49" s="221"/>
      <c r="I49" s="221"/>
      <c r="J49" s="221"/>
      <c r="K49" s="221"/>
      <c r="L49" s="221"/>
      <c r="M49" s="221"/>
    </row>
    <row r="50" spans="1:13" ht="13.5" customHeight="1" x14ac:dyDescent="0.2">
      <c r="B50" s="375"/>
      <c r="C50" s="224" t="s">
        <v>358</v>
      </c>
      <c r="E50" s="221"/>
      <c r="F50" s="221"/>
      <c r="G50" s="221"/>
      <c r="H50" s="221"/>
      <c r="I50" s="221"/>
      <c r="J50" s="221"/>
      <c r="K50" s="221"/>
      <c r="L50" s="221"/>
      <c r="M50" s="221"/>
    </row>
    <row r="51" spans="1:13" ht="13.5" customHeight="1" x14ac:dyDescent="0.2">
      <c r="B51" s="375"/>
      <c r="C51" s="224" t="s">
        <v>565</v>
      </c>
      <c r="E51" s="221"/>
      <c r="F51" s="221"/>
      <c r="G51" s="221"/>
      <c r="H51" s="221"/>
      <c r="I51" s="221"/>
      <c r="J51" s="221"/>
      <c r="K51" s="221"/>
      <c r="L51" s="221"/>
      <c r="M51" s="221"/>
    </row>
    <row r="52" spans="1:13" ht="6" customHeight="1" x14ac:dyDescent="0.2">
      <c r="B52" s="221"/>
      <c r="C52" s="376"/>
      <c r="D52" s="236"/>
      <c r="E52" s="221"/>
      <c r="F52" s="221"/>
      <c r="G52" s="221"/>
      <c r="H52" s="221"/>
      <c r="I52" s="221"/>
      <c r="J52" s="221"/>
      <c r="K52" s="221"/>
      <c r="L52" s="221"/>
      <c r="M52" s="221"/>
    </row>
    <row r="53" spans="1:13" ht="15" customHeight="1" x14ac:dyDescent="0.2">
      <c r="B53" s="362" t="s">
        <v>405</v>
      </c>
      <c r="C53" s="221"/>
      <c r="D53" s="221"/>
      <c r="E53" s="221"/>
      <c r="F53" s="221"/>
      <c r="G53" s="221"/>
      <c r="H53" s="221"/>
      <c r="I53" s="221"/>
      <c r="J53" s="221"/>
      <c r="K53" s="221"/>
      <c r="L53" s="221"/>
      <c r="M53" s="221"/>
    </row>
    <row r="54" spans="1:13" ht="12.75" x14ac:dyDescent="0.2">
      <c r="B54" s="2100"/>
      <c r="C54" s="2101"/>
      <c r="D54" s="2101"/>
      <c r="E54" s="2101"/>
      <c r="F54" s="2101"/>
      <c r="G54" s="2101"/>
      <c r="H54" s="2101"/>
      <c r="I54" s="2101"/>
      <c r="J54" s="2101"/>
      <c r="K54" s="2101"/>
      <c r="L54" s="2102"/>
      <c r="M54" s="377"/>
    </row>
    <row r="55" spans="1:13" ht="12.75" customHeight="1" x14ac:dyDescent="0.2">
      <c r="B55" s="2103"/>
      <c r="C55" s="2104"/>
      <c r="D55" s="2104"/>
      <c r="E55" s="2104"/>
      <c r="F55" s="2104"/>
      <c r="G55" s="2104"/>
      <c r="H55" s="2104"/>
      <c r="I55" s="2104"/>
      <c r="J55" s="2104"/>
      <c r="K55" s="2104"/>
      <c r="L55" s="2105"/>
      <c r="M55" s="377"/>
    </row>
    <row r="56" spans="1:13" ht="12.75" customHeight="1" x14ac:dyDescent="0.2">
      <c r="B56" s="2103"/>
      <c r="C56" s="2104"/>
      <c r="D56" s="2104"/>
      <c r="E56" s="2104"/>
      <c r="F56" s="2104"/>
      <c r="G56" s="2104"/>
      <c r="H56" s="2104"/>
      <c r="I56" s="2104"/>
      <c r="J56" s="2104"/>
      <c r="K56" s="2104"/>
      <c r="L56" s="2105"/>
      <c r="M56" s="221"/>
    </row>
    <row r="57" spans="1:13" ht="12.75" customHeight="1" x14ac:dyDescent="0.2">
      <c r="B57" s="2103"/>
      <c r="C57" s="2104"/>
      <c r="D57" s="2104"/>
      <c r="E57" s="2104"/>
      <c r="F57" s="2104"/>
      <c r="G57" s="2104"/>
      <c r="H57" s="2104"/>
      <c r="I57" s="2104"/>
      <c r="J57" s="2104"/>
      <c r="K57" s="2104"/>
      <c r="L57" s="2105"/>
      <c r="M57" s="221"/>
    </row>
    <row r="58" spans="1:13" x14ac:dyDescent="0.2">
      <c r="B58" s="2106"/>
      <c r="C58" s="2107"/>
      <c r="D58" s="2107"/>
      <c r="E58" s="2107"/>
      <c r="F58" s="2107"/>
      <c r="G58" s="2107"/>
      <c r="H58" s="2107"/>
      <c r="I58" s="2107"/>
      <c r="J58" s="2107"/>
      <c r="K58" s="2107"/>
      <c r="L58" s="2108"/>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8"/>
      <c r="C61" s="2111"/>
      <c r="D61" s="2112"/>
      <c r="E61" s="379"/>
      <c r="F61" s="379"/>
      <c r="G61" s="379"/>
      <c r="H61" s="379"/>
      <c r="I61" s="379"/>
      <c r="J61" s="379"/>
      <c r="K61" s="379"/>
      <c r="L61" s="379"/>
      <c r="M61" s="221"/>
    </row>
    <row r="62" spans="1:13" x14ac:dyDescent="0.15">
      <c r="A62" s="246"/>
      <c r="B62" s="378"/>
      <c r="C62" s="246"/>
      <c r="E62" s="379"/>
      <c r="F62" s="379"/>
      <c r="G62" s="379"/>
      <c r="H62" s="379"/>
      <c r="I62" s="379"/>
      <c r="J62" s="379"/>
      <c r="K62" s="379"/>
      <c r="L62" s="379"/>
      <c r="M62" s="221"/>
    </row>
    <row r="63" spans="1:13" ht="12.2" customHeight="1" x14ac:dyDescent="0.15">
      <c r="A63" s="380"/>
      <c r="B63" s="379"/>
      <c r="C63" s="379"/>
      <c r="D63" s="379"/>
      <c r="E63" s="379"/>
      <c r="F63" s="379"/>
      <c r="G63" s="379"/>
      <c r="H63" s="379"/>
      <c r="I63" s="379"/>
      <c r="J63" s="379"/>
      <c r="K63" s="379"/>
      <c r="L63" s="379"/>
      <c r="M63" s="221"/>
    </row>
    <row r="64" spans="1:13" ht="12.2" customHeight="1" x14ac:dyDescent="0.15">
      <c r="A64" s="380"/>
      <c r="B64" s="379"/>
      <c r="C64" s="379"/>
      <c r="D64" s="379"/>
      <c r="E64" s="379"/>
      <c r="F64" s="379"/>
      <c r="G64" s="379"/>
      <c r="H64" s="379"/>
      <c r="I64" s="379"/>
      <c r="J64" s="379"/>
      <c r="K64" s="379"/>
      <c r="L64" s="379"/>
      <c r="M64" s="221"/>
    </row>
    <row r="65" spans="1:13" ht="9.6" customHeight="1" x14ac:dyDescent="0.15">
      <c r="A65" s="380"/>
      <c r="B65" s="379"/>
      <c r="C65" s="379"/>
      <c r="D65" s="379"/>
      <c r="E65" s="379"/>
      <c r="F65" s="379"/>
      <c r="G65" s="379"/>
      <c r="H65" s="379"/>
      <c r="I65" s="379"/>
      <c r="J65" s="379"/>
      <c r="K65" s="379"/>
      <c r="L65" s="379"/>
      <c r="M65" s="221"/>
    </row>
    <row r="66" spans="1:13" ht="12.2" customHeight="1" x14ac:dyDescent="0.2">
      <c r="A66" s="380"/>
      <c r="B66" s="361"/>
      <c r="C66" s="361"/>
      <c r="D66" s="361"/>
      <c r="E66" s="361"/>
      <c r="F66" s="361"/>
      <c r="G66" s="361"/>
      <c r="H66" s="361"/>
      <c r="I66" s="361"/>
      <c r="J66" s="361"/>
      <c r="K66" s="361"/>
      <c r="L66" s="361"/>
      <c r="M66" s="221"/>
    </row>
    <row r="67" spans="1:13" ht="12.2" customHeight="1" x14ac:dyDescent="0.2">
      <c r="A67" s="380"/>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2" customWidth="1"/>
    <col min="2" max="2" width="2.7109375" style="444" customWidth="1"/>
    <col min="3" max="3" width="15.28515625" style="382" customWidth="1"/>
    <col min="4" max="4" width="37.85546875" style="382" customWidth="1"/>
    <col min="5" max="5" width="1.7109375" style="382" customWidth="1"/>
    <col min="6" max="6" width="31.140625" style="382" customWidth="1"/>
    <col min="7" max="7" width="1.7109375" style="382" customWidth="1"/>
    <col min="8" max="8" width="15.7109375" style="446" customWidth="1"/>
    <col min="9" max="9" width="2.7109375" style="382" customWidth="1"/>
    <col min="10" max="10" width="5.85546875" style="382" hidden="1" customWidth="1"/>
    <col min="11" max="11" width="10.7109375" style="446" customWidth="1"/>
    <col min="12" max="12" width="2.7109375" style="382" customWidth="1"/>
    <col min="13" max="13" width="10.7109375" style="382" customWidth="1"/>
    <col min="14" max="14" width="2.7109375" style="382" customWidth="1"/>
    <col min="15" max="15" width="10.7109375" style="382" customWidth="1"/>
    <col min="16" max="16" width="0.85546875" style="382" customWidth="1"/>
    <col min="17" max="18" width="2.7109375" style="382" customWidth="1"/>
    <col min="19" max="16384" width="9.140625" style="382"/>
  </cols>
  <sheetData>
    <row r="1" spans="1:18" ht="12.75" x14ac:dyDescent="0.2">
      <c r="A1" s="2114"/>
      <c r="B1" s="2115"/>
      <c r="C1" s="2115"/>
      <c r="D1" s="381"/>
      <c r="E1" s="381"/>
      <c r="F1" s="381"/>
      <c r="G1" s="381"/>
      <c r="H1" s="381"/>
      <c r="I1" s="381"/>
      <c r="J1" s="381"/>
      <c r="K1" s="381"/>
      <c r="L1" s="381"/>
      <c r="M1" s="381"/>
      <c r="N1" s="381"/>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3"/>
      <c r="B5" s="384"/>
      <c r="C5" s="384"/>
      <c r="D5" s="384"/>
      <c r="E5" s="384"/>
      <c r="F5" s="384"/>
      <c r="G5" s="384"/>
      <c r="H5" s="384"/>
      <c r="I5" s="384"/>
      <c r="J5" s="384"/>
      <c r="K5" s="384"/>
      <c r="L5" s="384"/>
      <c r="M5" s="384"/>
      <c r="N5" s="384"/>
      <c r="O5" s="384"/>
      <c r="P5" s="384"/>
      <c r="Q5" s="385"/>
    </row>
    <row r="6" spans="1:18" ht="12.75" x14ac:dyDescent="0.2">
      <c r="A6" s="383"/>
      <c r="B6" s="384"/>
      <c r="C6" s="384"/>
      <c r="D6" s="384"/>
      <c r="E6" s="384"/>
      <c r="F6" s="384"/>
      <c r="G6" s="384"/>
      <c r="H6" s="384"/>
      <c r="I6" s="384"/>
      <c r="J6" s="384"/>
      <c r="K6" s="384"/>
      <c r="L6" s="384"/>
      <c r="M6" s="384"/>
      <c r="N6" s="384"/>
      <c r="O6" s="384"/>
      <c r="P6" s="384"/>
      <c r="Q6" s="385"/>
    </row>
    <row r="7" spans="1:18" ht="12.75" x14ac:dyDescent="0.2">
      <c r="A7" s="326"/>
      <c r="B7" s="326"/>
      <c r="C7" s="386" t="s">
        <v>1188</v>
      </c>
      <c r="D7" s="387" t="str">
        <f>COVER!A17</f>
        <v>Livingston Area Career Center</v>
      </c>
      <c r="E7" s="388"/>
      <c r="G7" s="250"/>
      <c r="H7" s="384"/>
      <c r="I7" s="384"/>
      <c r="J7" s="384"/>
      <c r="K7" s="384"/>
      <c r="L7" s="326"/>
      <c r="M7" s="326"/>
      <c r="N7" s="326"/>
      <c r="O7" s="326"/>
      <c r="P7" s="326"/>
    </row>
    <row r="8" spans="1:18" ht="12.75" x14ac:dyDescent="0.2">
      <c r="A8" s="326"/>
      <c r="B8" s="326"/>
      <c r="C8" s="386" t="s">
        <v>1187</v>
      </c>
      <c r="D8" s="389">
        <f>COVER!A13</f>
        <v>17053090041</v>
      </c>
      <c r="E8" s="390"/>
      <c r="G8" s="326"/>
      <c r="H8" s="326"/>
      <c r="I8" s="326"/>
      <c r="J8" s="326"/>
      <c r="K8" s="326"/>
      <c r="L8" s="326"/>
      <c r="M8" s="326"/>
      <c r="N8" s="326"/>
      <c r="O8" s="326"/>
      <c r="P8" s="326"/>
    </row>
    <row r="9" spans="1:18" ht="12.75" x14ac:dyDescent="0.2">
      <c r="A9" s="326"/>
      <c r="B9" s="326"/>
      <c r="C9" s="386" t="s">
        <v>737</v>
      </c>
      <c r="D9" s="391" t="str">
        <f>COVER!A15</f>
        <v>Livingston</v>
      </c>
      <c r="E9" s="215"/>
      <c r="G9" s="215"/>
      <c r="H9" s="392"/>
      <c r="I9" s="215"/>
      <c r="J9" s="215"/>
      <c r="K9" s="392"/>
      <c r="L9" s="215"/>
      <c r="M9" s="215"/>
      <c r="N9" s="215"/>
      <c r="O9" s="215"/>
      <c r="P9" s="215"/>
    </row>
    <row r="10" spans="1:18" x14ac:dyDescent="0.2">
      <c r="A10" s="215"/>
      <c r="B10" s="393"/>
      <c r="C10" s="215"/>
      <c r="D10" s="215"/>
      <c r="E10" s="215"/>
      <c r="F10" s="215"/>
      <c r="G10" s="215"/>
      <c r="H10" s="392"/>
      <c r="I10" s="215"/>
      <c r="J10" s="215"/>
      <c r="K10" s="392"/>
      <c r="L10" s="215"/>
      <c r="M10" s="215"/>
      <c r="N10" s="215"/>
      <c r="O10" s="215"/>
      <c r="P10" s="215"/>
    </row>
    <row r="11" spans="1:18" ht="12.75" x14ac:dyDescent="0.2">
      <c r="A11" s="215"/>
      <c r="B11" s="394" t="s">
        <v>1040</v>
      </c>
      <c r="C11" s="395" t="s">
        <v>1203</v>
      </c>
      <c r="D11" s="215"/>
      <c r="E11" s="215"/>
      <c r="F11" s="215"/>
      <c r="G11" s="215"/>
      <c r="H11" s="333" t="s">
        <v>158</v>
      </c>
      <c r="I11" s="333"/>
      <c r="J11" s="333"/>
      <c r="K11" s="396" t="s">
        <v>1204</v>
      </c>
      <c r="L11" s="333"/>
      <c r="M11" s="333" t="s">
        <v>1205</v>
      </c>
      <c r="N11" s="333"/>
      <c r="O11" s="397" t="str">
        <f>IF(K12&gt;0.24999,"4",IF(K12&gt;0.09999,"3",IF(K12&gt;=0,"2",1)))</f>
        <v>4</v>
      </c>
      <c r="P11" s="215"/>
      <c r="Q11" s="215"/>
    </row>
    <row r="12" spans="1:18" s="405" customFormat="1" ht="11.25" x14ac:dyDescent="0.2">
      <c r="A12" s="217"/>
      <c r="B12" s="398"/>
      <c r="C12" s="217" t="s">
        <v>1432</v>
      </c>
      <c r="D12" s="217"/>
      <c r="E12" s="217"/>
      <c r="F12" s="217" t="s">
        <v>1152</v>
      </c>
      <c r="G12" s="399"/>
      <c r="H12" s="400">
        <f>SUM('Acct Summary 7-8'!C81+'Acct Summary 7-8'!D81+'Acct Summary 7-8'!F81+'Acct Summary 7-8'!I81+IF('Acct Summary 7-8'!G81&lt;0,'Acct Summary 7-8'!G81,"0")+IF('Acct Summary 7-8'!J81&lt;0,'Acct Summary 7-8'!J81,"0"))</f>
        <v>760943</v>
      </c>
      <c r="I12" s="401"/>
      <c r="J12" s="401"/>
      <c r="K12" s="402">
        <f>TRUNC((H12/H13*100000),5)/100000</f>
        <v>0.86321302649999998</v>
      </c>
      <c r="L12" s="403"/>
      <c r="M12" s="357" t="s">
        <v>1206</v>
      </c>
      <c r="N12" s="357"/>
      <c r="O12" s="404">
        <v>0.35</v>
      </c>
      <c r="P12" s="217"/>
      <c r="Q12" s="217"/>
    </row>
    <row r="13" spans="1:18" s="405" customFormat="1" ht="12.75" x14ac:dyDescent="0.2">
      <c r="A13" s="217"/>
      <c r="B13" s="398"/>
      <c r="C13" s="2116" t="s">
        <v>1391</v>
      </c>
      <c r="D13" s="2117"/>
      <c r="E13" s="217"/>
      <c r="F13" s="406" t="s">
        <v>826</v>
      </c>
      <c r="G13" s="399"/>
      <c r="H13" s="400">
        <f>SUM('Acct Summary 7-8'!C8+'Acct Summary 7-8'!D8+'Acct Summary 7-8'!F8+'Acct Summary 7-8'!I8)+H14</f>
        <v>881524</v>
      </c>
      <c r="I13" s="401"/>
      <c r="J13" s="401"/>
      <c r="K13" s="407"/>
      <c r="L13" s="217"/>
      <c r="M13" s="357" t="s">
        <v>1207</v>
      </c>
      <c r="N13" s="357"/>
      <c r="O13" s="408">
        <f>(O11*O12)</f>
        <v>1.4</v>
      </c>
      <c r="P13" s="217"/>
      <c r="Q13" s="217"/>
      <c r="R13" s="409"/>
    </row>
    <row r="14" spans="1:18" s="405" customFormat="1" ht="12.75" x14ac:dyDescent="0.2">
      <c r="A14" s="217"/>
      <c r="B14" s="398"/>
      <c r="C14" s="239" t="s">
        <v>1464</v>
      </c>
      <c r="D14" s="410"/>
      <c r="E14" s="217"/>
      <c r="F14" s="406" t="s">
        <v>828</v>
      </c>
      <c r="G14" s="399"/>
      <c r="H14" s="400">
        <f>-SUM('Acct Summary 7-8'!C54:D56,'Acct Summary 7-8'!C58:D60,'Acct Summary 7-8'!C62:D64,'Acct Summary 7-8'!C66:D68,'Acct Summary 7-8'!C70:D72,'Acct Summary 7-8'!C74:D74)</f>
        <v>0</v>
      </c>
      <c r="I14" s="401"/>
      <c r="J14" s="401"/>
      <c r="K14" s="407"/>
      <c r="L14" s="217"/>
      <c r="M14" s="357"/>
      <c r="N14" s="357"/>
      <c r="O14" s="408"/>
      <c r="P14" s="217"/>
      <c r="Q14" s="217"/>
      <c r="R14" s="409"/>
    </row>
    <row r="15" spans="1:18" ht="11.45" customHeight="1" x14ac:dyDescent="0.2">
      <c r="A15" s="215"/>
      <c r="B15" s="393"/>
      <c r="C15" s="217" t="s">
        <v>1478</v>
      </c>
      <c r="D15" s="215"/>
      <c r="E15" s="215"/>
      <c r="F15" s="217"/>
      <c r="G15" s="411"/>
      <c r="H15" s="392"/>
      <c r="I15" s="215"/>
      <c r="J15" s="215"/>
      <c r="K15" s="392"/>
      <c r="L15" s="215"/>
      <c r="M15" s="412"/>
      <c r="N15" s="412"/>
      <c r="O15" s="215"/>
      <c r="P15" s="215"/>
      <c r="Q15" s="215"/>
      <c r="R15" s="381"/>
    </row>
    <row r="16" spans="1:18" ht="12.75" x14ac:dyDescent="0.2">
      <c r="A16" s="215"/>
      <c r="B16" s="394" t="s">
        <v>1041</v>
      </c>
      <c r="C16" s="395" t="s">
        <v>1208</v>
      </c>
      <c r="D16" s="215"/>
      <c r="E16" s="215"/>
      <c r="F16" s="215"/>
      <c r="G16" s="215"/>
      <c r="H16" s="333" t="s">
        <v>158</v>
      </c>
      <c r="I16" s="333"/>
      <c r="J16" s="333"/>
      <c r="K16" s="396" t="s">
        <v>1204</v>
      </c>
      <c r="L16" s="333"/>
      <c r="M16" s="333" t="s">
        <v>1205</v>
      </c>
      <c r="N16" s="333"/>
      <c r="O16" s="397">
        <f>IF(K17&gt;1.2,"1",IF(K17&gt;1.1,"2",IF(K17&gt;1,"3",4)))</f>
        <v>4</v>
      </c>
      <c r="P16" s="215"/>
      <c r="R16" s="381"/>
    </row>
    <row r="17" spans="1:18" s="405" customFormat="1" ht="11.25" x14ac:dyDescent="0.2">
      <c r="A17" s="217"/>
      <c r="B17" s="398"/>
      <c r="C17" s="217" t="s">
        <v>830</v>
      </c>
      <c r="D17" s="217"/>
      <c r="E17" s="217"/>
      <c r="F17" s="217" t="s">
        <v>464</v>
      </c>
      <c r="G17" s="399"/>
      <c r="H17" s="400">
        <f>SUM('Acct Summary 7-8'!C17+'Acct Summary 7-8'!D17+'Acct Summary 7-8'!F17)</f>
        <v>710892</v>
      </c>
      <c r="I17" s="401"/>
      <c r="J17" s="413"/>
      <c r="K17" s="402">
        <f>TRUNC((H17/H18*100000),5)/100000</f>
        <v>0.80643521900000004</v>
      </c>
      <c r="L17" s="403"/>
      <c r="M17" s="414" t="s">
        <v>1233</v>
      </c>
      <c r="O17" s="415" t="str">
        <f>IF(AND(O16="2", J20 &gt; 2),"1",IF(AND(O16 = "1", J20 &gt; 2),"2",IF(AND(O16="1", J20 &gt;1),"1","0")))</f>
        <v>0</v>
      </c>
      <c r="P17" s="217"/>
    </row>
    <row r="18" spans="1:18" s="405" customFormat="1" ht="11.25" x14ac:dyDescent="0.2">
      <c r="A18" s="217"/>
      <c r="B18" s="398"/>
      <c r="C18" s="2116" t="s">
        <v>1384</v>
      </c>
      <c r="D18" s="2117"/>
      <c r="E18" s="217"/>
      <c r="F18" s="416" t="s">
        <v>827</v>
      </c>
      <c r="G18" s="399"/>
      <c r="H18" s="400">
        <f>SUM('Acct Summary 7-8'!C8+'Acct Summary 7-8'!D8+'Acct Summary 7-8'!F8+'Acct Summary 7-8'!I8)+H19</f>
        <v>881524</v>
      </c>
      <c r="I18" s="401"/>
      <c r="J18" s="401"/>
      <c r="K18" s="407"/>
      <c r="L18" s="217"/>
      <c r="M18" s="357" t="s">
        <v>1206</v>
      </c>
      <c r="N18" s="357"/>
      <c r="O18" s="407">
        <v>0.35</v>
      </c>
      <c r="P18" s="217"/>
    </row>
    <row r="19" spans="1:18" s="405" customFormat="1" ht="11.25" x14ac:dyDescent="0.2">
      <c r="A19" s="217"/>
      <c r="B19" s="398"/>
      <c r="C19" s="239" t="s">
        <v>1464</v>
      </c>
      <c r="D19" s="410"/>
      <c r="E19" s="217"/>
      <c r="F19" s="416" t="s">
        <v>828</v>
      </c>
      <c r="G19" s="399"/>
      <c r="H19" s="400">
        <f>-SUM('Acct Summary 7-8'!C54:D56,'Acct Summary 7-8'!C58:D60,'Acct Summary 7-8'!C62:D64,'Acct Summary 7-8'!C66:D68,'Acct Summary 7-8'!C70:D72,'Acct Summary 7-8'!C74:D74)</f>
        <v>0</v>
      </c>
      <c r="I19" s="401"/>
      <c r="J19" s="401"/>
      <c r="K19" s="407"/>
      <c r="L19" s="217"/>
      <c r="M19" s="357"/>
      <c r="N19" s="357"/>
      <c r="O19" s="407"/>
      <c r="P19" s="217"/>
    </row>
    <row r="20" spans="1:18" s="405" customFormat="1" ht="12.75" x14ac:dyDescent="0.2">
      <c r="A20" s="217"/>
      <c r="B20" s="398"/>
      <c r="C20" s="217" t="s">
        <v>1478</v>
      </c>
      <c r="D20" s="217"/>
      <c r="E20" s="217"/>
      <c r="F20" s="217"/>
      <c r="G20" s="399"/>
      <c r="H20" s="417"/>
      <c r="I20" s="401"/>
      <c r="J20" s="418" t="str">
        <f>IF(K17&lt;=1,"0",TRUNC(((K12-0.1)/(K17-1)*100),5)/100)</f>
        <v>0</v>
      </c>
      <c r="K20" s="402" t="str">
        <f>IF(K17&lt;=1,"0",IF(AND(O16="2", J20 &gt; 2),TRUNC(((K12-0.1)/(K17-1)*100),5)/100,IF(AND(O16 = "1", J20 &gt; 2),TRUNC(((K12-0.1)/(K17-1)*100),5)/100,IF(AND(O16="1", J20 &gt;1),TRUNC(((K12-0.1)/(K17-1)*100),5)/100,""))))</f>
        <v>0</v>
      </c>
      <c r="L20" s="217"/>
      <c r="M20" s="357" t="s">
        <v>1207</v>
      </c>
      <c r="N20" s="357"/>
      <c r="O20" s="408">
        <f>(O16+O17)*O18</f>
        <v>1.4</v>
      </c>
      <c r="P20" s="217"/>
      <c r="R20" s="409"/>
    </row>
    <row r="21" spans="1:18" ht="11.45" customHeight="1" x14ac:dyDescent="0.2">
      <c r="A21" s="215"/>
      <c r="B21" s="393"/>
      <c r="C21" s="217" t="s">
        <v>496</v>
      </c>
      <c r="D21" s="215"/>
      <c r="E21" s="215"/>
      <c r="F21" s="215"/>
      <c r="G21" s="411"/>
      <c r="H21" s="392"/>
      <c r="I21" s="215"/>
      <c r="J21" s="215"/>
      <c r="K21" s="392"/>
      <c r="L21" s="215"/>
      <c r="M21" s="412"/>
      <c r="N21" s="412"/>
      <c r="O21" s="215"/>
      <c r="P21" s="215"/>
      <c r="R21" s="381"/>
    </row>
    <row r="22" spans="1:18" ht="11.45" customHeight="1" x14ac:dyDescent="0.2">
      <c r="A22" s="215"/>
      <c r="B22" s="393"/>
      <c r="C22" s="217"/>
      <c r="D22" s="215"/>
      <c r="E22" s="215"/>
      <c r="F22" s="215"/>
      <c r="G22" s="411"/>
      <c r="H22" s="392"/>
      <c r="I22" s="215"/>
      <c r="J22" s="215"/>
      <c r="K22" s="392"/>
      <c r="L22" s="215"/>
      <c r="M22" s="412"/>
      <c r="N22" s="412"/>
      <c r="O22" s="215"/>
      <c r="P22" s="215"/>
      <c r="R22" s="381"/>
    </row>
    <row r="23" spans="1:18" ht="12.75" x14ac:dyDescent="0.2">
      <c r="A23" s="215"/>
      <c r="B23" s="394" t="s">
        <v>627</v>
      </c>
      <c r="C23" s="395" t="s">
        <v>1209</v>
      </c>
      <c r="D23" s="215"/>
      <c r="E23" s="215"/>
      <c r="F23" s="215"/>
      <c r="G23" s="215"/>
      <c r="H23" s="333" t="s">
        <v>158</v>
      </c>
      <c r="I23" s="333"/>
      <c r="J23" s="333"/>
      <c r="K23" s="396" t="s">
        <v>1210</v>
      </c>
      <c r="L23" s="333"/>
      <c r="M23" s="333" t="s">
        <v>1205</v>
      </c>
      <c r="N23" s="333"/>
      <c r="O23" s="397" t="str">
        <f>IF(K24&gt;=180,"4",IF(K24&gt;=90,"3",IF(K24&gt;=30,"2",1)))</f>
        <v>4</v>
      </c>
      <c r="P23" s="215"/>
      <c r="R23" s="381"/>
    </row>
    <row r="24" spans="1:18" s="405" customFormat="1" ht="11.25" x14ac:dyDescent="0.2">
      <c r="A24" s="217"/>
      <c r="B24" s="398"/>
      <c r="C24" s="2113" t="s">
        <v>1479</v>
      </c>
      <c r="D24" s="2113"/>
      <c r="E24" s="217"/>
      <c r="F24" s="217" t="s">
        <v>465</v>
      </c>
      <c r="G24" s="399"/>
      <c r="H24" s="400">
        <f>SUM('Assets-Liab 5-6'!C4+'Assets-Liab 5-6'!D4+'Assets-Liab 5-6'!F4+'Assets-Liab 5-6'!I4+'Assets-Liab 5-6'!C5+'Assets-Liab 5-6'!D5+'Assets-Liab 5-6'!F5+'Assets-Liab 5-6'!I5)</f>
        <v>760943</v>
      </c>
      <c r="I24" s="419"/>
      <c r="J24" s="419"/>
      <c r="K24" s="420">
        <f>TRUNC(((H24/H25*100000)/100000),2)</f>
        <v>385.34</v>
      </c>
      <c r="L24" s="421"/>
      <c r="M24" s="357" t="s">
        <v>1206</v>
      </c>
      <c r="N24" s="357"/>
      <c r="O24" s="408">
        <v>0.1</v>
      </c>
      <c r="P24" s="217"/>
    </row>
    <row r="25" spans="1:18" s="405" customFormat="1" ht="12.75" x14ac:dyDescent="0.2">
      <c r="A25" s="217"/>
      <c r="B25" s="398"/>
      <c r="C25" s="217" t="s">
        <v>831</v>
      </c>
      <c r="D25" s="217"/>
      <c r="E25" s="217"/>
      <c r="F25" s="217" t="s">
        <v>466</v>
      </c>
      <c r="G25" s="399"/>
      <c r="H25" s="420">
        <f>ROUND((H17/360),5)</f>
        <v>1974.7</v>
      </c>
      <c r="I25" s="422"/>
      <c r="J25" s="422"/>
      <c r="K25" s="407"/>
      <c r="L25" s="217"/>
      <c r="M25" s="357" t="s">
        <v>1207</v>
      </c>
      <c r="N25" s="357"/>
      <c r="O25" s="408">
        <f>O23*O24</f>
        <v>0.4</v>
      </c>
      <c r="P25" s="217"/>
      <c r="R25" s="409"/>
    </row>
    <row r="26" spans="1:18" ht="12.2" customHeight="1" x14ac:dyDescent="0.2">
      <c r="A26" s="215"/>
      <c r="B26" s="393"/>
      <c r="C26" s="215"/>
      <c r="D26" s="215"/>
      <c r="E26" s="215"/>
      <c r="F26" s="215"/>
      <c r="G26" s="215"/>
      <c r="H26" s="392"/>
      <c r="I26" s="215"/>
      <c r="J26" s="215"/>
      <c r="K26" s="392"/>
      <c r="L26" s="215"/>
      <c r="M26" s="412"/>
      <c r="N26" s="412"/>
      <c r="O26" s="215"/>
      <c r="P26" s="215"/>
    </row>
    <row r="27" spans="1:18" ht="12.75" x14ac:dyDescent="0.2">
      <c r="A27" s="215"/>
      <c r="B27" s="394" t="s">
        <v>511</v>
      </c>
      <c r="C27" s="395"/>
      <c r="D27" s="215"/>
      <c r="E27" s="215"/>
      <c r="F27" s="215"/>
      <c r="G27" s="215"/>
      <c r="H27" s="333" t="s">
        <v>158</v>
      </c>
      <c r="I27" s="333"/>
      <c r="J27" s="333"/>
      <c r="K27" s="396" t="s">
        <v>512</v>
      </c>
      <c r="L27" s="333"/>
      <c r="M27" s="333" t="s">
        <v>1205</v>
      </c>
      <c r="N27" s="333"/>
      <c r="O27" s="423" t="e">
        <f>IF(K28&gt;=75,"4",IF(K28&gt;=50,"3",IF(K28&gt;=25,"2",1)))</f>
        <v>#DIV/0!</v>
      </c>
      <c r="P27" s="215"/>
    </row>
    <row r="28" spans="1:18" s="405" customFormat="1" ht="11.25" x14ac:dyDescent="0.2">
      <c r="A28" s="217"/>
      <c r="B28" s="398"/>
      <c r="C28" s="217" t="s">
        <v>2056</v>
      </c>
      <c r="D28" s="217"/>
      <c r="E28" s="217"/>
      <c r="F28" s="217" t="s">
        <v>464</v>
      </c>
      <c r="G28" s="399"/>
      <c r="H28" s="424">
        <f>SUM('Short-Term Long-Term Debt 24'!F6,'Short-Term Long-Term Debt 24'!F7,'Short-Term Long-Term Debt 24'!F11)</f>
        <v>0</v>
      </c>
      <c r="I28" s="425"/>
      <c r="J28" s="425"/>
      <c r="K28" s="420" t="e">
        <f>TRUNC(100-((((H28/H29*100))*100)/100),2)</f>
        <v>#DIV/0!</v>
      </c>
      <c r="L28" s="426"/>
      <c r="M28" s="357" t="s">
        <v>1206</v>
      </c>
      <c r="N28" s="357"/>
      <c r="O28" s="427">
        <v>0.1</v>
      </c>
      <c r="P28" s="217"/>
    </row>
    <row r="29" spans="1:18" s="405" customFormat="1" ht="11.25" x14ac:dyDescent="0.2">
      <c r="A29" s="217"/>
      <c r="B29" s="398"/>
      <c r="C29" s="217" t="s">
        <v>829</v>
      </c>
      <c r="D29" s="217"/>
      <c r="E29" s="217"/>
      <c r="F29" s="217" t="s">
        <v>833</v>
      </c>
      <c r="G29" s="399"/>
      <c r="H29" s="428">
        <f>ROUND((0.85*'FP Info 3'!J7*'FP Info 3'!J10),5)</f>
        <v>0</v>
      </c>
      <c r="I29" s="425"/>
      <c r="J29" s="425"/>
      <c r="K29" s="407"/>
      <c r="L29" s="217"/>
      <c r="M29" s="357" t="s">
        <v>1207</v>
      </c>
      <c r="N29" s="357"/>
      <c r="O29" s="408" t="e">
        <f>O27*O28</f>
        <v>#DIV/0!</v>
      </c>
      <c r="P29" s="217"/>
    </row>
    <row r="30" spans="1:18" s="405" customFormat="1" ht="11.25" x14ac:dyDescent="0.2">
      <c r="A30" s="217"/>
      <c r="B30" s="398"/>
      <c r="C30" s="217"/>
      <c r="D30" s="217"/>
      <c r="E30" s="217"/>
      <c r="F30" s="429"/>
      <c r="G30" s="399"/>
      <c r="H30" s="407"/>
      <c r="I30" s="407"/>
      <c r="J30" s="407"/>
      <c r="K30" s="407"/>
      <c r="L30" s="217"/>
      <c r="M30" s="430"/>
      <c r="N30" s="430"/>
      <c r="O30" s="407"/>
      <c r="P30" s="217"/>
    </row>
    <row r="31" spans="1:18" ht="12.75" x14ac:dyDescent="0.2">
      <c r="A31" s="215"/>
      <c r="B31" s="394" t="s">
        <v>583</v>
      </c>
      <c r="C31" s="395"/>
      <c r="D31" s="215"/>
      <c r="E31" s="215"/>
      <c r="F31" s="215"/>
      <c r="G31" s="411"/>
      <c r="H31" s="333" t="s">
        <v>158</v>
      </c>
      <c r="I31" s="333"/>
      <c r="J31" s="333"/>
      <c r="K31" s="396" t="s">
        <v>512</v>
      </c>
      <c r="L31" s="333"/>
      <c r="M31" s="333" t="s">
        <v>1205</v>
      </c>
      <c r="N31" s="333"/>
      <c r="O31" s="397" t="e">
        <f>IF(K32&gt;=75,"4",IF(K32&gt;=50,"3",IF(K32&gt;=25,"2",1)))</f>
        <v>#VALUE!</v>
      </c>
      <c r="P31" s="215"/>
    </row>
    <row r="32" spans="1:18" s="405" customFormat="1" ht="11.25" x14ac:dyDescent="0.2">
      <c r="A32" s="217"/>
      <c r="B32" s="398"/>
      <c r="C32" s="217" t="s">
        <v>902</v>
      </c>
      <c r="D32" s="217"/>
      <c r="E32" s="217"/>
      <c r="F32" s="217"/>
      <c r="G32" s="399"/>
      <c r="H32" s="400">
        <f>'FP Info 3'!H37</f>
        <v>0</v>
      </c>
      <c r="I32" s="417"/>
      <c r="J32" s="417"/>
      <c r="K32" s="420" t="e">
        <f>TRUNC(100-((((H32/H33*100))*100)/100),2)</f>
        <v>#VALUE!</v>
      </c>
      <c r="L32" s="403"/>
      <c r="M32" s="357" t="s">
        <v>1206</v>
      </c>
      <c r="N32" s="357"/>
      <c r="O32" s="431">
        <v>0.1</v>
      </c>
    </row>
    <row r="33" spans="1:17" s="405" customFormat="1" ht="11.25" x14ac:dyDescent="0.2">
      <c r="A33" s="217"/>
      <c r="B33" s="398"/>
      <c r="C33" s="217" t="s">
        <v>832</v>
      </c>
      <c r="D33" s="217"/>
      <c r="E33" s="217"/>
      <c r="F33" s="217"/>
      <c r="G33" s="399"/>
      <c r="H33" s="400" t="str">
        <f>IF('FP Info 3'!H31="Enter X in a or b"," ",'FP Info 3'!H31)</f>
        <v>Enter x in a.or b.</v>
      </c>
      <c r="I33" s="417"/>
      <c r="J33" s="417"/>
      <c r="K33" s="400"/>
      <c r="L33" s="217"/>
      <c r="M33" s="432" t="s">
        <v>1207</v>
      </c>
      <c r="N33" s="432"/>
      <c r="O33" s="431" t="e">
        <f>(O31*O32)</f>
        <v>#VALUE!</v>
      </c>
    </row>
    <row r="34" spans="1:17" ht="12.2" customHeight="1" x14ac:dyDescent="0.2">
      <c r="A34" s="215"/>
      <c r="B34" s="393"/>
      <c r="C34" s="215"/>
      <c r="D34" s="215"/>
      <c r="E34" s="215"/>
      <c r="F34" s="215"/>
      <c r="G34" s="215"/>
      <c r="H34" s="392"/>
      <c r="I34" s="215"/>
      <c r="J34" s="215"/>
      <c r="K34" s="392"/>
      <c r="L34" s="215"/>
      <c r="M34" s="412"/>
      <c r="N34" s="412"/>
      <c r="O34" s="392"/>
    </row>
    <row r="35" spans="1:17" ht="14.25" customHeight="1" x14ac:dyDescent="0.25">
      <c r="A35" s="215"/>
      <c r="B35" s="393"/>
      <c r="C35" s="215"/>
      <c r="D35" s="215"/>
      <c r="E35" s="215"/>
      <c r="F35" s="215"/>
      <c r="G35" s="215"/>
      <c r="H35" s="433"/>
      <c r="I35" s="411"/>
      <c r="J35" s="411"/>
      <c r="K35" s="215"/>
      <c r="L35" s="434"/>
      <c r="M35" s="435" t="s">
        <v>313</v>
      </c>
      <c r="N35" s="411"/>
      <c r="O35" s="436" t="e">
        <f>(O13+O20+O25+O29+O33)</f>
        <v>#DIV/0!</v>
      </c>
      <c r="P35" s="437" t="s">
        <v>205</v>
      </c>
    </row>
    <row r="36" spans="1:17" x14ac:dyDescent="0.2">
      <c r="A36" s="215"/>
      <c r="B36" s="393"/>
      <c r="C36" s="215"/>
      <c r="D36" s="215"/>
      <c r="E36" s="215"/>
      <c r="F36" s="215"/>
      <c r="G36" s="215"/>
      <c r="H36" s="433"/>
      <c r="I36" s="411"/>
      <c r="J36" s="411"/>
      <c r="K36" s="433"/>
      <c r="L36" s="411"/>
      <c r="M36" s="438"/>
      <c r="N36" s="438"/>
      <c r="O36" s="411"/>
    </row>
    <row r="37" spans="1:17" ht="12.75" x14ac:dyDescent="0.2">
      <c r="A37" s="215"/>
      <c r="B37" s="393"/>
      <c r="C37" s="215"/>
      <c r="D37" s="215"/>
      <c r="E37" s="215"/>
      <c r="F37" s="215"/>
      <c r="G37" s="215"/>
      <c r="H37" s="215"/>
      <c r="I37" s="411"/>
      <c r="J37" s="411"/>
      <c r="K37" s="433"/>
      <c r="L37" s="411"/>
      <c r="M37" s="435" t="s">
        <v>1691</v>
      </c>
      <c r="N37" s="411"/>
      <c r="O37" s="439" t="e">
        <f>IF(O35&gt;3.53,"RECOGNITION",IF(O35&gt;3.07,"REVIEW ",IF(O35&gt;2.61,"WARNING","WATCH")))</f>
        <v>#DIV/0!</v>
      </c>
    </row>
    <row r="38" spans="1:17" ht="16.5" customHeight="1" x14ac:dyDescent="0.2">
      <c r="A38" s="215"/>
      <c r="B38" s="393"/>
      <c r="C38" s="215"/>
      <c r="D38" s="215"/>
      <c r="E38" s="215"/>
      <c r="F38" s="215"/>
      <c r="G38" s="215"/>
      <c r="H38" s="392"/>
      <c r="I38" s="215"/>
      <c r="J38" s="215"/>
      <c r="K38" s="392"/>
      <c r="L38" s="215"/>
      <c r="M38" s="215"/>
      <c r="N38" s="215"/>
      <c r="O38" s="215"/>
      <c r="P38" s="215"/>
    </row>
    <row r="39" spans="1:17" ht="15.75" x14ac:dyDescent="0.2">
      <c r="A39" s="215"/>
      <c r="B39" s="393"/>
      <c r="C39" s="215"/>
      <c r="D39" s="215"/>
      <c r="E39" s="215"/>
      <c r="F39" s="440" t="s">
        <v>205</v>
      </c>
      <c r="H39" s="441" t="s">
        <v>1110</v>
      </c>
      <c r="I39" s="405"/>
      <c r="J39" s="405"/>
      <c r="K39" s="407"/>
      <c r="L39" s="405"/>
      <c r="M39" s="405"/>
      <c r="N39" s="405"/>
      <c r="O39" s="217"/>
      <c r="P39" s="215"/>
      <c r="Q39" s="215"/>
    </row>
    <row r="40" spans="1:17" x14ac:dyDescent="0.2">
      <c r="A40" s="215"/>
      <c r="B40" s="393"/>
      <c r="C40" s="215"/>
      <c r="D40" s="215"/>
      <c r="E40" s="215"/>
      <c r="F40" s="215"/>
      <c r="G40" s="442"/>
      <c r="H40" s="443" t="s">
        <v>1586</v>
      </c>
      <c r="I40" s="405"/>
      <c r="J40" s="405"/>
      <c r="K40" s="407"/>
      <c r="L40" s="405"/>
      <c r="M40" s="405"/>
      <c r="N40" s="405"/>
      <c r="O40" s="217"/>
      <c r="P40" s="215"/>
      <c r="Q40" s="215"/>
    </row>
    <row r="41" spans="1:17" x14ac:dyDescent="0.2">
      <c r="G41" s="445"/>
      <c r="H41" s="217" t="s">
        <v>1587</v>
      </c>
      <c r="M41" s="215"/>
      <c r="O41" s="215"/>
      <c r="P41" s="215"/>
      <c r="Q41" s="215"/>
    </row>
    <row r="42" spans="1:17" x14ac:dyDescent="0.2">
      <c r="A42" s="382" t="s">
        <v>1588</v>
      </c>
      <c r="G42" s="445"/>
      <c r="H42" s="217"/>
      <c r="M42" s="215"/>
      <c r="O42" s="215"/>
      <c r="P42" s="215"/>
      <c r="Q42" s="215"/>
    </row>
    <row r="43" spans="1:17" x14ac:dyDescent="0.2">
      <c r="G43" s="445"/>
      <c r="H43" s="447"/>
      <c r="L43" s="215"/>
      <c r="M43" s="405"/>
    </row>
    <row r="44" spans="1:17" ht="15.75" x14ac:dyDescent="0.2">
      <c r="F44" s="448"/>
      <c r="H44" s="443"/>
      <c r="L44" s="215"/>
      <c r="M44" s="405"/>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M20" sqref="M20"/>
    </sheetView>
  </sheetViews>
  <sheetFormatPr defaultColWidth="9.140625" defaultRowHeight="12.75" x14ac:dyDescent="0.2"/>
  <cols>
    <col min="1" max="1" width="47.28515625" style="498" customWidth="1"/>
    <col min="2" max="2" width="4.5703125" style="499" customWidth="1"/>
    <col min="3" max="14" width="13.7109375" style="454" customWidth="1"/>
    <col min="15" max="16384" width="9.140625" style="454"/>
  </cols>
  <sheetData>
    <row r="1" spans="1:14" x14ac:dyDescent="0.2">
      <c r="A1" s="2121" t="s">
        <v>1574</v>
      </c>
      <c r="B1" s="449"/>
      <c r="C1" s="450" t="s">
        <v>445</v>
      </c>
      <c r="D1" s="450" t="s">
        <v>446</v>
      </c>
      <c r="E1" s="450" t="s">
        <v>447</v>
      </c>
      <c r="F1" s="450" t="s">
        <v>448</v>
      </c>
      <c r="G1" s="450" t="s">
        <v>449</v>
      </c>
      <c r="H1" s="450" t="s">
        <v>450</v>
      </c>
      <c r="I1" s="450" t="s">
        <v>451</v>
      </c>
      <c r="J1" s="450" t="s">
        <v>452</v>
      </c>
      <c r="K1" s="450" t="s">
        <v>780</v>
      </c>
      <c r="L1" s="451"/>
      <c r="M1" s="452" t="s">
        <v>592</v>
      </c>
      <c r="N1" s="453"/>
    </row>
    <row r="2" spans="1:14" s="344" customFormat="1" ht="33.75" x14ac:dyDescent="0.2">
      <c r="A2" s="2122"/>
      <c r="B2" s="455" t="s">
        <v>947</v>
      </c>
      <c r="C2" s="456" t="s">
        <v>1217</v>
      </c>
      <c r="D2" s="456" t="s">
        <v>925</v>
      </c>
      <c r="E2" s="456" t="s">
        <v>458</v>
      </c>
      <c r="F2" s="456" t="s">
        <v>157</v>
      </c>
      <c r="G2" s="456" t="s">
        <v>1007</v>
      </c>
      <c r="H2" s="456" t="s">
        <v>457</v>
      </c>
      <c r="I2" s="456" t="s">
        <v>427</v>
      </c>
      <c r="J2" s="456" t="s">
        <v>456</v>
      </c>
      <c r="K2" s="456" t="s">
        <v>159</v>
      </c>
      <c r="L2" s="457" t="s">
        <v>555</v>
      </c>
      <c r="M2" s="458" t="s">
        <v>606</v>
      </c>
      <c r="N2" s="459" t="s">
        <v>556</v>
      </c>
    </row>
    <row r="3" spans="1:14" s="344" customFormat="1" ht="18" customHeight="1" x14ac:dyDescent="0.2">
      <c r="A3" s="2123" t="s">
        <v>1030</v>
      </c>
      <c r="B3" s="2124"/>
      <c r="C3" s="1578"/>
      <c r="D3" s="1579"/>
      <c r="E3" s="1579"/>
      <c r="F3" s="1579"/>
      <c r="G3" s="1579"/>
      <c r="H3" s="1579"/>
      <c r="I3" s="1579"/>
      <c r="J3" s="1579"/>
      <c r="K3" s="1579"/>
      <c r="L3" s="1579"/>
      <c r="M3" s="1580"/>
      <c r="N3" s="1581"/>
    </row>
    <row r="4" spans="1:14" ht="13.5" customHeight="1" x14ac:dyDescent="0.2">
      <c r="A4" s="460" t="s">
        <v>1736</v>
      </c>
      <c r="B4" s="461"/>
      <c r="C4" s="462">
        <v>760943</v>
      </c>
      <c r="D4" s="463"/>
      <c r="E4" s="463"/>
      <c r="F4" s="463"/>
      <c r="G4" s="463"/>
      <c r="H4" s="463"/>
      <c r="I4" s="463"/>
      <c r="J4" s="464"/>
      <c r="K4" s="463"/>
      <c r="L4" s="463">
        <v>27250</v>
      </c>
      <c r="M4" s="465"/>
      <c r="N4" s="466"/>
    </row>
    <row r="5" spans="1:14" x14ac:dyDescent="0.2">
      <c r="A5" s="460" t="s">
        <v>1049</v>
      </c>
      <c r="B5" s="467">
        <v>120</v>
      </c>
      <c r="C5" s="462"/>
      <c r="D5" s="463"/>
      <c r="E5" s="463"/>
      <c r="F5" s="463"/>
      <c r="G5" s="463"/>
      <c r="H5" s="463"/>
      <c r="I5" s="463"/>
      <c r="J5" s="464"/>
      <c r="K5" s="468"/>
      <c r="L5" s="469"/>
      <c r="M5" s="465"/>
      <c r="N5" s="466"/>
    </row>
    <row r="6" spans="1:14" ht="13.5" customHeight="1" x14ac:dyDescent="0.2">
      <c r="A6" s="470" t="s">
        <v>437</v>
      </c>
      <c r="B6" s="467">
        <v>130</v>
      </c>
      <c r="C6" s="462"/>
      <c r="D6" s="463"/>
      <c r="E6" s="463"/>
      <c r="F6" s="463"/>
      <c r="G6" s="468"/>
      <c r="H6" s="468"/>
      <c r="I6" s="463"/>
      <c r="J6" s="471"/>
      <c r="K6" s="468"/>
      <c r="L6" s="472"/>
      <c r="M6" s="465"/>
      <c r="N6" s="466"/>
    </row>
    <row r="7" spans="1:14" ht="13.5" customHeight="1" x14ac:dyDescent="0.2">
      <c r="A7" s="470" t="s">
        <v>438</v>
      </c>
      <c r="B7" s="467">
        <v>140</v>
      </c>
      <c r="C7" s="473"/>
      <c r="D7" s="464"/>
      <c r="E7" s="464"/>
      <c r="F7" s="464"/>
      <c r="G7" s="464"/>
      <c r="H7" s="464"/>
      <c r="I7" s="464"/>
      <c r="J7" s="464"/>
      <c r="K7" s="464"/>
      <c r="L7" s="474"/>
      <c r="M7" s="465"/>
      <c r="N7" s="466"/>
    </row>
    <row r="8" spans="1:14" ht="13.5" customHeight="1" x14ac:dyDescent="0.2">
      <c r="A8" s="470" t="s">
        <v>287</v>
      </c>
      <c r="B8" s="467">
        <v>150</v>
      </c>
      <c r="C8" s="473"/>
      <c r="D8" s="464"/>
      <c r="E8" s="464"/>
      <c r="F8" s="464"/>
      <c r="G8" s="475"/>
      <c r="H8" s="464"/>
      <c r="I8" s="471"/>
      <c r="J8" s="471"/>
      <c r="K8" s="476"/>
      <c r="L8" s="477"/>
      <c r="M8" s="465"/>
      <c r="N8" s="466"/>
    </row>
    <row r="9" spans="1:14" ht="13.5" customHeight="1" x14ac:dyDescent="0.2">
      <c r="A9" s="470" t="s">
        <v>288</v>
      </c>
      <c r="B9" s="467">
        <v>160</v>
      </c>
      <c r="C9" s="473"/>
      <c r="D9" s="464"/>
      <c r="E9" s="464"/>
      <c r="F9" s="464"/>
      <c r="G9" s="464"/>
      <c r="H9" s="475"/>
      <c r="I9" s="464"/>
      <c r="J9" s="464"/>
      <c r="K9" s="464"/>
      <c r="L9" s="464"/>
      <c r="M9" s="465"/>
      <c r="N9" s="466"/>
    </row>
    <row r="10" spans="1:14" ht="13.5" customHeight="1" x14ac:dyDescent="0.2">
      <c r="A10" s="470" t="s">
        <v>1048</v>
      </c>
      <c r="B10" s="467">
        <v>170</v>
      </c>
      <c r="C10" s="462"/>
      <c r="D10" s="463"/>
      <c r="E10" s="464"/>
      <c r="F10" s="463"/>
      <c r="G10" s="475"/>
      <c r="H10" s="478"/>
      <c r="I10" s="464"/>
      <c r="J10" s="464"/>
      <c r="K10" s="478"/>
      <c r="L10" s="478"/>
      <c r="M10" s="466"/>
      <c r="N10" s="466"/>
    </row>
    <row r="11" spans="1:14" ht="13.5" customHeight="1" x14ac:dyDescent="0.2">
      <c r="A11" s="470" t="s">
        <v>289</v>
      </c>
      <c r="B11" s="467">
        <v>180</v>
      </c>
      <c r="C11" s="473"/>
      <c r="D11" s="464"/>
      <c r="E11" s="464"/>
      <c r="F11" s="464"/>
      <c r="G11" s="464"/>
      <c r="H11" s="464"/>
      <c r="I11" s="475"/>
      <c r="J11" s="475"/>
      <c r="K11" s="464"/>
      <c r="L11" s="464"/>
      <c r="M11" s="466"/>
      <c r="N11" s="466"/>
    </row>
    <row r="12" spans="1:14" ht="13.5" customHeight="1" x14ac:dyDescent="0.2">
      <c r="A12" s="470" t="s">
        <v>439</v>
      </c>
      <c r="B12" s="467">
        <v>190</v>
      </c>
      <c r="C12" s="462"/>
      <c r="D12" s="463"/>
      <c r="E12" s="463"/>
      <c r="F12" s="463"/>
      <c r="G12" s="463"/>
      <c r="H12" s="463"/>
      <c r="I12" s="463"/>
      <c r="J12" s="464"/>
      <c r="K12" s="463"/>
      <c r="L12" s="463"/>
      <c r="M12" s="466"/>
      <c r="N12" s="466"/>
    </row>
    <row r="13" spans="1:14" ht="13.5" customHeight="1" thickBot="1" x14ac:dyDescent="0.25">
      <c r="A13" s="1755" t="s">
        <v>665</v>
      </c>
      <c r="B13" s="1728"/>
      <c r="C13" s="1756">
        <f>SUM(C4:C12)</f>
        <v>760943</v>
      </c>
      <c r="D13" s="1756">
        <f t="shared" ref="D13:L13" si="0">SUM(D4:D12)</f>
        <v>0</v>
      </c>
      <c r="E13" s="1756">
        <f t="shared" si="0"/>
        <v>0</v>
      </c>
      <c r="F13" s="1756">
        <f t="shared" si="0"/>
        <v>0</v>
      </c>
      <c r="G13" s="1756">
        <f t="shared" si="0"/>
        <v>0</v>
      </c>
      <c r="H13" s="1756">
        <f t="shared" si="0"/>
        <v>0</v>
      </c>
      <c r="I13" s="1756">
        <f t="shared" si="0"/>
        <v>0</v>
      </c>
      <c r="J13" s="1756">
        <f t="shared" si="0"/>
        <v>0</v>
      </c>
      <c r="K13" s="1756">
        <f t="shared" si="0"/>
        <v>0</v>
      </c>
      <c r="L13" s="1756">
        <f t="shared" si="0"/>
        <v>27250</v>
      </c>
      <c r="M13" s="465"/>
      <c r="N13" s="466"/>
    </row>
    <row r="14" spans="1:14" ht="18" customHeight="1" thickTop="1" x14ac:dyDescent="0.2">
      <c r="A14" s="2125" t="s">
        <v>149</v>
      </c>
      <c r="B14" s="2126"/>
      <c r="C14" s="1582"/>
      <c r="D14" s="1583"/>
      <c r="E14" s="1583"/>
      <c r="F14" s="1583"/>
      <c r="G14" s="1583"/>
      <c r="H14" s="1583"/>
      <c r="I14" s="1583"/>
      <c r="J14" s="1583"/>
      <c r="K14" s="1583"/>
      <c r="L14" s="1583"/>
      <c r="M14" s="1584"/>
      <c r="N14" s="1585"/>
    </row>
    <row r="15" spans="1:14" s="482" customFormat="1" ht="12.75" customHeight="1" x14ac:dyDescent="0.2">
      <c r="A15" s="479" t="s">
        <v>1468</v>
      </c>
      <c r="B15" s="480">
        <v>210</v>
      </c>
      <c r="C15" s="474"/>
      <c r="D15" s="474"/>
      <c r="E15" s="474"/>
      <c r="F15" s="474"/>
      <c r="G15" s="474"/>
      <c r="H15" s="474"/>
      <c r="I15" s="474"/>
      <c r="J15" s="474"/>
      <c r="K15" s="474"/>
      <c r="L15" s="474"/>
      <c r="M15" s="475"/>
      <c r="N15" s="481"/>
    </row>
    <row r="16" spans="1:14" s="482" customFormat="1" ht="12.75" customHeight="1" x14ac:dyDescent="0.2">
      <c r="A16" s="479" t="s">
        <v>1469</v>
      </c>
      <c r="B16" s="480">
        <v>220</v>
      </c>
      <c r="C16" s="474"/>
      <c r="D16" s="474"/>
      <c r="E16" s="474"/>
      <c r="F16" s="474"/>
      <c r="G16" s="474"/>
      <c r="H16" s="474"/>
      <c r="I16" s="474"/>
      <c r="J16" s="474"/>
      <c r="K16" s="474"/>
      <c r="L16" s="474"/>
      <c r="M16" s="464"/>
      <c r="N16" s="481"/>
    </row>
    <row r="17" spans="1:14" s="482" customFormat="1" ht="12.75" customHeight="1" x14ac:dyDescent="0.2">
      <c r="A17" s="479" t="s">
        <v>1470</v>
      </c>
      <c r="B17" s="480">
        <v>230</v>
      </c>
      <c r="C17" s="474"/>
      <c r="D17" s="474"/>
      <c r="E17" s="474"/>
      <c r="F17" s="474"/>
      <c r="G17" s="474"/>
      <c r="H17" s="474"/>
      <c r="I17" s="474"/>
      <c r="J17" s="474"/>
      <c r="K17" s="474"/>
      <c r="L17" s="474"/>
      <c r="M17" s="464"/>
      <c r="N17" s="481"/>
    </row>
    <row r="18" spans="1:14" s="482" customFormat="1" ht="12.75" customHeight="1" x14ac:dyDescent="0.2">
      <c r="A18" s="479" t="s">
        <v>1471</v>
      </c>
      <c r="B18" s="480">
        <v>240</v>
      </c>
      <c r="C18" s="474"/>
      <c r="D18" s="474"/>
      <c r="E18" s="474"/>
      <c r="F18" s="474"/>
      <c r="G18" s="474"/>
      <c r="H18" s="474"/>
      <c r="I18" s="474"/>
      <c r="J18" s="474"/>
      <c r="K18" s="474"/>
      <c r="L18" s="474"/>
      <c r="M18" s="464"/>
      <c r="N18" s="481"/>
    </row>
    <row r="19" spans="1:14" s="482" customFormat="1" ht="12.75" customHeight="1" x14ac:dyDescent="0.2">
      <c r="A19" s="479" t="s">
        <v>1472</v>
      </c>
      <c r="B19" s="480">
        <v>250</v>
      </c>
      <c r="C19" s="474"/>
      <c r="D19" s="474"/>
      <c r="E19" s="474"/>
      <c r="F19" s="474"/>
      <c r="G19" s="474"/>
      <c r="H19" s="474"/>
      <c r="I19" s="474"/>
      <c r="J19" s="474"/>
      <c r="K19" s="474"/>
      <c r="L19" s="474"/>
      <c r="M19" s="464">
        <v>446671</v>
      </c>
      <c r="N19" s="481"/>
    </row>
    <row r="20" spans="1:14" s="482" customFormat="1" ht="12.75" customHeight="1" x14ac:dyDescent="0.2">
      <c r="A20" s="479" t="s">
        <v>1473</v>
      </c>
      <c r="B20" s="480">
        <v>260</v>
      </c>
      <c r="C20" s="474"/>
      <c r="D20" s="474"/>
      <c r="E20" s="474"/>
      <c r="F20" s="474"/>
      <c r="G20" s="474"/>
      <c r="H20" s="474"/>
      <c r="I20" s="474"/>
      <c r="J20" s="474"/>
      <c r="K20" s="474"/>
      <c r="L20" s="474"/>
      <c r="M20" s="464"/>
      <c r="N20" s="481"/>
    </row>
    <row r="21" spans="1:14" s="482" customFormat="1" ht="12.75" customHeight="1" x14ac:dyDescent="0.2">
      <c r="A21" s="479" t="s">
        <v>1474</v>
      </c>
      <c r="B21" s="480">
        <v>340</v>
      </c>
      <c r="C21" s="474"/>
      <c r="D21" s="474"/>
      <c r="E21" s="474"/>
      <c r="F21" s="474"/>
      <c r="G21" s="474"/>
      <c r="H21" s="474"/>
      <c r="I21" s="474"/>
      <c r="J21" s="474"/>
      <c r="K21" s="474"/>
      <c r="L21" s="474"/>
      <c r="M21" s="483"/>
      <c r="N21" s="464"/>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0</v>
      </c>
    </row>
    <row r="23" spans="1:14" ht="13.5" customHeight="1" thickBot="1" x14ac:dyDescent="0.25">
      <c r="A23" s="1755" t="s">
        <v>664</v>
      </c>
      <c r="B23" s="1760"/>
      <c r="C23" s="465"/>
      <c r="D23" s="465"/>
      <c r="E23" s="465"/>
      <c r="F23" s="465"/>
      <c r="G23" s="465"/>
      <c r="H23" s="465"/>
      <c r="I23" s="465"/>
      <c r="J23" s="465"/>
      <c r="K23" s="465"/>
      <c r="L23" s="465"/>
      <c r="M23" s="1707">
        <f>SUM(M15:M22)</f>
        <v>446671</v>
      </c>
      <c r="N23" s="1707">
        <f>SUM(N21:N22)</f>
        <v>0</v>
      </c>
    </row>
    <row r="24" spans="1:14" ht="18" customHeight="1" thickTop="1" x14ac:dyDescent="0.2">
      <c r="A24" s="2127" t="s">
        <v>619</v>
      </c>
      <c r="B24" s="2128"/>
      <c r="C24" s="1587"/>
      <c r="D24" s="1584"/>
      <c r="E24" s="1584"/>
      <c r="F24" s="1584"/>
      <c r="G24" s="1584"/>
      <c r="H24" s="1584"/>
      <c r="I24" s="1584"/>
      <c r="J24" s="1584"/>
      <c r="K24" s="1584"/>
      <c r="L24" s="1584"/>
      <c r="M24" s="1583"/>
      <c r="N24" s="1588"/>
    </row>
    <row r="25" spans="1:14" x14ac:dyDescent="0.2">
      <c r="A25" s="470" t="s">
        <v>666</v>
      </c>
      <c r="B25" s="467">
        <v>410</v>
      </c>
      <c r="C25" s="475"/>
      <c r="D25" s="475"/>
      <c r="E25" s="475"/>
      <c r="F25" s="475"/>
      <c r="G25" s="475"/>
      <c r="H25" s="476"/>
      <c r="I25" s="465"/>
      <c r="J25" s="475"/>
      <c r="K25" s="475"/>
      <c r="L25" s="465"/>
      <c r="M25" s="465"/>
      <c r="N25" s="465"/>
    </row>
    <row r="26" spans="1:14" x14ac:dyDescent="0.2">
      <c r="A26" s="470" t="s">
        <v>667</v>
      </c>
      <c r="B26" s="467">
        <v>420</v>
      </c>
      <c r="C26" s="464"/>
      <c r="D26" s="464"/>
      <c r="E26" s="464"/>
      <c r="F26" s="464"/>
      <c r="G26" s="464"/>
      <c r="H26" s="464"/>
      <c r="I26" s="464"/>
      <c r="J26" s="471"/>
      <c r="K26" s="464"/>
      <c r="L26" s="465"/>
      <c r="M26" s="465"/>
      <c r="N26" s="465"/>
    </row>
    <row r="27" spans="1:14" ht="13.5" customHeight="1" x14ac:dyDescent="0.2">
      <c r="A27" s="470" t="s">
        <v>668</v>
      </c>
      <c r="B27" s="467">
        <v>430</v>
      </c>
      <c r="C27" s="464"/>
      <c r="D27" s="464"/>
      <c r="E27" s="464"/>
      <c r="F27" s="464"/>
      <c r="G27" s="464"/>
      <c r="H27" s="464"/>
      <c r="I27" s="464"/>
      <c r="J27" s="464"/>
      <c r="K27" s="464"/>
      <c r="L27" s="465"/>
      <c r="M27" s="465"/>
      <c r="N27" s="465"/>
    </row>
    <row r="28" spans="1:14" ht="13.5" customHeight="1" x14ac:dyDescent="0.2">
      <c r="A28" s="470" t="s">
        <v>669</v>
      </c>
      <c r="B28" s="467">
        <v>440</v>
      </c>
      <c r="C28" s="464"/>
      <c r="D28" s="464"/>
      <c r="E28" s="471"/>
      <c r="F28" s="464"/>
      <c r="G28" s="471"/>
      <c r="H28" s="471"/>
      <c r="I28" s="464"/>
      <c r="J28" s="464"/>
      <c r="K28" s="476"/>
      <c r="L28" s="465"/>
      <c r="M28" s="465"/>
      <c r="N28" s="465"/>
    </row>
    <row r="29" spans="1:14" ht="13.5" customHeight="1" x14ac:dyDescent="0.2">
      <c r="A29" s="470" t="s">
        <v>670</v>
      </c>
      <c r="B29" s="467">
        <v>460</v>
      </c>
      <c r="C29" s="485"/>
      <c r="D29" s="486"/>
      <c r="E29" s="471"/>
      <c r="F29" s="464"/>
      <c r="G29" s="471"/>
      <c r="H29" s="471"/>
      <c r="I29" s="471"/>
      <c r="J29" s="471"/>
      <c r="K29" s="464"/>
      <c r="L29" s="465"/>
      <c r="M29" s="465"/>
      <c r="N29" s="465"/>
    </row>
    <row r="30" spans="1:14" ht="13.5" customHeight="1" x14ac:dyDescent="0.2">
      <c r="A30" s="470" t="s">
        <v>671</v>
      </c>
      <c r="B30" s="467">
        <v>470</v>
      </c>
      <c r="C30" s="464"/>
      <c r="D30" s="471"/>
      <c r="E30" s="464"/>
      <c r="F30" s="464"/>
      <c r="G30" s="464"/>
      <c r="H30" s="464"/>
      <c r="I30" s="464"/>
      <c r="J30" s="464"/>
      <c r="K30" s="475"/>
      <c r="L30" s="465"/>
      <c r="M30" s="465"/>
      <c r="N30" s="465"/>
    </row>
    <row r="31" spans="1:14" ht="13.5" customHeight="1" x14ac:dyDescent="0.2">
      <c r="A31" s="470" t="s">
        <v>672</v>
      </c>
      <c r="B31" s="467">
        <v>480</v>
      </c>
      <c r="C31" s="463"/>
      <c r="D31" s="464"/>
      <c r="E31" s="464"/>
      <c r="F31" s="463"/>
      <c r="G31" s="464"/>
      <c r="H31" s="464"/>
      <c r="I31" s="464"/>
      <c r="J31" s="464"/>
      <c r="K31" s="464"/>
      <c r="L31" s="465"/>
      <c r="M31" s="465"/>
      <c r="N31" s="465"/>
    </row>
    <row r="32" spans="1:14" ht="13.5" customHeight="1" x14ac:dyDescent="0.2">
      <c r="A32" s="487" t="s">
        <v>673</v>
      </c>
      <c r="B32" s="488">
        <v>490</v>
      </c>
      <c r="C32" s="489"/>
      <c r="D32" s="489"/>
      <c r="E32" s="471"/>
      <c r="F32" s="471"/>
      <c r="G32" s="471"/>
      <c r="H32" s="471"/>
      <c r="I32" s="471"/>
      <c r="J32" s="471"/>
      <c r="K32" s="476"/>
      <c r="L32" s="465"/>
      <c r="M32" s="465"/>
      <c r="N32" s="465"/>
    </row>
    <row r="33" spans="1:14" ht="13.5" customHeight="1" x14ac:dyDescent="0.2">
      <c r="A33" s="490" t="s">
        <v>321</v>
      </c>
      <c r="B33" s="488">
        <v>493</v>
      </c>
      <c r="C33" s="464"/>
      <c r="D33" s="464"/>
      <c r="E33" s="464"/>
      <c r="F33" s="464"/>
      <c r="G33" s="464"/>
      <c r="H33" s="464"/>
      <c r="I33" s="464"/>
      <c r="J33" s="464"/>
      <c r="K33" s="464"/>
      <c r="L33" s="464">
        <v>27250</v>
      </c>
      <c r="M33" s="465"/>
      <c r="N33" s="466"/>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27250</v>
      </c>
      <c r="M34" s="465"/>
      <c r="N34" s="477"/>
    </row>
    <row r="35" spans="1:14" ht="18" customHeight="1" thickTop="1" x14ac:dyDescent="0.2">
      <c r="A35" s="2129" t="s">
        <v>550</v>
      </c>
      <c r="B35" s="2130"/>
      <c r="C35" s="1589"/>
      <c r="D35" s="1590"/>
      <c r="E35" s="1590"/>
      <c r="F35" s="1590"/>
      <c r="G35" s="1590"/>
      <c r="H35" s="1590"/>
      <c r="I35" s="1590"/>
      <c r="J35" s="1590"/>
      <c r="K35" s="1590"/>
      <c r="L35" s="1590"/>
      <c r="M35" s="1584"/>
      <c r="N35" s="1588"/>
    </row>
    <row r="36" spans="1:14" x14ac:dyDescent="0.2">
      <c r="A36" s="491" t="s">
        <v>1</v>
      </c>
      <c r="B36" s="467">
        <v>511</v>
      </c>
      <c r="C36" s="474"/>
      <c r="D36" s="474"/>
      <c r="E36" s="474"/>
      <c r="F36" s="474"/>
      <c r="G36" s="474"/>
      <c r="H36" s="474"/>
      <c r="I36" s="474"/>
      <c r="J36" s="474"/>
      <c r="K36" s="474"/>
      <c r="L36" s="465"/>
      <c r="M36" s="465"/>
      <c r="N36" s="492">
        <f>'Short-Term Long-Term Debt 24'!I49</f>
        <v>0</v>
      </c>
    </row>
    <row r="37" spans="1:14" ht="13.5" thickBot="1" x14ac:dyDescent="0.25">
      <c r="A37" s="1755" t="s">
        <v>674</v>
      </c>
      <c r="B37" s="1760"/>
      <c r="C37" s="474"/>
      <c r="D37" s="474"/>
      <c r="E37" s="474"/>
      <c r="F37" s="474"/>
      <c r="G37" s="474"/>
      <c r="H37" s="474"/>
      <c r="I37" s="474"/>
      <c r="J37" s="474"/>
      <c r="K37" s="474"/>
      <c r="L37" s="477"/>
      <c r="M37" s="465"/>
      <c r="N37" s="1707">
        <f>SUM(N36:N36)</f>
        <v>0</v>
      </c>
    </row>
    <row r="38" spans="1:14" s="326" customFormat="1" ht="13.5" customHeight="1" thickTop="1" x14ac:dyDescent="0.2">
      <c r="A38" s="493" t="s">
        <v>440</v>
      </c>
      <c r="B38" s="480">
        <v>714</v>
      </c>
      <c r="C38" s="463"/>
      <c r="D38" s="463"/>
      <c r="E38" s="463"/>
      <c r="F38" s="463"/>
      <c r="G38" s="463"/>
      <c r="H38" s="463"/>
      <c r="I38" s="463"/>
      <c r="J38" s="464"/>
      <c r="K38" s="463"/>
      <c r="L38" s="478"/>
      <c r="M38" s="494"/>
      <c r="N38" s="494"/>
    </row>
    <row r="39" spans="1:14" s="326" customFormat="1" ht="13.5" customHeight="1" x14ac:dyDescent="0.2">
      <c r="A39" s="493" t="s">
        <v>360</v>
      </c>
      <c r="B39" s="480">
        <v>730</v>
      </c>
      <c r="C39" s="463">
        <v>760943</v>
      </c>
      <c r="D39" s="463"/>
      <c r="E39" s="463"/>
      <c r="F39" s="463"/>
      <c r="G39" s="463"/>
      <c r="H39" s="463"/>
      <c r="I39" s="463"/>
      <c r="J39" s="464"/>
      <c r="K39" s="463"/>
      <c r="L39" s="463"/>
      <c r="M39" s="494"/>
      <c r="N39" s="494"/>
    </row>
    <row r="40" spans="1:14" s="326" customFormat="1" ht="13.5" customHeight="1" x14ac:dyDescent="0.2">
      <c r="A40" s="495" t="s">
        <v>150</v>
      </c>
      <c r="B40" s="496"/>
      <c r="C40" s="497"/>
      <c r="D40" s="497"/>
      <c r="E40" s="497"/>
      <c r="F40" s="497"/>
      <c r="G40" s="497"/>
      <c r="H40" s="497"/>
      <c r="I40" s="497"/>
      <c r="J40" s="497"/>
      <c r="K40" s="497"/>
      <c r="L40" s="497"/>
      <c r="M40" s="464">
        <v>446671</v>
      </c>
      <c r="N40" s="494"/>
    </row>
    <row r="41" spans="1:14" ht="13.5" customHeight="1" thickBot="1" x14ac:dyDescent="0.25">
      <c r="A41" s="1755" t="s">
        <v>676</v>
      </c>
      <c r="B41" s="1725"/>
      <c r="C41" s="1707">
        <f>(SUM(C34,C37,C38,C39))</f>
        <v>760943</v>
      </c>
      <c r="D41" s="1707">
        <f t="shared" ref="D41:L41" si="2">SUM(D34,D37,D38:D39)</f>
        <v>0</v>
      </c>
      <c r="E41" s="1707">
        <f t="shared" si="2"/>
        <v>0</v>
      </c>
      <c r="F41" s="1707">
        <f t="shared" si="2"/>
        <v>0</v>
      </c>
      <c r="G41" s="1707">
        <f t="shared" si="2"/>
        <v>0</v>
      </c>
      <c r="H41" s="1707">
        <f t="shared" si="2"/>
        <v>0</v>
      </c>
      <c r="I41" s="1707">
        <f t="shared" si="2"/>
        <v>0</v>
      </c>
      <c r="J41" s="1707">
        <f t="shared" si="2"/>
        <v>0</v>
      </c>
      <c r="K41" s="1707">
        <f t="shared" si="2"/>
        <v>0</v>
      </c>
      <c r="L41" s="1707">
        <f t="shared" si="2"/>
        <v>27250</v>
      </c>
      <c r="M41" s="1707">
        <f>SUM(M40)</f>
        <v>446671</v>
      </c>
      <c r="N41" s="1707">
        <f>SUM(N37)</f>
        <v>0</v>
      </c>
    </row>
    <row r="42" spans="1:14" ht="13.5" thickTop="1" x14ac:dyDescent="0.2"/>
    <row r="43" spans="1:14" x14ac:dyDescent="0.2">
      <c r="A43" s="246"/>
      <c r="C43" s="500"/>
    </row>
    <row r="44" spans="1:14" x14ac:dyDescent="0.2">
      <c r="A44" s="246"/>
      <c r="C44" s="500"/>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8" activePane="bottomLeft" state="frozenSplit"/>
      <selection activeCell="A47" sqref="A47"/>
      <selection pane="bottomLeft" activeCell="C81" sqref="C81"/>
    </sheetView>
  </sheetViews>
  <sheetFormatPr defaultColWidth="9.140625" defaultRowHeight="12.75" x14ac:dyDescent="0.2"/>
  <cols>
    <col min="1" max="1" width="55.85546875" style="498" customWidth="1"/>
    <col min="2" max="2" width="4.7109375" style="499" customWidth="1"/>
    <col min="3" max="11" width="13.7109375" style="454" customWidth="1"/>
    <col min="12" max="12" width="2" style="454" customWidth="1"/>
    <col min="13" max="16384" width="9.140625" style="454"/>
  </cols>
  <sheetData>
    <row r="1" spans="1:13" ht="12.75" customHeight="1" x14ac:dyDescent="0.2">
      <c r="A1" s="2131" t="s">
        <v>1737</v>
      </c>
      <c r="B1" s="449"/>
      <c r="C1" s="501" t="s">
        <v>445</v>
      </c>
      <c r="D1" s="501" t="s">
        <v>446</v>
      </c>
      <c r="E1" s="501" t="s">
        <v>447</v>
      </c>
      <c r="F1" s="501" t="s">
        <v>448</v>
      </c>
      <c r="G1" s="501" t="s">
        <v>449</v>
      </c>
      <c r="H1" s="501" t="s">
        <v>450</v>
      </c>
      <c r="I1" s="501" t="s">
        <v>451</v>
      </c>
      <c r="J1" s="501" t="s">
        <v>452</v>
      </c>
      <c r="K1" s="501" t="s">
        <v>780</v>
      </c>
      <c r="L1" s="498"/>
    </row>
    <row r="2" spans="1:13" s="502" customFormat="1" ht="37.5" customHeight="1" x14ac:dyDescent="0.2">
      <c r="A2" s="2132"/>
      <c r="B2" s="455" t="s">
        <v>396</v>
      </c>
      <c r="C2" s="456" t="s">
        <v>1217</v>
      </c>
      <c r="D2" s="456" t="s">
        <v>925</v>
      </c>
      <c r="E2" s="456" t="s">
        <v>458</v>
      </c>
      <c r="F2" s="456" t="s">
        <v>157</v>
      </c>
      <c r="G2" s="456" t="s">
        <v>1046</v>
      </c>
      <c r="H2" s="456" t="s">
        <v>457</v>
      </c>
      <c r="I2" s="456" t="s">
        <v>427</v>
      </c>
      <c r="J2" s="456" t="s">
        <v>456</v>
      </c>
      <c r="K2" s="456" t="s">
        <v>159</v>
      </c>
      <c r="L2" s="499"/>
    </row>
    <row r="3" spans="1:13" s="504" customFormat="1" ht="16.7" customHeight="1" x14ac:dyDescent="0.2">
      <c r="A3" s="2143" t="s">
        <v>1237</v>
      </c>
      <c r="B3" s="2144"/>
      <c r="C3" s="1592"/>
      <c r="D3" s="1593"/>
      <c r="E3" s="1593"/>
      <c r="F3" s="1593"/>
      <c r="G3" s="1593"/>
      <c r="H3" s="1593"/>
      <c r="I3" s="1593"/>
      <c r="J3" s="1593"/>
      <c r="K3" s="1594"/>
      <c r="L3" s="503"/>
    </row>
    <row r="4" spans="1:13" ht="15.75" customHeight="1" x14ac:dyDescent="0.2">
      <c r="A4" s="2145" t="s">
        <v>1579</v>
      </c>
      <c r="B4" s="2146"/>
      <c r="C4" s="1761">
        <f>'Revenues 9-14'!C109</f>
        <v>654629</v>
      </c>
      <c r="D4" s="1761">
        <f>'Revenues 9-14'!D109</f>
        <v>0</v>
      </c>
      <c r="E4" s="1761">
        <f>'Revenues 9-14'!E109</f>
        <v>0</v>
      </c>
      <c r="F4" s="1761">
        <f>'Revenues 9-14'!F109</f>
        <v>0</v>
      </c>
      <c r="G4" s="1761">
        <f>'Revenues 9-14'!G109</f>
        <v>0</v>
      </c>
      <c r="H4" s="1761">
        <f>'Revenues 9-14'!H109</f>
        <v>0</v>
      </c>
      <c r="I4" s="1761">
        <f>'Revenues 9-14'!I109</f>
        <v>0</v>
      </c>
      <c r="J4" s="1761">
        <f>'Revenues 9-14'!J109</f>
        <v>0</v>
      </c>
      <c r="K4" s="1761">
        <f>'Revenues 9-14'!K109</f>
        <v>0</v>
      </c>
      <c r="L4" s="344"/>
    </row>
    <row r="5" spans="1:13" ht="15.75" customHeight="1" x14ac:dyDescent="0.2">
      <c r="A5" s="1595" t="s">
        <v>1580</v>
      </c>
      <c r="B5" s="1596">
        <v>2000</v>
      </c>
      <c r="C5" s="1762">
        <f>'Revenues 9-14'!C114</f>
        <v>0</v>
      </c>
      <c r="D5" s="1762">
        <f>'Revenues 9-14'!D114</f>
        <v>0</v>
      </c>
      <c r="E5" s="505"/>
      <c r="F5" s="1762">
        <f>'Revenues 9-14'!F114</f>
        <v>0</v>
      </c>
      <c r="G5" s="1762">
        <f>'Revenues 9-14'!G114</f>
        <v>0</v>
      </c>
      <c r="H5" s="506" t="s">
        <v>1231</v>
      </c>
      <c r="I5" s="507" t="s">
        <v>1231</v>
      </c>
      <c r="J5" s="508" t="s">
        <v>1231</v>
      </c>
      <c r="K5" s="509" t="s">
        <v>1231</v>
      </c>
      <c r="L5" s="344"/>
    </row>
    <row r="6" spans="1:13" ht="15.75" customHeight="1" x14ac:dyDescent="0.2">
      <c r="A6" s="1595" t="s">
        <v>1581</v>
      </c>
      <c r="B6" s="1597">
        <v>3000</v>
      </c>
      <c r="C6" s="1762">
        <f>'Revenues 9-14'!C173</f>
        <v>226895</v>
      </c>
      <c r="D6" s="1762">
        <f>'Revenues 9-14'!D173</f>
        <v>0</v>
      </c>
      <c r="E6" s="1762">
        <f>'Revenues 9-14'!E173</f>
        <v>0</v>
      </c>
      <c r="F6" s="1762">
        <f>'Revenues 9-14'!F173</f>
        <v>0</v>
      </c>
      <c r="G6" s="1762">
        <f>'Revenues 9-14'!G173</f>
        <v>0</v>
      </c>
      <c r="H6" s="1762">
        <f>'Revenues 9-14'!H173</f>
        <v>0</v>
      </c>
      <c r="I6" s="1762">
        <f>'Revenues 9-14'!I173</f>
        <v>0</v>
      </c>
      <c r="J6" s="1762">
        <f>'Revenues 9-14'!J173</f>
        <v>0</v>
      </c>
      <c r="K6" s="1762">
        <f>'Revenues 9-14'!K173</f>
        <v>0</v>
      </c>
      <c r="L6" s="344"/>
      <c r="M6" s="510"/>
    </row>
    <row r="7" spans="1:13" ht="15.75" customHeight="1" x14ac:dyDescent="0.2">
      <c r="A7" s="1595" t="s">
        <v>1582</v>
      </c>
      <c r="B7" s="1597">
        <v>4000</v>
      </c>
      <c r="C7" s="1762">
        <f>'Revenues 9-14'!C274</f>
        <v>0</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4"/>
      <c r="M7" s="510"/>
    </row>
    <row r="8" spans="1:13" ht="13.5" thickBot="1" x14ac:dyDescent="0.25">
      <c r="A8" s="1755" t="s">
        <v>1234</v>
      </c>
      <c r="B8" s="1728"/>
      <c r="C8" s="1707">
        <f>SUM(C4:C7)</f>
        <v>881524</v>
      </c>
      <c r="D8" s="1707">
        <f t="shared" ref="D8:K8" si="0">SUM(D4:D7)</f>
        <v>0</v>
      </c>
      <c r="E8" s="1707">
        <f t="shared" si="0"/>
        <v>0</v>
      </c>
      <c r="F8" s="1707">
        <f t="shared" si="0"/>
        <v>0</v>
      </c>
      <c r="G8" s="1707">
        <f t="shared" si="0"/>
        <v>0</v>
      </c>
      <c r="H8" s="1707">
        <f t="shared" si="0"/>
        <v>0</v>
      </c>
      <c r="I8" s="1707">
        <f t="shared" si="0"/>
        <v>0</v>
      </c>
      <c r="J8" s="1707">
        <f t="shared" si="0"/>
        <v>0</v>
      </c>
      <c r="K8" s="1707">
        <f t="shared" si="0"/>
        <v>0</v>
      </c>
      <c r="L8" s="344"/>
    </row>
    <row r="9" spans="1:13" ht="15.75" thickTop="1" x14ac:dyDescent="0.2">
      <c r="A9" s="511" t="s">
        <v>1738</v>
      </c>
      <c r="B9" s="512">
        <v>3998</v>
      </c>
      <c r="C9" s="478"/>
      <c r="D9" s="513"/>
      <c r="E9" s="478"/>
      <c r="F9" s="478"/>
      <c r="G9" s="514"/>
      <c r="H9" s="478"/>
      <c r="I9" s="506" t="s">
        <v>1231</v>
      </c>
      <c r="J9" s="475"/>
      <c r="K9" s="478"/>
      <c r="L9" s="344"/>
    </row>
    <row r="10" spans="1:13" s="516" customFormat="1" ht="13.5" thickBot="1" x14ac:dyDescent="0.25">
      <c r="A10" s="1755" t="s">
        <v>1235</v>
      </c>
      <c r="B10" s="1728"/>
      <c r="C10" s="1707">
        <f>SUM(C8:C9)</f>
        <v>881524</v>
      </c>
      <c r="D10" s="1707">
        <f t="shared" ref="D10:K10" si="1">SUM(D8:D9)</f>
        <v>0</v>
      </c>
      <c r="E10" s="1707">
        <f t="shared" si="1"/>
        <v>0</v>
      </c>
      <c r="F10" s="1707">
        <f t="shared" si="1"/>
        <v>0</v>
      </c>
      <c r="G10" s="1707">
        <f t="shared" si="1"/>
        <v>0</v>
      </c>
      <c r="H10" s="1707">
        <f t="shared" si="1"/>
        <v>0</v>
      </c>
      <c r="I10" s="1707">
        <f t="shared" si="1"/>
        <v>0</v>
      </c>
      <c r="J10" s="1707">
        <f t="shared" si="1"/>
        <v>0</v>
      </c>
      <c r="K10" s="1707">
        <f t="shared" si="1"/>
        <v>0</v>
      </c>
      <c r="L10" s="515"/>
    </row>
    <row r="11" spans="1:13" s="516" customFormat="1" ht="16.7" customHeight="1" thickTop="1" x14ac:dyDescent="0.2">
      <c r="A11" s="2125" t="s">
        <v>1238</v>
      </c>
      <c r="B11" s="2126"/>
      <c r="C11" s="1589"/>
      <c r="D11" s="1590"/>
      <c r="E11" s="1590"/>
      <c r="F11" s="1590"/>
      <c r="G11" s="1590"/>
      <c r="H11" s="1590"/>
      <c r="I11" s="1590"/>
      <c r="J11" s="1590"/>
      <c r="K11" s="1591"/>
      <c r="L11" s="515"/>
    </row>
    <row r="12" spans="1:13" ht="15.75" customHeight="1" x14ac:dyDescent="0.2">
      <c r="A12" s="1595" t="s">
        <v>476</v>
      </c>
      <c r="B12" s="1597">
        <v>1000</v>
      </c>
      <c r="C12" s="1761">
        <f>'Expenditures 15-22'!K33</f>
        <v>520418</v>
      </c>
      <c r="D12" s="517" t="s">
        <v>1231</v>
      </c>
      <c r="E12" s="465" t="s">
        <v>1231</v>
      </c>
      <c r="F12" s="465" t="s">
        <v>1231</v>
      </c>
      <c r="G12" s="1761">
        <f>'Expenditures 15-22'!K229</f>
        <v>0</v>
      </c>
      <c r="H12" s="518"/>
      <c r="I12" s="465" t="s">
        <v>1231</v>
      </c>
      <c r="J12" s="465" t="s">
        <v>1231</v>
      </c>
      <c r="K12" s="518" t="s">
        <v>1231</v>
      </c>
      <c r="L12" s="344"/>
    </row>
    <row r="13" spans="1:13" ht="15.75" customHeight="1" x14ac:dyDescent="0.2">
      <c r="A13" s="1595" t="s">
        <v>477</v>
      </c>
      <c r="B13" s="1597">
        <v>2000</v>
      </c>
      <c r="C13" s="1762">
        <f>'Expenditures 15-22'!K74</f>
        <v>190474</v>
      </c>
      <c r="D13" s="1762">
        <f>'Expenditures 15-22'!K129</f>
        <v>0</v>
      </c>
      <c r="E13" s="466" t="s">
        <v>1231</v>
      </c>
      <c r="F13" s="1762">
        <f>'Expenditures 15-22'!K184</f>
        <v>0</v>
      </c>
      <c r="G13" s="1762">
        <f>'Expenditures 15-22'!K279</f>
        <v>0</v>
      </c>
      <c r="H13" s="1762">
        <f>'Expenditures 15-22'!K303</f>
        <v>0</v>
      </c>
      <c r="I13" s="465" t="s">
        <v>1231</v>
      </c>
      <c r="J13" s="1762">
        <f>'Expenditures 15-22'!K330</f>
        <v>0</v>
      </c>
      <c r="K13" s="1766">
        <f>'Expenditures 15-22'!K352</f>
        <v>0</v>
      </c>
      <c r="L13" s="344"/>
    </row>
    <row r="14" spans="1:13" ht="15.75" customHeight="1" x14ac:dyDescent="0.2">
      <c r="A14" s="1595" t="s">
        <v>469</v>
      </c>
      <c r="B14" s="1597">
        <v>3000</v>
      </c>
      <c r="C14" s="1762">
        <f>'Expenditures 15-22'!K75</f>
        <v>0</v>
      </c>
      <c r="D14" s="1762">
        <f>'Expenditures 15-22'!K130</f>
        <v>0</v>
      </c>
      <c r="E14" s="517" t="s">
        <v>1231</v>
      </c>
      <c r="F14" s="1762">
        <f>'Expenditures 15-22'!K185</f>
        <v>0</v>
      </c>
      <c r="G14" s="1762">
        <f>'Expenditures 15-22'!K280</f>
        <v>0</v>
      </c>
      <c r="H14" s="509"/>
      <c r="I14" s="465" t="s">
        <v>1231</v>
      </c>
      <c r="J14" s="465" t="s">
        <v>1231</v>
      </c>
      <c r="K14" s="509" t="s">
        <v>1231</v>
      </c>
      <c r="L14" s="344"/>
    </row>
    <row r="15" spans="1:13" ht="15.75" customHeight="1" x14ac:dyDescent="0.2">
      <c r="A15" s="1595" t="s">
        <v>109</v>
      </c>
      <c r="B15" s="1597">
        <v>4000</v>
      </c>
      <c r="C15" s="1762">
        <f>'Expenditures 15-22'!K102</f>
        <v>0</v>
      </c>
      <c r="D15" s="1762">
        <f>'Expenditures 15-22'!K139</f>
        <v>0</v>
      </c>
      <c r="E15" s="1762">
        <f>'Expenditures 15-22'!K160</f>
        <v>0</v>
      </c>
      <c r="F15" s="1762">
        <f>'Expenditures 15-22'!K196</f>
        <v>0</v>
      </c>
      <c r="G15" s="1762">
        <f>'Expenditures 15-22'!K285</f>
        <v>0</v>
      </c>
      <c r="H15" s="1762">
        <f>'Expenditures 15-22'!K310</f>
        <v>0</v>
      </c>
      <c r="I15" s="465" t="s">
        <v>1231</v>
      </c>
      <c r="J15" s="1855">
        <f>'Expenditures 15-22'!K334</f>
        <v>0</v>
      </c>
      <c r="K15" s="1762">
        <f>'Expenditures 15-22'!K357</f>
        <v>0</v>
      </c>
      <c r="L15" s="344"/>
    </row>
    <row r="16" spans="1:13" ht="15.75" customHeight="1" x14ac:dyDescent="0.2">
      <c r="A16" s="1595" t="s">
        <v>470</v>
      </c>
      <c r="B16" s="1597">
        <v>5000</v>
      </c>
      <c r="C16" s="1762">
        <f>'Expenditures 15-22'!K112</f>
        <v>0</v>
      </c>
      <c r="D16" s="1762">
        <f>'Expenditures 15-22'!K149</f>
        <v>0</v>
      </c>
      <c r="E16" s="1762">
        <f>'Expenditures 15-22'!K172</f>
        <v>0</v>
      </c>
      <c r="F16" s="1762">
        <f>'Expenditures 15-22'!K208</f>
        <v>0</v>
      </c>
      <c r="G16" s="1762">
        <f>'Expenditures 15-22'!K293</f>
        <v>0</v>
      </c>
      <c r="H16" s="520"/>
      <c r="I16" s="465" t="s">
        <v>1231</v>
      </c>
      <c r="J16" s="1767">
        <f>'Expenditures 15-22'!K340</f>
        <v>0</v>
      </c>
      <c r="K16" s="1762">
        <f>'Expenditures 15-22'!K365</f>
        <v>0</v>
      </c>
      <c r="L16" s="344"/>
    </row>
    <row r="17" spans="1:12" ht="13.5" thickBot="1" x14ac:dyDescent="0.25">
      <c r="A17" s="1727" t="s">
        <v>50</v>
      </c>
      <c r="B17" s="1728"/>
      <c r="C17" s="1707">
        <f t="shared" ref="C17:H17" si="2">SUM(C12:C16)</f>
        <v>710892</v>
      </c>
      <c r="D17" s="1707">
        <f t="shared" si="2"/>
        <v>0</v>
      </c>
      <c r="E17" s="1707">
        <f t="shared" si="2"/>
        <v>0</v>
      </c>
      <c r="F17" s="1707">
        <f t="shared" si="2"/>
        <v>0</v>
      </c>
      <c r="G17" s="1707">
        <f t="shared" si="2"/>
        <v>0</v>
      </c>
      <c r="H17" s="1707">
        <f t="shared" si="2"/>
        <v>0</v>
      </c>
      <c r="I17" s="465"/>
      <c r="J17" s="1707">
        <f>SUM(J12:J16)</f>
        <v>0</v>
      </c>
      <c r="K17" s="1707">
        <f>SUM(K12:K16)</f>
        <v>0</v>
      </c>
      <c r="L17" s="344"/>
    </row>
    <row r="18" spans="1:12" ht="15" customHeight="1" thickTop="1" x14ac:dyDescent="0.2">
      <c r="A18" s="1763" t="s">
        <v>1739</v>
      </c>
      <c r="B18" s="1764">
        <v>4180</v>
      </c>
      <c r="C18" s="1761">
        <f t="shared" ref="C18:H18" si="3">C9</f>
        <v>0</v>
      </c>
      <c r="D18" s="1761">
        <f t="shared" si="3"/>
        <v>0</v>
      </c>
      <c r="E18" s="1761">
        <f t="shared" si="3"/>
        <v>0</v>
      </c>
      <c r="F18" s="1761">
        <f t="shared" si="3"/>
        <v>0</v>
      </c>
      <c r="G18" s="1761">
        <f t="shared" si="3"/>
        <v>0</v>
      </c>
      <c r="H18" s="1761">
        <f t="shared" si="3"/>
        <v>0</v>
      </c>
      <c r="I18" s="465"/>
      <c r="J18" s="1761">
        <f>J9</f>
        <v>0</v>
      </c>
      <c r="K18" s="1761">
        <f>K9</f>
        <v>0</v>
      </c>
      <c r="L18" s="344"/>
    </row>
    <row r="19" spans="1:12" ht="13.5" thickBot="1" x14ac:dyDescent="0.25">
      <c r="A19" s="1727" t="s">
        <v>526</v>
      </c>
      <c r="B19" s="1728"/>
      <c r="C19" s="1707">
        <f t="shared" ref="C19:H19" si="4">SUM(C17:C18)</f>
        <v>710892</v>
      </c>
      <c r="D19" s="1707">
        <f t="shared" si="4"/>
        <v>0</v>
      </c>
      <c r="E19" s="1707">
        <f t="shared" si="4"/>
        <v>0</v>
      </c>
      <c r="F19" s="1707">
        <f t="shared" si="4"/>
        <v>0</v>
      </c>
      <c r="G19" s="1707">
        <f t="shared" si="4"/>
        <v>0</v>
      </c>
      <c r="H19" s="1707">
        <f t="shared" si="4"/>
        <v>0</v>
      </c>
      <c r="I19" s="465"/>
      <c r="J19" s="1707">
        <f>SUM(J17:J18)</f>
        <v>0</v>
      </c>
      <c r="K19" s="1707">
        <f>SUM(K17:K18)</f>
        <v>0</v>
      </c>
      <c r="L19" s="344"/>
    </row>
    <row r="20" spans="1:12" ht="16.5" thickTop="1" thickBot="1" x14ac:dyDescent="0.25">
      <c r="A20" s="2133" t="s">
        <v>1740</v>
      </c>
      <c r="B20" s="2134"/>
      <c r="C20" s="1765">
        <f>C8-C17</f>
        <v>170632</v>
      </c>
      <c r="D20" s="1765">
        <f t="shared" ref="D20:K20" si="5">D8-D17</f>
        <v>0</v>
      </c>
      <c r="E20" s="1765">
        <f t="shared" si="5"/>
        <v>0</v>
      </c>
      <c r="F20" s="1765">
        <f t="shared" si="5"/>
        <v>0</v>
      </c>
      <c r="G20" s="1765">
        <f t="shared" si="5"/>
        <v>0</v>
      </c>
      <c r="H20" s="1765">
        <f t="shared" si="5"/>
        <v>0</v>
      </c>
      <c r="I20" s="1765">
        <f t="shared" si="5"/>
        <v>0</v>
      </c>
      <c r="J20" s="1765">
        <f t="shared" si="5"/>
        <v>0</v>
      </c>
      <c r="K20" s="1765">
        <f t="shared" si="5"/>
        <v>0</v>
      </c>
      <c r="L20" s="344"/>
    </row>
    <row r="21" spans="1:12" ht="16.7" customHeight="1" thickTop="1" x14ac:dyDescent="0.2">
      <c r="A21" s="2147" t="s">
        <v>616</v>
      </c>
      <c r="B21" s="2148"/>
      <c r="C21" s="1589"/>
      <c r="D21" s="1590"/>
      <c r="E21" s="1590"/>
      <c r="F21" s="1590"/>
      <c r="G21" s="1590"/>
      <c r="H21" s="1590"/>
      <c r="I21" s="1590"/>
      <c r="J21" s="1590"/>
      <c r="K21" s="1591"/>
      <c r="L21" s="521"/>
    </row>
    <row r="22" spans="1:12" ht="15.75" customHeight="1" collapsed="1" x14ac:dyDescent="0.2">
      <c r="A22" s="2141" t="s">
        <v>617</v>
      </c>
      <c r="B22" s="2142"/>
      <c r="C22" s="474"/>
      <c r="D22" s="474"/>
      <c r="E22" s="474"/>
      <c r="F22" s="474"/>
      <c r="G22" s="474"/>
      <c r="H22" s="474"/>
      <c r="I22" s="474"/>
      <c r="J22" s="474"/>
      <c r="K22" s="474"/>
      <c r="L22" s="344"/>
    </row>
    <row r="23" spans="1:12" s="482" customFormat="1" ht="15.75" customHeight="1" x14ac:dyDescent="0.2">
      <c r="A23" s="2137" t="s">
        <v>311</v>
      </c>
      <c r="B23" s="2138"/>
      <c r="C23" s="477"/>
      <c r="D23" s="474"/>
      <c r="E23" s="474"/>
      <c r="F23" s="474"/>
      <c r="G23" s="474"/>
      <c r="H23" s="474"/>
      <c r="I23" s="474"/>
      <c r="J23" s="474"/>
      <c r="K23" s="474"/>
      <c r="L23" s="521"/>
    </row>
    <row r="24" spans="1:12" s="482" customFormat="1" ht="13.5" customHeight="1" x14ac:dyDescent="0.2">
      <c r="A24" s="1508" t="s">
        <v>1741</v>
      </c>
      <c r="B24" s="522">
        <v>7110</v>
      </c>
      <c r="C24" s="464"/>
      <c r="D24" s="474"/>
      <c r="E24" s="474"/>
      <c r="F24" s="474"/>
      <c r="G24" s="474"/>
      <c r="H24" s="474"/>
      <c r="I24" s="474"/>
      <c r="J24" s="474"/>
      <c r="K24" s="474"/>
      <c r="L24" s="521"/>
    </row>
    <row r="25" spans="1:12" s="482" customFormat="1" ht="13.5" customHeight="1" x14ac:dyDescent="0.2">
      <c r="A25" s="1508" t="s">
        <v>1742</v>
      </c>
      <c r="B25" s="522">
        <v>7110</v>
      </c>
      <c r="C25" s="464"/>
      <c r="D25" s="464"/>
      <c r="E25" s="464"/>
      <c r="F25" s="464"/>
      <c r="G25" s="464"/>
      <c r="H25" s="464"/>
      <c r="I25" s="474"/>
      <c r="J25" s="464"/>
      <c r="K25" s="464"/>
      <c r="L25" s="521"/>
    </row>
    <row r="26" spans="1:12" s="482" customFormat="1" ht="13.5" customHeight="1" x14ac:dyDescent="0.2">
      <c r="A26" s="1508" t="s">
        <v>193</v>
      </c>
      <c r="B26" s="480">
        <v>7120</v>
      </c>
      <c r="C26" s="464"/>
      <c r="D26" s="464"/>
      <c r="E26" s="464"/>
      <c r="F26" s="464"/>
      <c r="G26" s="464"/>
      <c r="H26" s="464"/>
      <c r="I26" s="474"/>
      <c r="J26" s="464"/>
      <c r="K26" s="464"/>
      <c r="L26" s="521"/>
    </row>
    <row r="27" spans="1:12" s="482" customFormat="1" ht="13.5" customHeight="1" x14ac:dyDescent="0.2">
      <c r="A27" s="1508" t="s">
        <v>194</v>
      </c>
      <c r="B27" s="480">
        <v>7130</v>
      </c>
      <c r="C27" s="464"/>
      <c r="D27" s="464"/>
      <c r="E27" s="523"/>
      <c r="F27" s="464"/>
      <c r="G27" s="477"/>
      <c r="H27" s="477"/>
      <c r="I27" s="477"/>
      <c r="J27" s="477"/>
      <c r="K27" s="477"/>
      <c r="L27" s="521"/>
    </row>
    <row r="28" spans="1:12" s="482" customFormat="1" ht="13.5" customHeight="1" x14ac:dyDescent="0.2">
      <c r="A28" s="1508" t="s">
        <v>1465</v>
      </c>
      <c r="B28" s="480">
        <v>7140</v>
      </c>
      <c r="C28" s="464"/>
      <c r="D28" s="464"/>
      <c r="E28" s="464"/>
      <c r="F28" s="464"/>
      <c r="G28" s="464"/>
      <c r="H28" s="464"/>
      <c r="I28" s="464"/>
      <c r="J28" s="464"/>
      <c r="K28" s="464"/>
      <c r="L28" s="521"/>
    </row>
    <row r="29" spans="1:12" s="482" customFormat="1" ht="13.5" customHeight="1" x14ac:dyDescent="0.2">
      <c r="A29" s="1508" t="s">
        <v>312</v>
      </c>
      <c r="B29" s="480">
        <v>7150</v>
      </c>
      <c r="C29" s="472"/>
      <c r="D29" s="464"/>
      <c r="E29" s="472"/>
      <c r="F29" s="472"/>
      <c r="G29" s="472"/>
      <c r="H29" s="472"/>
      <c r="I29" s="472"/>
      <c r="J29" s="472"/>
      <c r="K29" s="472"/>
      <c r="L29" s="521"/>
    </row>
    <row r="30" spans="1:12" s="482" customFormat="1" ht="26.25" x14ac:dyDescent="0.2">
      <c r="A30" s="1508" t="s">
        <v>1882</v>
      </c>
      <c r="B30" s="524">
        <v>7160</v>
      </c>
      <c r="C30" s="474"/>
      <c r="D30" s="464"/>
      <c r="E30" s="474"/>
      <c r="F30" s="474"/>
      <c r="G30" s="474"/>
      <c r="H30" s="474"/>
      <c r="I30" s="474"/>
      <c r="J30" s="474"/>
      <c r="K30" s="474"/>
      <c r="L30" s="521"/>
    </row>
    <row r="31" spans="1:12" s="482" customFormat="1" ht="26.25" x14ac:dyDescent="0.2">
      <c r="A31" s="1508" t="s">
        <v>1886</v>
      </c>
      <c r="B31" s="524">
        <v>7170</v>
      </c>
      <c r="C31" s="474"/>
      <c r="D31" s="474"/>
      <c r="E31" s="471"/>
      <c r="F31" s="474"/>
      <c r="G31" s="474"/>
      <c r="H31" s="474"/>
      <c r="I31" s="474"/>
      <c r="J31" s="474"/>
      <c r="K31" s="474"/>
      <c r="L31" s="521"/>
    </row>
    <row r="32" spans="1:12" s="482" customFormat="1" ht="15.75" customHeight="1" x14ac:dyDescent="0.2">
      <c r="A32" s="2139" t="s">
        <v>1038</v>
      </c>
      <c r="B32" s="2140"/>
      <c r="C32" s="474"/>
      <c r="D32" s="474"/>
      <c r="E32" s="472"/>
      <c r="F32" s="474"/>
      <c r="G32" s="474"/>
      <c r="H32" s="474"/>
      <c r="I32" s="474"/>
      <c r="J32" s="474"/>
      <c r="K32" s="474"/>
      <c r="L32" s="521"/>
    </row>
    <row r="33" spans="1:12" s="482" customFormat="1" x14ac:dyDescent="0.2">
      <c r="A33" s="1508" t="s">
        <v>432</v>
      </c>
      <c r="B33" s="522">
        <v>7210</v>
      </c>
      <c r="C33" s="464"/>
      <c r="D33" s="464"/>
      <c r="E33" s="464"/>
      <c r="F33" s="464"/>
      <c r="G33" s="474"/>
      <c r="H33" s="464"/>
      <c r="I33" s="464"/>
      <c r="J33" s="464"/>
      <c r="K33" s="464"/>
      <c r="L33" s="521"/>
    </row>
    <row r="34" spans="1:12" s="482" customFormat="1" x14ac:dyDescent="0.2">
      <c r="A34" s="1508" t="s">
        <v>1058</v>
      </c>
      <c r="B34" s="522">
        <v>7220</v>
      </c>
      <c r="C34" s="464"/>
      <c r="D34" s="464"/>
      <c r="E34" s="464"/>
      <c r="F34" s="464"/>
      <c r="G34" s="474"/>
      <c r="H34" s="475"/>
      <c r="I34" s="475"/>
      <c r="J34" s="475"/>
      <c r="K34" s="475"/>
      <c r="L34" s="521"/>
    </row>
    <row r="35" spans="1:12" s="482" customFormat="1" x14ac:dyDescent="0.2">
      <c r="A35" s="1508" t="s">
        <v>1047</v>
      </c>
      <c r="B35" s="522">
        <v>7230</v>
      </c>
      <c r="C35" s="464"/>
      <c r="D35" s="464"/>
      <c r="E35" s="464"/>
      <c r="F35" s="464"/>
      <c r="G35" s="477"/>
      <c r="H35" s="464"/>
      <c r="I35" s="464"/>
      <c r="J35" s="464"/>
      <c r="K35" s="464"/>
      <c r="L35" s="521"/>
    </row>
    <row r="36" spans="1:12" s="482" customFormat="1" ht="15" x14ac:dyDescent="0.2">
      <c r="A36" s="1508" t="s">
        <v>1743</v>
      </c>
      <c r="B36" s="522">
        <v>7300</v>
      </c>
      <c r="C36" s="464"/>
      <c r="D36" s="464"/>
      <c r="E36" s="464"/>
      <c r="F36" s="464"/>
      <c r="G36" s="464"/>
      <c r="H36" s="464"/>
      <c r="I36" s="472"/>
      <c r="J36" s="464"/>
      <c r="K36" s="464"/>
      <c r="L36" s="521"/>
    </row>
    <row r="37" spans="1:12" s="482" customFormat="1" x14ac:dyDescent="0.2">
      <c r="A37" s="1508" t="s">
        <v>461</v>
      </c>
      <c r="B37" s="522">
        <v>7400</v>
      </c>
      <c r="C37" s="472"/>
      <c r="D37" s="472"/>
      <c r="E37" s="1762">
        <f>SUM(C54:D57,H54:H57)</f>
        <v>0</v>
      </c>
      <c r="F37" s="472"/>
      <c r="G37" s="472"/>
      <c r="H37" s="472"/>
      <c r="I37" s="474"/>
      <c r="J37" s="472"/>
      <c r="K37" s="472"/>
      <c r="L37" s="521"/>
    </row>
    <row r="38" spans="1:12" s="482" customFormat="1" x14ac:dyDescent="0.2">
      <c r="A38" s="1508" t="s">
        <v>462</v>
      </c>
      <c r="B38" s="522">
        <v>7500</v>
      </c>
      <c r="C38" s="474"/>
      <c r="D38" s="474"/>
      <c r="E38" s="1762">
        <f>SUM(C58:D61,H58:H61)</f>
        <v>0</v>
      </c>
      <c r="F38" s="474"/>
      <c r="G38" s="474"/>
      <c r="H38" s="474"/>
      <c r="I38" s="474"/>
      <c r="J38" s="474"/>
      <c r="K38" s="474"/>
      <c r="L38" s="521"/>
    </row>
    <row r="39" spans="1:12" s="482" customFormat="1" x14ac:dyDescent="0.2">
      <c r="A39" s="1508" t="s">
        <v>463</v>
      </c>
      <c r="B39" s="522">
        <v>7600</v>
      </c>
      <c r="C39" s="474"/>
      <c r="D39" s="474"/>
      <c r="E39" s="1762">
        <f>SUM(C62:D65)</f>
        <v>0</v>
      </c>
      <c r="F39" s="474"/>
      <c r="G39" s="474"/>
      <c r="H39" s="474"/>
      <c r="I39" s="474"/>
      <c r="J39" s="474"/>
      <c r="K39" s="474"/>
      <c r="L39" s="521"/>
    </row>
    <row r="40" spans="1:12" s="482" customFormat="1" ht="13.5" customHeight="1" x14ac:dyDescent="0.2">
      <c r="A40" s="1508" t="s">
        <v>663</v>
      </c>
      <c r="B40" s="480">
        <v>7700</v>
      </c>
      <c r="C40" s="474"/>
      <c r="D40" s="474"/>
      <c r="E40" s="1762">
        <f>SUM(C66:D69)</f>
        <v>0</v>
      </c>
      <c r="F40" s="474"/>
      <c r="G40" s="474"/>
      <c r="H40" s="477"/>
      <c r="I40" s="474"/>
      <c r="J40" s="474"/>
      <c r="K40" s="474"/>
      <c r="L40" s="521"/>
    </row>
    <row r="41" spans="1:12" s="482" customFormat="1" ht="13.5" customHeight="1" x14ac:dyDescent="0.2">
      <c r="A41" s="1508" t="s">
        <v>661</v>
      </c>
      <c r="B41" s="480">
        <v>7800</v>
      </c>
      <c r="C41" s="477"/>
      <c r="D41" s="477"/>
      <c r="E41" s="523"/>
      <c r="F41" s="477"/>
      <c r="G41" s="477"/>
      <c r="H41" s="1762">
        <f>SUM(C70:D73)</f>
        <v>0</v>
      </c>
      <c r="I41" s="474"/>
      <c r="J41" s="474"/>
      <c r="K41" s="477"/>
      <c r="L41" s="521"/>
    </row>
    <row r="42" spans="1:12" s="482" customFormat="1" ht="13.5" customHeight="1" x14ac:dyDescent="0.2">
      <c r="A42" s="1508" t="s">
        <v>662</v>
      </c>
      <c r="B42" s="480">
        <v>7900</v>
      </c>
      <c r="C42" s="464"/>
      <c r="D42" s="464"/>
      <c r="E42" s="464"/>
      <c r="F42" s="464"/>
      <c r="G42" s="464"/>
      <c r="H42" s="464"/>
      <c r="I42" s="477"/>
      <c r="J42" s="477"/>
      <c r="K42" s="464"/>
      <c r="L42" s="521"/>
    </row>
    <row r="43" spans="1:12" s="482" customFormat="1" ht="13.5" customHeight="1" x14ac:dyDescent="0.2">
      <c r="A43" s="1508" t="s">
        <v>391</v>
      </c>
      <c r="B43" s="480">
        <v>7990</v>
      </c>
      <c r="C43" s="464"/>
      <c r="D43" s="464"/>
      <c r="E43" s="464"/>
      <c r="F43" s="464"/>
      <c r="G43" s="464"/>
      <c r="H43" s="464"/>
      <c r="I43" s="464"/>
      <c r="J43" s="464"/>
      <c r="K43" s="464"/>
      <c r="L43" s="521"/>
    </row>
    <row r="44" spans="1:12" s="482" customFormat="1" ht="13.5" customHeight="1" thickBot="1" x14ac:dyDescent="0.25">
      <c r="A44" s="2149" t="s">
        <v>392</v>
      </c>
      <c r="B44" s="2150"/>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1"/>
    </row>
    <row r="45" spans="1:12" ht="15.75" customHeight="1" thickTop="1" x14ac:dyDescent="0.2">
      <c r="A45" s="2141" t="s">
        <v>110</v>
      </c>
      <c r="B45" s="2142"/>
      <c r="C45" s="525"/>
      <c r="D45" s="525"/>
      <c r="E45" s="525"/>
      <c r="F45" s="525"/>
      <c r="G45" s="525"/>
      <c r="H45" s="525"/>
      <c r="I45" s="525"/>
      <c r="J45" s="525"/>
      <c r="K45" s="525"/>
      <c r="L45" s="344"/>
    </row>
    <row r="46" spans="1:12" s="482" customFormat="1" ht="15.75" customHeight="1" x14ac:dyDescent="0.2">
      <c r="A46" s="2151" t="s">
        <v>111</v>
      </c>
      <c r="B46" s="2152"/>
      <c r="C46" s="474"/>
      <c r="D46" s="474"/>
      <c r="E46" s="474"/>
      <c r="F46" s="474"/>
      <c r="G46" s="474"/>
      <c r="H46" s="474"/>
      <c r="I46" s="477"/>
      <c r="J46" s="474"/>
      <c r="K46" s="474"/>
      <c r="L46" s="526"/>
    </row>
    <row r="47" spans="1:12" s="482" customFormat="1" ht="15" x14ac:dyDescent="0.2">
      <c r="A47" s="1509" t="s">
        <v>1744</v>
      </c>
      <c r="B47" s="480">
        <v>8110</v>
      </c>
      <c r="C47" s="474"/>
      <c r="D47" s="474"/>
      <c r="E47" s="474"/>
      <c r="F47" s="474"/>
      <c r="G47" s="474"/>
      <c r="H47" s="474"/>
      <c r="I47" s="1762">
        <f>SUM(C24,C25:H25,J25:K25)</f>
        <v>0</v>
      </c>
      <c r="J47" s="474"/>
      <c r="K47" s="474"/>
      <c r="L47" s="526"/>
    </row>
    <row r="48" spans="1:12" s="482" customFormat="1" ht="15" x14ac:dyDescent="0.2">
      <c r="A48" s="1509" t="s">
        <v>1745</v>
      </c>
      <c r="B48" s="480">
        <v>8120</v>
      </c>
      <c r="C48" s="477"/>
      <c r="D48" s="477"/>
      <c r="E48" s="474"/>
      <c r="F48" s="477"/>
      <c r="G48" s="474"/>
      <c r="H48" s="474"/>
      <c r="I48" s="1762">
        <f>SUM(C26:H26,J26,K26)</f>
        <v>0</v>
      </c>
      <c r="J48" s="474"/>
      <c r="K48" s="474"/>
      <c r="L48" s="526"/>
    </row>
    <row r="49" spans="1:12" s="482" customFormat="1" x14ac:dyDescent="0.2">
      <c r="A49" s="1509" t="s">
        <v>194</v>
      </c>
      <c r="B49" s="480">
        <v>8130</v>
      </c>
      <c r="C49" s="464"/>
      <c r="D49" s="464"/>
      <c r="E49" s="477"/>
      <c r="F49" s="464"/>
      <c r="G49" s="477"/>
      <c r="H49" s="477"/>
      <c r="I49" s="474"/>
      <c r="J49" s="477"/>
      <c r="K49" s="474"/>
      <c r="L49" s="521"/>
    </row>
    <row r="50" spans="1:12" s="482" customFormat="1" x14ac:dyDescent="0.2">
      <c r="A50" s="1509" t="s">
        <v>1465</v>
      </c>
      <c r="B50" s="480">
        <v>8140</v>
      </c>
      <c r="C50" s="464"/>
      <c r="D50" s="464"/>
      <c r="E50" s="464"/>
      <c r="F50" s="464"/>
      <c r="G50" s="464"/>
      <c r="H50" s="464"/>
      <c r="I50" s="474"/>
      <c r="J50" s="464"/>
      <c r="K50" s="474"/>
      <c r="L50" s="521"/>
    </row>
    <row r="51" spans="1:12" s="482" customFormat="1" x14ac:dyDescent="0.2">
      <c r="A51" s="1509" t="s">
        <v>312</v>
      </c>
      <c r="B51" s="480">
        <v>8150</v>
      </c>
      <c r="C51" s="472"/>
      <c r="D51" s="472"/>
      <c r="E51" s="472"/>
      <c r="F51" s="472"/>
      <c r="G51" s="472"/>
      <c r="H51" s="1762">
        <f>SUM(D29)</f>
        <v>0</v>
      </c>
      <c r="I51" s="474"/>
      <c r="J51" s="472"/>
      <c r="K51" s="477"/>
      <c r="L51" s="521"/>
    </row>
    <row r="52" spans="1:12" s="482" customFormat="1" ht="26.25" x14ac:dyDescent="0.2">
      <c r="A52" s="1509" t="s">
        <v>1885</v>
      </c>
      <c r="B52" s="480">
        <v>8160</v>
      </c>
      <c r="C52" s="474"/>
      <c r="D52" s="474"/>
      <c r="E52" s="474"/>
      <c r="F52" s="474"/>
      <c r="G52" s="474"/>
      <c r="H52" s="474"/>
      <c r="I52" s="474"/>
      <c r="J52" s="474"/>
      <c r="K52" s="1762">
        <f>D30</f>
        <v>0</v>
      </c>
      <c r="L52" s="521"/>
    </row>
    <row r="53" spans="1:12" s="482" customFormat="1" ht="26.25" x14ac:dyDescent="0.2">
      <c r="A53" s="1509" t="s">
        <v>1884</v>
      </c>
      <c r="B53" s="480">
        <v>8170</v>
      </c>
      <c r="C53" s="477"/>
      <c r="D53" s="477"/>
      <c r="E53" s="474"/>
      <c r="F53" s="474"/>
      <c r="G53" s="474"/>
      <c r="H53" s="477"/>
      <c r="I53" s="474"/>
      <c r="J53" s="474"/>
      <c r="K53" s="1762">
        <f>E31</f>
        <v>0</v>
      </c>
      <c r="L53" s="521"/>
    </row>
    <row r="54" spans="1:12" s="482" customFormat="1" ht="13.5" thickBot="1" x14ac:dyDescent="0.25">
      <c r="A54" s="1509" t="s">
        <v>716</v>
      </c>
      <c r="B54" s="480">
        <v>8410</v>
      </c>
      <c r="C54" s="527"/>
      <c r="D54" s="527"/>
      <c r="E54" s="474"/>
      <c r="F54" s="474"/>
      <c r="G54" s="474"/>
      <c r="H54" s="527"/>
      <c r="I54" s="474"/>
      <c r="J54" s="474"/>
      <c r="K54" s="472"/>
      <c r="L54" s="521"/>
    </row>
    <row r="55" spans="1:12" s="482" customFormat="1" ht="14.25" thickTop="1" thickBot="1" x14ac:dyDescent="0.25">
      <c r="A55" s="1510" t="s">
        <v>717</v>
      </c>
      <c r="B55" s="480">
        <v>8420</v>
      </c>
      <c r="C55" s="528"/>
      <c r="D55" s="528"/>
      <c r="E55" s="474"/>
      <c r="F55" s="474"/>
      <c r="G55" s="474"/>
      <c r="H55" s="527"/>
      <c r="I55" s="474"/>
      <c r="J55" s="474"/>
      <c r="K55" s="474"/>
      <c r="L55" s="521"/>
    </row>
    <row r="56" spans="1:12" s="482" customFormat="1" ht="14.25" thickTop="1" thickBot="1" x14ac:dyDescent="0.25">
      <c r="A56" s="1509" t="s">
        <v>602</v>
      </c>
      <c r="B56" s="480">
        <v>8430</v>
      </c>
      <c r="C56" s="528"/>
      <c r="D56" s="528"/>
      <c r="E56" s="474"/>
      <c r="F56" s="474"/>
      <c r="G56" s="474"/>
      <c r="H56" s="527"/>
      <c r="I56" s="474"/>
      <c r="J56" s="474"/>
      <c r="K56" s="474"/>
      <c r="L56" s="521"/>
    </row>
    <row r="57" spans="1:12" s="482" customFormat="1" ht="14.25" thickTop="1" thickBot="1" x14ac:dyDescent="0.25">
      <c r="A57" s="1510" t="s">
        <v>599</v>
      </c>
      <c r="B57" s="480">
        <v>8440</v>
      </c>
      <c r="C57" s="528"/>
      <c r="D57" s="528"/>
      <c r="E57" s="474"/>
      <c r="F57" s="474"/>
      <c r="G57" s="474"/>
      <c r="H57" s="527"/>
      <c r="I57" s="474"/>
      <c r="J57" s="474"/>
      <c r="K57" s="474"/>
      <c r="L57" s="521"/>
    </row>
    <row r="58" spans="1:12" s="482" customFormat="1" ht="14.25" thickTop="1" thickBot="1" x14ac:dyDescent="0.25">
      <c r="A58" s="1509" t="s">
        <v>600</v>
      </c>
      <c r="B58" s="480">
        <v>8510</v>
      </c>
      <c r="C58" s="528"/>
      <c r="D58" s="528"/>
      <c r="E58" s="474"/>
      <c r="F58" s="474"/>
      <c r="G58" s="474"/>
      <c r="H58" s="527"/>
      <c r="I58" s="474"/>
      <c r="J58" s="474"/>
      <c r="K58" s="474"/>
      <c r="L58" s="521"/>
    </row>
    <row r="59" spans="1:12" s="482" customFormat="1" ht="14.25" thickTop="1" thickBot="1" x14ac:dyDescent="0.25">
      <c r="A59" s="1511" t="s">
        <v>718</v>
      </c>
      <c r="B59" s="480">
        <v>8520</v>
      </c>
      <c r="C59" s="528"/>
      <c r="D59" s="528"/>
      <c r="E59" s="474"/>
      <c r="F59" s="474"/>
      <c r="G59" s="474"/>
      <c r="H59" s="527"/>
      <c r="I59" s="474"/>
      <c r="J59" s="474"/>
      <c r="K59" s="474"/>
      <c r="L59" s="521"/>
    </row>
    <row r="60" spans="1:12" s="482" customFormat="1" ht="14.25" thickTop="1" thickBot="1" x14ac:dyDescent="0.25">
      <c r="A60" s="1509" t="s">
        <v>601</v>
      </c>
      <c r="B60" s="480">
        <v>8530</v>
      </c>
      <c r="C60" s="528"/>
      <c r="D60" s="528"/>
      <c r="E60" s="474"/>
      <c r="F60" s="474"/>
      <c r="G60" s="474"/>
      <c r="H60" s="527"/>
      <c r="I60" s="474"/>
      <c r="J60" s="474"/>
      <c r="K60" s="474"/>
      <c r="L60" s="521"/>
    </row>
    <row r="61" spans="1:12" s="482" customFormat="1" ht="14.25" thickTop="1" thickBot="1" x14ac:dyDescent="0.25">
      <c r="A61" s="1510" t="s">
        <v>767</v>
      </c>
      <c r="B61" s="480">
        <v>8540</v>
      </c>
      <c r="C61" s="528"/>
      <c r="D61" s="528"/>
      <c r="E61" s="474"/>
      <c r="F61" s="474"/>
      <c r="G61" s="474"/>
      <c r="H61" s="527"/>
      <c r="I61" s="474"/>
      <c r="J61" s="474"/>
      <c r="K61" s="474"/>
      <c r="L61" s="521"/>
    </row>
    <row r="62" spans="1:12" s="482" customFormat="1" ht="13.5" customHeight="1" thickTop="1" thickBot="1" x14ac:dyDescent="0.25">
      <c r="A62" s="1509" t="s">
        <v>768</v>
      </c>
      <c r="B62" s="480">
        <v>8610</v>
      </c>
      <c r="C62" s="528"/>
      <c r="D62" s="528"/>
      <c r="E62" s="474"/>
      <c r="F62" s="474"/>
      <c r="G62" s="474"/>
      <c r="H62" s="474"/>
      <c r="I62" s="474"/>
      <c r="J62" s="474"/>
      <c r="K62" s="474"/>
      <c r="L62" s="521"/>
    </row>
    <row r="63" spans="1:12" s="482" customFormat="1" ht="14.25" thickTop="1" thickBot="1" x14ac:dyDescent="0.25">
      <c r="A63" s="1510" t="s">
        <v>719</v>
      </c>
      <c r="B63" s="480">
        <v>8620</v>
      </c>
      <c r="C63" s="528"/>
      <c r="D63" s="528"/>
      <c r="E63" s="474"/>
      <c r="F63" s="474"/>
      <c r="G63" s="474"/>
      <c r="H63" s="474"/>
      <c r="I63" s="474"/>
      <c r="J63" s="474"/>
      <c r="K63" s="474"/>
      <c r="L63" s="521"/>
    </row>
    <row r="64" spans="1:12" s="482" customFormat="1" ht="13.5" customHeight="1" thickTop="1" thickBot="1" x14ac:dyDescent="0.25">
      <c r="A64" s="1509" t="s">
        <v>769</v>
      </c>
      <c r="B64" s="480">
        <v>8630</v>
      </c>
      <c r="C64" s="528"/>
      <c r="D64" s="528"/>
      <c r="E64" s="474"/>
      <c r="F64" s="474"/>
      <c r="G64" s="474"/>
      <c r="H64" s="474"/>
      <c r="I64" s="474"/>
      <c r="J64" s="474"/>
      <c r="K64" s="474"/>
      <c r="L64" s="521"/>
    </row>
    <row r="65" spans="1:12" s="482" customFormat="1" ht="14.25" thickTop="1" thickBot="1" x14ac:dyDescent="0.25">
      <c r="A65" s="1510" t="s">
        <v>770</v>
      </c>
      <c r="B65" s="480">
        <v>8640</v>
      </c>
      <c r="C65" s="528"/>
      <c r="D65" s="528"/>
      <c r="E65" s="474"/>
      <c r="F65" s="474"/>
      <c r="G65" s="474"/>
      <c r="H65" s="474"/>
      <c r="I65" s="474"/>
      <c r="J65" s="474"/>
      <c r="K65" s="474"/>
      <c r="L65" s="521"/>
    </row>
    <row r="66" spans="1:12" s="482" customFormat="1" ht="14.25" thickTop="1" thickBot="1" x14ac:dyDescent="0.25">
      <c r="A66" s="1509" t="s">
        <v>771</v>
      </c>
      <c r="B66" s="480">
        <v>8710</v>
      </c>
      <c r="C66" s="528"/>
      <c r="D66" s="528"/>
      <c r="E66" s="474"/>
      <c r="F66" s="474"/>
      <c r="G66" s="474"/>
      <c r="H66" s="474"/>
      <c r="I66" s="474"/>
      <c r="J66" s="474"/>
      <c r="K66" s="474"/>
      <c r="L66" s="521"/>
    </row>
    <row r="67" spans="1:12" s="482" customFormat="1" ht="14.25" thickTop="1" thickBot="1" x14ac:dyDescent="0.25">
      <c r="A67" s="1510" t="s">
        <v>720</v>
      </c>
      <c r="B67" s="480">
        <v>8720</v>
      </c>
      <c r="C67" s="528"/>
      <c r="D67" s="528"/>
      <c r="E67" s="474"/>
      <c r="F67" s="474"/>
      <c r="G67" s="474"/>
      <c r="H67" s="474"/>
      <c r="I67" s="474"/>
      <c r="J67" s="474"/>
      <c r="K67" s="474"/>
      <c r="L67" s="521"/>
    </row>
    <row r="68" spans="1:12" s="482" customFormat="1" ht="14.25" thickTop="1" thickBot="1" x14ac:dyDescent="0.25">
      <c r="A68" s="1511" t="s">
        <v>772</v>
      </c>
      <c r="B68" s="480">
        <v>8730</v>
      </c>
      <c r="C68" s="528"/>
      <c r="D68" s="528"/>
      <c r="E68" s="474"/>
      <c r="F68" s="474"/>
      <c r="G68" s="474"/>
      <c r="H68" s="474"/>
      <c r="I68" s="474"/>
      <c r="J68" s="474"/>
      <c r="K68" s="474"/>
      <c r="L68" s="521"/>
    </row>
    <row r="69" spans="1:12" s="482" customFormat="1" ht="14.25" thickTop="1" thickBot="1" x14ac:dyDescent="0.25">
      <c r="A69" s="1510" t="s">
        <v>773</v>
      </c>
      <c r="B69" s="480">
        <v>8740</v>
      </c>
      <c r="C69" s="528"/>
      <c r="D69" s="528"/>
      <c r="E69" s="474"/>
      <c r="F69" s="474"/>
      <c r="G69" s="474"/>
      <c r="H69" s="474"/>
      <c r="I69" s="474"/>
      <c r="J69" s="474"/>
      <c r="K69" s="474"/>
      <c r="L69" s="521"/>
    </row>
    <row r="70" spans="1:12" s="482" customFormat="1" ht="14.25" thickTop="1" thickBot="1" x14ac:dyDescent="0.25">
      <c r="A70" s="1509" t="s">
        <v>774</v>
      </c>
      <c r="B70" s="480">
        <v>8810</v>
      </c>
      <c r="C70" s="528"/>
      <c r="D70" s="528"/>
      <c r="E70" s="474"/>
      <c r="F70" s="474"/>
      <c r="G70" s="474"/>
      <c r="H70" s="474"/>
      <c r="I70" s="474"/>
      <c r="J70" s="474"/>
      <c r="K70" s="474"/>
      <c r="L70" s="521"/>
    </row>
    <row r="71" spans="1:12" s="482" customFormat="1" ht="14.25" thickTop="1" thickBot="1" x14ac:dyDescent="0.25">
      <c r="A71" s="1509" t="s">
        <v>778</v>
      </c>
      <c r="B71" s="480">
        <v>8820</v>
      </c>
      <c r="C71" s="528"/>
      <c r="D71" s="528"/>
      <c r="E71" s="474"/>
      <c r="F71" s="474"/>
      <c r="G71" s="474"/>
      <c r="H71" s="474"/>
      <c r="I71" s="474"/>
      <c r="J71" s="474"/>
      <c r="K71" s="474"/>
      <c r="L71" s="521"/>
    </row>
    <row r="72" spans="1:12" s="482" customFormat="1" ht="14.25" thickTop="1" thickBot="1" x14ac:dyDescent="0.25">
      <c r="A72" s="1509" t="s">
        <v>775</v>
      </c>
      <c r="B72" s="480">
        <v>8830</v>
      </c>
      <c r="C72" s="528"/>
      <c r="D72" s="528"/>
      <c r="E72" s="474"/>
      <c r="F72" s="474"/>
      <c r="G72" s="474"/>
      <c r="H72" s="474"/>
      <c r="I72" s="474"/>
      <c r="J72" s="474"/>
      <c r="K72" s="474"/>
      <c r="L72" s="521"/>
    </row>
    <row r="73" spans="1:12" s="482" customFormat="1" ht="14.25" thickTop="1" thickBot="1" x14ac:dyDescent="0.25">
      <c r="A73" s="1509" t="s">
        <v>776</v>
      </c>
      <c r="B73" s="480">
        <v>8840</v>
      </c>
      <c r="C73" s="528"/>
      <c r="D73" s="528"/>
      <c r="E73" s="474"/>
      <c r="F73" s="474"/>
      <c r="G73" s="474"/>
      <c r="H73" s="474"/>
      <c r="I73" s="474"/>
      <c r="J73" s="474"/>
      <c r="K73" s="477"/>
      <c r="L73" s="521"/>
    </row>
    <row r="74" spans="1:12" s="482" customFormat="1" ht="14.25" thickTop="1" thickBot="1" x14ac:dyDescent="0.25">
      <c r="A74" s="1509" t="s">
        <v>393</v>
      </c>
      <c r="B74" s="480">
        <v>8910</v>
      </c>
      <c r="C74" s="528"/>
      <c r="D74" s="528"/>
      <c r="E74" s="477"/>
      <c r="F74" s="527"/>
      <c r="G74" s="527"/>
      <c r="H74" s="527"/>
      <c r="I74" s="477"/>
      <c r="J74" s="477"/>
      <c r="K74" s="527"/>
      <c r="L74" s="521"/>
    </row>
    <row r="75" spans="1:12" s="482" customFormat="1" ht="14.25" thickTop="1" thickBot="1" x14ac:dyDescent="0.25">
      <c r="A75" s="1512" t="s">
        <v>459</v>
      </c>
      <c r="B75" s="480">
        <v>8990</v>
      </c>
      <c r="C75" s="528"/>
      <c r="D75" s="528"/>
      <c r="E75" s="527"/>
      <c r="F75" s="529"/>
      <c r="G75" s="529"/>
      <c r="H75" s="529"/>
      <c r="I75" s="527"/>
      <c r="J75" s="527"/>
      <c r="K75" s="529"/>
      <c r="L75" s="521"/>
    </row>
    <row r="76" spans="1:12" s="482" customFormat="1" ht="14.25" thickTop="1" thickBot="1" x14ac:dyDescent="0.25">
      <c r="A76" s="2153" t="s">
        <v>460</v>
      </c>
      <c r="B76" s="2154"/>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1"/>
    </row>
    <row r="77" spans="1:12" ht="14.25" thickTop="1" thickBot="1" x14ac:dyDescent="0.25">
      <c r="A77" s="2155" t="s">
        <v>1239</v>
      </c>
      <c r="B77" s="2156"/>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4"/>
    </row>
    <row r="78" spans="1:12" ht="21.75" customHeight="1" thickTop="1" thickBot="1" x14ac:dyDescent="0.25">
      <c r="A78" s="2159" t="s">
        <v>618</v>
      </c>
      <c r="B78" s="2160"/>
      <c r="C78" s="1721">
        <f t="shared" ref="C78:K78" si="9">C20+C77</f>
        <v>170632</v>
      </c>
      <c r="D78" s="1721">
        <f t="shared" si="9"/>
        <v>0</v>
      </c>
      <c r="E78" s="1721">
        <f t="shared" si="9"/>
        <v>0</v>
      </c>
      <c r="F78" s="1721">
        <f t="shared" si="9"/>
        <v>0</v>
      </c>
      <c r="G78" s="1721">
        <f t="shared" si="9"/>
        <v>0</v>
      </c>
      <c r="H78" s="1721">
        <f t="shared" si="9"/>
        <v>0</v>
      </c>
      <c r="I78" s="1721">
        <f t="shared" si="9"/>
        <v>0</v>
      </c>
      <c r="J78" s="1721">
        <f t="shared" si="9"/>
        <v>0</v>
      </c>
      <c r="K78" s="1721">
        <f t="shared" si="9"/>
        <v>0</v>
      </c>
      <c r="L78" s="530"/>
    </row>
    <row r="79" spans="1:12" ht="13.5" thickTop="1" x14ac:dyDescent="0.2">
      <c r="A79" s="1513" t="s">
        <v>2057</v>
      </c>
      <c r="B79" s="531"/>
      <c r="C79" s="475">
        <v>590311</v>
      </c>
      <c r="D79" s="532"/>
      <c r="E79" s="532"/>
      <c r="F79" s="532"/>
      <c r="G79" s="532"/>
      <c r="H79" s="532"/>
      <c r="I79" s="532"/>
      <c r="J79" s="532"/>
      <c r="K79" s="532"/>
      <c r="L79" s="344"/>
    </row>
    <row r="80" spans="1:12" x14ac:dyDescent="0.2">
      <c r="A80" s="2135" t="s">
        <v>1883</v>
      </c>
      <c r="B80" s="2136"/>
      <c r="C80" s="464"/>
      <c r="D80" s="464"/>
      <c r="E80" s="464"/>
      <c r="F80" s="464"/>
      <c r="G80" s="464"/>
      <c r="H80" s="464"/>
      <c r="I80" s="464"/>
      <c r="J80" s="464"/>
      <c r="K80" s="464"/>
      <c r="L80" s="344"/>
    </row>
    <row r="81" spans="1:12" ht="13.5" thickBot="1" x14ac:dyDescent="0.25">
      <c r="A81" s="2157" t="s">
        <v>2058</v>
      </c>
      <c r="B81" s="2158"/>
      <c r="C81" s="1707">
        <f>(SUM(C78:C80))</f>
        <v>760943</v>
      </c>
      <c r="D81" s="1707">
        <f>SUM(D78:D80)</f>
        <v>0</v>
      </c>
      <c r="E81" s="1707">
        <f t="shared" ref="E81:K81" si="10">SUM(E78:E80)</f>
        <v>0</v>
      </c>
      <c r="F81" s="1707">
        <f t="shared" si="10"/>
        <v>0</v>
      </c>
      <c r="G81" s="1707">
        <f t="shared" si="10"/>
        <v>0</v>
      </c>
      <c r="H81" s="1707">
        <f t="shared" si="10"/>
        <v>0</v>
      </c>
      <c r="I81" s="1707">
        <f t="shared" si="10"/>
        <v>0</v>
      </c>
      <c r="J81" s="1707">
        <f t="shared" si="10"/>
        <v>0</v>
      </c>
      <c r="K81" s="1707">
        <f t="shared" si="10"/>
        <v>0</v>
      </c>
      <c r="L81" s="344"/>
    </row>
    <row r="82" spans="1:12" ht="0.75" customHeight="1" thickTop="1" thickBot="1" x14ac:dyDescent="0.25">
      <c r="A82" s="533" t="s">
        <v>361</v>
      </c>
      <c r="B82" s="534"/>
      <c r="C82" s="535">
        <f>(C81-C79)</f>
        <v>170632</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362</v>
      </c>
      <c r="B83" s="461"/>
      <c r="C83" s="537">
        <f>C82/C81</f>
        <v>0.22423755787227165</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29" sqref="C29"/>
    </sheetView>
  </sheetViews>
  <sheetFormatPr defaultColWidth="9.140625" defaultRowHeight="12.75" x14ac:dyDescent="0.2"/>
  <cols>
    <col min="1" max="1" width="54.140625" style="592" customWidth="1"/>
    <col min="2" max="2" width="4.7109375" style="593" customWidth="1"/>
    <col min="3" max="11" width="13.7109375" style="381" customWidth="1"/>
    <col min="12" max="16384" width="9.140625" style="381"/>
  </cols>
  <sheetData>
    <row r="1" spans="1:12" x14ac:dyDescent="0.2">
      <c r="A1" s="2131" t="s">
        <v>1890</v>
      </c>
      <c r="B1" s="449"/>
      <c r="C1" s="450" t="s">
        <v>445</v>
      </c>
      <c r="D1" s="450" t="s">
        <v>446</v>
      </c>
      <c r="E1" s="450" t="s">
        <v>447</v>
      </c>
      <c r="F1" s="450" t="s">
        <v>448</v>
      </c>
      <c r="G1" s="450" t="s">
        <v>449</v>
      </c>
      <c r="H1" s="450" t="s">
        <v>450</v>
      </c>
      <c r="I1" s="450" t="s">
        <v>451</v>
      </c>
      <c r="J1" s="450" t="s">
        <v>452</v>
      </c>
      <c r="K1" s="450" t="s">
        <v>780</v>
      </c>
    </row>
    <row r="2" spans="1:12" ht="36" x14ac:dyDescent="0.2">
      <c r="A2" s="2132"/>
      <c r="B2" s="538" t="s">
        <v>396</v>
      </c>
      <c r="C2" s="539" t="s">
        <v>1217</v>
      </c>
      <c r="D2" s="539" t="s">
        <v>925</v>
      </c>
      <c r="E2" s="539" t="s">
        <v>458</v>
      </c>
      <c r="F2" s="539" t="s">
        <v>157</v>
      </c>
      <c r="G2" s="539" t="s">
        <v>1046</v>
      </c>
      <c r="H2" s="539" t="s">
        <v>457</v>
      </c>
      <c r="I2" s="539" t="s">
        <v>427</v>
      </c>
      <c r="J2" s="539" t="s">
        <v>456</v>
      </c>
      <c r="K2" s="539"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0"/>
      <c r="D4" s="540"/>
      <c r="E4" s="540"/>
      <c r="F4" s="541"/>
      <c r="G4" s="542"/>
      <c r="H4" s="543"/>
      <c r="I4" s="543"/>
      <c r="J4" s="543"/>
      <c r="K4" s="543"/>
    </row>
    <row r="5" spans="1:12" ht="15" x14ac:dyDescent="0.2">
      <c r="A5" s="490" t="s">
        <v>1746</v>
      </c>
      <c r="B5" s="544"/>
      <c r="C5" s="478"/>
      <c r="D5" s="478"/>
      <c r="E5" s="463"/>
      <c r="F5" s="545"/>
      <c r="G5" s="463"/>
      <c r="H5" s="463"/>
      <c r="I5" s="463"/>
      <c r="J5" s="464"/>
      <c r="K5" s="463"/>
    </row>
    <row r="6" spans="1:12" ht="15" x14ac:dyDescent="0.2">
      <c r="A6" s="460" t="s">
        <v>1747</v>
      </c>
      <c r="B6" s="467">
        <v>1130</v>
      </c>
      <c r="C6" s="463"/>
      <c r="D6" s="463"/>
      <c r="E6" s="472"/>
      <c r="F6" s="472"/>
      <c r="G6" s="465"/>
      <c r="H6" s="465"/>
      <c r="I6" s="465"/>
      <c r="J6" s="465"/>
      <c r="K6" s="465"/>
    </row>
    <row r="7" spans="1:12" x14ac:dyDescent="0.2">
      <c r="A7" s="460" t="s">
        <v>112</v>
      </c>
      <c r="B7" s="546">
        <v>1140</v>
      </c>
      <c r="C7" s="463"/>
      <c r="D7" s="463"/>
      <c r="E7" s="465"/>
      <c r="F7" s="464"/>
      <c r="G7" s="464"/>
      <c r="H7" s="464"/>
      <c r="I7" s="465"/>
      <c r="J7" s="465"/>
      <c r="K7" s="465"/>
    </row>
    <row r="8" spans="1:12" x14ac:dyDescent="0.2">
      <c r="A8" s="460" t="s">
        <v>433</v>
      </c>
      <c r="B8" s="467">
        <v>1150</v>
      </c>
      <c r="C8" s="472"/>
      <c r="D8" s="472"/>
      <c r="E8" s="474"/>
      <c r="F8" s="474"/>
      <c r="G8" s="478"/>
      <c r="H8" s="465"/>
      <c r="I8" s="465"/>
      <c r="J8" s="465"/>
      <c r="K8" s="465"/>
    </row>
    <row r="9" spans="1:12" x14ac:dyDescent="0.2">
      <c r="A9" s="470" t="s">
        <v>113</v>
      </c>
      <c r="B9" s="467">
        <v>1160</v>
      </c>
      <c r="C9" s="465"/>
      <c r="D9" s="464"/>
      <c r="E9" s="464"/>
      <c r="F9" s="466"/>
      <c r="G9" s="472"/>
      <c r="H9" s="464"/>
      <c r="I9" s="465"/>
      <c r="J9" s="465"/>
      <c r="K9" s="465"/>
    </row>
    <row r="10" spans="1:12" x14ac:dyDescent="0.2">
      <c r="A10" s="470" t="s">
        <v>114</v>
      </c>
      <c r="B10" s="467">
        <v>1170</v>
      </c>
      <c r="C10" s="464"/>
      <c r="D10" s="523"/>
      <c r="E10" s="523"/>
      <c r="F10" s="466"/>
      <c r="G10" s="465"/>
      <c r="H10" s="465"/>
      <c r="I10" s="465"/>
      <c r="J10" s="465"/>
      <c r="K10" s="465"/>
    </row>
    <row r="11" spans="1:12" x14ac:dyDescent="0.2">
      <c r="A11" s="470" t="s">
        <v>434</v>
      </c>
      <c r="B11" s="547">
        <v>1190</v>
      </c>
      <c r="C11" s="548"/>
      <c r="D11" s="463"/>
      <c r="E11" s="463"/>
      <c r="F11" s="463"/>
      <c r="G11" s="463"/>
      <c r="H11" s="463"/>
      <c r="I11" s="463"/>
      <c r="J11" s="464"/>
      <c r="K11" s="463"/>
      <c r="L11" s="549"/>
    </row>
    <row r="12" spans="1:12" ht="12.75" customHeight="1" thickBot="1" x14ac:dyDescent="0.25">
      <c r="A12" s="1724" t="s">
        <v>29</v>
      </c>
      <c r="B12" s="1725"/>
      <c r="C12" s="1726">
        <f t="shared" ref="C12:K12" si="0">SUM(C5:C11)</f>
        <v>0</v>
      </c>
      <c r="D12" s="1726">
        <f t="shared" si="0"/>
        <v>0</v>
      </c>
      <c r="E12" s="1726">
        <f t="shared" si="0"/>
        <v>0</v>
      </c>
      <c r="F12" s="1726">
        <f t="shared" si="0"/>
        <v>0</v>
      </c>
      <c r="G12" s="1726">
        <f t="shared" si="0"/>
        <v>0</v>
      </c>
      <c r="H12" s="1726">
        <f t="shared" si="0"/>
        <v>0</v>
      </c>
      <c r="I12" s="1726">
        <f t="shared" si="0"/>
        <v>0</v>
      </c>
      <c r="J12" s="1726">
        <f t="shared" si="0"/>
        <v>0</v>
      </c>
      <c r="K12" s="1707">
        <f t="shared" si="0"/>
        <v>0</v>
      </c>
    </row>
    <row r="13" spans="1:12" ht="15.75" customHeight="1" thickTop="1" x14ac:dyDescent="0.2">
      <c r="A13" s="1611" t="s">
        <v>471</v>
      </c>
      <c r="B13" s="1612">
        <v>1200</v>
      </c>
      <c r="C13" s="550"/>
      <c r="D13" s="550"/>
      <c r="E13" s="550"/>
      <c r="F13" s="550"/>
      <c r="G13" s="550"/>
      <c r="H13" s="550"/>
      <c r="I13" s="550"/>
      <c r="J13" s="550"/>
      <c r="K13" s="465"/>
    </row>
    <row r="14" spans="1:12" x14ac:dyDescent="0.2">
      <c r="A14" s="460" t="s">
        <v>3</v>
      </c>
      <c r="B14" s="467">
        <v>1210</v>
      </c>
      <c r="C14" s="548"/>
      <c r="D14" s="463"/>
      <c r="E14" s="463"/>
      <c r="F14" s="463"/>
      <c r="G14" s="463"/>
      <c r="H14" s="463"/>
      <c r="I14" s="463"/>
      <c r="J14" s="464"/>
      <c r="K14" s="463"/>
    </row>
    <row r="15" spans="1:12" ht="12.75" customHeight="1" x14ac:dyDescent="0.2">
      <c r="A15" s="460" t="s">
        <v>97</v>
      </c>
      <c r="B15" s="467">
        <v>1220</v>
      </c>
      <c r="C15" s="548"/>
      <c r="D15" s="463"/>
      <c r="E15" s="463"/>
      <c r="F15" s="463"/>
      <c r="G15" s="463"/>
      <c r="H15" s="463"/>
      <c r="I15" s="463"/>
      <c r="J15" s="464"/>
      <c r="K15" s="463"/>
    </row>
    <row r="16" spans="1:12" ht="15" customHeight="1" x14ac:dyDescent="0.2">
      <c r="A16" s="460" t="s">
        <v>1748</v>
      </c>
      <c r="B16" s="546">
        <v>1230</v>
      </c>
      <c r="C16" s="548"/>
      <c r="D16" s="463"/>
      <c r="E16" s="463"/>
      <c r="F16" s="463"/>
      <c r="G16" s="463"/>
      <c r="H16" s="463"/>
      <c r="I16" s="463"/>
      <c r="J16" s="464"/>
      <c r="K16" s="463"/>
    </row>
    <row r="17" spans="1:11" ht="12.75" customHeight="1" x14ac:dyDescent="0.2">
      <c r="A17" s="460" t="s">
        <v>840</v>
      </c>
      <c r="B17" s="467">
        <v>1290</v>
      </c>
      <c r="C17" s="548"/>
      <c r="D17" s="463"/>
      <c r="E17" s="463"/>
      <c r="F17" s="463"/>
      <c r="G17" s="463"/>
      <c r="H17" s="463"/>
      <c r="I17" s="463"/>
      <c r="J17" s="464"/>
      <c r="K17" s="463"/>
    </row>
    <row r="18" spans="1:11" ht="12.75" customHeight="1" thickBot="1" x14ac:dyDescent="0.25">
      <c r="A18" s="1727" t="s">
        <v>558</v>
      </c>
      <c r="B18" s="1728"/>
      <c r="C18" s="1729">
        <f>SUM(C14:C17)</f>
        <v>0</v>
      </c>
      <c r="D18" s="1729">
        <f t="shared" ref="D18:K18" si="1">SUM(D14:D17)</f>
        <v>0</v>
      </c>
      <c r="E18" s="1729">
        <f t="shared" si="1"/>
        <v>0</v>
      </c>
      <c r="F18" s="1729">
        <f t="shared" si="1"/>
        <v>0</v>
      </c>
      <c r="G18" s="1729">
        <f t="shared" si="1"/>
        <v>0</v>
      </c>
      <c r="H18" s="1729">
        <f t="shared" si="1"/>
        <v>0</v>
      </c>
      <c r="I18" s="1729">
        <f t="shared" si="1"/>
        <v>0</v>
      </c>
      <c r="J18" s="1729">
        <f t="shared" si="1"/>
        <v>0</v>
      </c>
      <c r="K18" s="1730">
        <f t="shared" si="1"/>
        <v>0</v>
      </c>
    </row>
    <row r="19" spans="1:11" ht="15.75" customHeight="1" thickTop="1" x14ac:dyDescent="0.2">
      <c r="A19" s="1611" t="s">
        <v>472</v>
      </c>
      <c r="B19" s="1612">
        <v>1300</v>
      </c>
      <c r="C19" s="551"/>
      <c r="D19" s="551"/>
      <c r="E19" s="551"/>
      <c r="F19" s="551"/>
      <c r="G19" s="550"/>
      <c r="H19" s="551"/>
      <c r="I19" s="551"/>
      <c r="J19" s="551"/>
      <c r="K19" s="552"/>
    </row>
    <row r="20" spans="1:11" x14ac:dyDescent="0.2">
      <c r="A20" s="460" t="s">
        <v>1133</v>
      </c>
      <c r="B20" s="467">
        <v>1311</v>
      </c>
      <c r="C20" s="463"/>
      <c r="D20" s="465"/>
      <c r="E20" s="465"/>
      <c r="F20" s="465"/>
      <c r="G20" s="465"/>
      <c r="H20" s="465"/>
      <c r="I20" s="465"/>
      <c r="J20" s="465"/>
      <c r="K20" s="465"/>
    </row>
    <row r="21" spans="1:11" ht="12.75" customHeight="1" x14ac:dyDescent="0.2">
      <c r="A21" s="460" t="s">
        <v>887</v>
      </c>
      <c r="B21" s="467">
        <v>1312</v>
      </c>
      <c r="C21" s="548"/>
      <c r="D21" s="465"/>
      <c r="E21" s="465"/>
      <c r="F21" s="465"/>
      <c r="G21" s="465"/>
      <c r="H21" s="465"/>
      <c r="I21" s="465"/>
      <c r="J21" s="465"/>
      <c r="K21" s="465"/>
    </row>
    <row r="22" spans="1:11" ht="12.75" customHeight="1" x14ac:dyDescent="0.2">
      <c r="A22" s="460" t="s">
        <v>1134</v>
      </c>
      <c r="B22" s="467">
        <v>1313</v>
      </c>
      <c r="C22" s="548"/>
      <c r="D22" s="465"/>
      <c r="E22" s="465"/>
      <c r="F22" s="465"/>
      <c r="G22" s="465"/>
      <c r="H22" s="465"/>
      <c r="I22" s="465"/>
      <c r="J22" s="465"/>
      <c r="K22" s="465"/>
    </row>
    <row r="23" spans="1:11" ht="12.75" customHeight="1" x14ac:dyDescent="0.2">
      <c r="A23" s="460" t="s">
        <v>1135</v>
      </c>
      <c r="B23" s="467">
        <v>1314</v>
      </c>
      <c r="C23" s="486"/>
      <c r="D23" s="465"/>
      <c r="E23" s="465"/>
      <c r="F23" s="465"/>
      <c r="G23" s="465"/>
      <c r="H23" s="465"/>
      <c r="I23" s="465"/>
      <c r="J23" s="465"/>
      <c r="K23" s="465"/>
    </row>
    <row r="24" spans="1:11" ht="12.75" customHeight="1" x14ac:dyDescent="0.2">
      <c r="A24" s="460" t="s">
        <v>1085</v>
      </c>
      <c r="B24" s="467">
        <v>1321</v>
      </c>
      <c r="C24" s="548"/>
      <c r="D24" s="465"/>
      <c r="E24" s="465"/>
      <c r="F24" s="465"/>
      <c r="G24" s="465"/>
      <c r="H24" s="465"/>
      <c r="I24" s="465"/>
      <c r="J24" s="465"/>
      <c r="K24" s="465"/>
    </row>
    <row r="25" spans="1:11" ht="12.75" customHeight="1" x14ac:dyDescent="0.2">
      <c r="A25" s="460" t="s">
        <v>888</v>
      </c>
      <c r="B25" s="467">
        <v>1322</v>
      </c>
      <c r="C25" s="548"/>
      <c r="D25" s="465"/>
      <c r="E25" s="465"/>
      <c r="F25" s="465"/>
      <c r="G25" s="465"/>
      <c r="H25" s="465"/>
      <c r="I25" s="465"/>
      <c r="J25" s="465"/>
      <c r="K25" s="465"/>
    </row>
    <row r="26" spans="1:11" ht="12.75" customHeight="1" x14ac:dyDescent="0.2">
      <c r="A26" s="460" t="s">
        <v>1163</v>
      </c>
      <c r="B26" s="467">
        <v>1323</v>
      </c>
      <c r="C26" s="548"/>
      <c r="D26" s="465"/>
      <c r="E26" s="465"/>
      <c r="F26" s="465"/>
      <c r="G26" s="465"/>
      <c r="H26" s="465"/>
      <c r="I26" s="465"/>
      <c r="J26" s="465"/>
      <c r="K26" s="465"/>
    </row>
    <row r="27" spans="1:11" ht="12.75" customHeight="1" x14ac:dyDescent="0.2">
      <c r="A27" s="460" t="s">
        <v>1081</v>
      </c>
      <c r="B27" s="467">
        <v>1324</v>
      </c>
      <c r="C27" s="486"/>
      <c r="D27" s="465"/>
      <c r="E27" s="465"/>
      <c r="F27" s="465"/>
      <c r="G27" s="465"/>
      <c r="H27" s="465"/>
      <c r="I27" s="465"/>
      <c r="J27" s="465"/>
      <c r="K27" s="465"/>
    </row>
    <row r="28" spans="1:11" ht="12.75" customHeight="1" x14ac:dyDescent="0.2">
      <c r="A28" s="460" t="s">
        <v>1082</v>
      </c>
      <c r="B28" s="467">
        <v>1331</v>
      </c>
      <c r="C28" s="548"/>
      <c r="D28" s="465"/>
      <c r="E28" s="465"/>
      <c r="F28" s="465"/>
      <c r="G28" s="465"/>
      <c r="H28" s="465"/>
      <c r="I28" s="465"/>
      <c r="J28" s="465"/>
      <c r="K28" s="465"/>
    </row>
    <row r="29" spans="1:11" ht="12.75" customHeight="1" x14ac:dyDescent="0.2">
      <c r="A29" s="460" t="s">
        <v>889</v>
      </c>
      <c r="B29" s="467">
        <v>1332</v>
      </c>
      <c r="C29" s="548">
        <f>547815-77064</f>
        <v>470751</v>
      </c>
      <c r="D29" s="465"/>
      <c r="E29" s="465"/>
      <c r="F29" s="465"/>
      <c r="G29" s="465"/>
      <c r="H29" s="465"/>
      <c r="I29" s="465"/>
      <c r="J29" s="465"/>
      <c r="K29" s="465"/>
    </row>
    <row r="30" spans="1:11" ht="12.75" customHeight="1" x14ac:dyDescent="0.2">
      <c r="A30" s="460" t="s">
        <v>1084</v>
      </c>
      <c r="B30" s="467">
        <v>1333</v>
      </c>
      <c r="C30" s="548"/>
      <c r="D30" s="465"/>
      <c r="E30" s="465"/>
      <c r="F30" s="465"/>
      <c r="G30" s="465"/>
      <c r="H30" s="465"/>
      <c r="I30" s="465"/>
      <c r="J30" s="465"/>
      <c r="K30" s="465"/>
    </row>
    <row r="31" spans="1:11" ht="12.75" customHeight="1" x14ac:dyDescent="0.2">
      <c r="A31" s="460" t="s">
        <v>1083</v>
      </c>
      <c r="B31" s="467">
        <v>1334</v>
      </c>
      <c r="C31" s="486"/>
      <c r="D31" s="465"/>
      <c r="E31" s="465"/>
      <c r="F31" s="465"/>
      <c r="G31" s="465"/>
      <c r="H31" s="465"/>
      <c r="I31" s="465"/>
      <c r="J31" s="465"/>
      <c r="K31" s="465"/>
    </row>
    <row r="32" spans="1:11" ht="12.75" customHeight="1" x14ac:dyDescent="0.2">
      <c r="A32" s="460" t="s">
        <v>515</v>
      </c>
      <c r="B32" s="467">
        <v>1341</v>
      </c>
      <c r="C32" s="548"/>
      <c r="D32" s="465"/>
      <c r="E32" s="465"/>
      <c r="F32" s="465"/>
      <c r="G32" s="465"/>
      <c r="H32" s="465"/>
      <c r="I32" s="465"/>
      <c r="J32" s="465"/>
      <c r="K32" s="465"/>
    </row>
    <row r="33" spans="1:11" ht="12.75" customHeight="1" x14ac:dyDescent="0.2">
      <c r="A33" s="460" t="s">
        <v>890</v>
      </c>
      <c r="B33" s="467">
        <v>1342</v>
      </c>
      <c r="C33" s="548"/>
      <c r="D33" s="465"/>
      <c r="E33" s="465"/>
      <c r="F33" s="465"/>
      <c r="G33" s="465"/>
      <c r="H33" s="465"/>
      <c r="I33" s="465"/>
      <c r="J33" s="465"/>
      <c r="K33" s="465"/>
    </row>
    <row r="34" spans="1:11" ht="12.75" customHeight="1" x14ac:dyDescent="0.2">
      <c r="A34" s="460" t="s">
        <v>516</v>
      </c>
      <c r="B34" s="467">
        <v>1343</v>
      </c>
      <c r="C34" s="548"/>
      <c r="D34" s="465"/>
      <c r="E34" s="465"/>
      <c r="F34" s="465"/>
      <c r="G34" s="465"/>
      <c r="H34" s="465"/>
      <c r="I34" s="465"/>
      <c r="J34" s="465"/>
      <c r="K34" s="465"/>
    </row>
    <row r="35" spans="1:11" ht="12.75" customHeight="1" x14ac:dyDescent="0.2">
      <c r="A35" s="460" t="s">
        <v>514</v>
      </c>
      <c r="B35" s="467">
        <v>1344</v>
      </c>
      <c r="C35" s="486"/>
      <c r="D35" s="465"/>
      <c r="E35" s="465"/>
      <c r="F35" s="465"/>
      <c r="G35" s="465"/>
      <c r="H35" s="465"/>
      <c r="I35" s="465"/>
      <c r="J35" s="465"/>
      <c r="K35" s="465"/>
    </row>
    <row r="36" spans="1:11" ht="12.75" customHeight="1" x14ac:dyDescent="0.2">
      <c r="A36" s="460" t="s">
        <v>886</v>
      </c>
      <c r="B36" s="467">
        <v>1351</v>
      </c>
      <c r="C36" s="548">
        <f>16270-470</f>
        <v>15800</v>
      </c>
      <c r="D36" s="465"/>
      <c r="E36" s="465"/>
      <c r="F36" s="465"/>
      <c r="G36" s="465"/>
      <c r="H36" s="465"/>
      <c r="I36" s="465"/>
      <c r="J36" s="465"/>
      <c r="K36" s="465"/>
    </row>
    <row r="37" spans="1:11" ht="12.75" customHeight="1" x14ac:dyDescent="0.2">
      <c r="A37" s="460" t="s">
        <v>891</v>
      </c>
      <c r="B37" s="467">
        <v>1352</v>
      </c>
      <c r="C37" s="548"/>
      <c r="D37" s="465"/>
      <c r="E37" s="465"/>
      <c r="F37" s="465"/>
      <c r="G37" s="465"/>
      <c r="H37" s="465"/>
      <c r="I37" s="465"/>
      <c r="J37" s="465"/>
      <c r="K37" s="465"/>
    </row>
    <row r="38" spans="1:11" ht="12.75" customHeight="1" x14ac:dyDescent="0.2">
      <c r="A38" s="460" t="s">
        <v>614</v>
      </c>
      <c r="B38" s="467">
        <v>1353</v>
      </c>
      <c r="C38" s="548"/>
      <c r="D38" s="465"/>
      <c r="E38" s="465"/>
      <c r="F38" s="465"/>
      <c r="G38" s="465"/>
      <c r="H38" s="465"/>
      <c r="I38" s="465"/>
      <c r="J38" s="465"/>
      <c r="K38" s="465"/>
    </row>
    <row r="39" spans="1:11" ht="12.75" customHeight="1" x14ac:dyDescent="0.2">
      <c r="A39" s="1514" t="s">
        <v>615</v>
      </c>
      <c r="B39" s="553">
        <v>1354</v>
      </c>
      <c r="C39" s="486"/>
      <c r="D39" s="465"/>
      <c r="E39" s="465"/>
      <c r="F39" s="465"/>
      <c r="G39" s="465"/>
      <c r="H39" s="465"/>
      <c r="I39" s="465"/>
      <c r="J39" s="465"/>
      <c r="K39" s="465"/>
    </row>
    <row r="40" spans="1:11" ht="12.75" customHeight="1" thickBot="1" x14ac:dyDescent="0.25">
      <c r="A40" s="1727" t="s">
        <v>559</v>
      </c>
      <c r="B40" s="1728"/>
      <c r="C40" s="1707">
        <f>SUM(C20:C39)</f>
        <v>486551</v>
      </c>
      <c r="D40" s="465"/>
      <c r="E40" s="465"/>
      <c r="F40" s="465"/>
      <c r="G40" s="465"/>
      <c r="H40" s="465"/>
      <c r="I40" s="465"/>
      <c r="J40" s="465"/>
      <c r="K40" s="465"/>
    </row>
    <row r="41" spans="1:11" ht="15.75" customHeight="1" thickTop="1" x14ac:dyDescent="0.2">
      <c r="A41" s="1611" t="s">
        <v>292</v>
      </c>
      <c r="B41" s="1612">
        <v>1400</v>
      </c>
      <c r="C41" s="465"/>
      <c r="D41" s="465"/>
      <c r="E41" s="465"/>
      <c r="F41" s="518"/>
      <c r="G41" s="465"/>
      <c r="H41" s="465"/>
      <c r="I41" s="465"/>
      <c r="J41" s="465"/>
      <c r="K41" s="465"/>
    </row>
    <row r="42" spans="1:11" ht="12.75" customHeight="1" x14ac:dyDescent="0.2">
      <c r="A42" s="460" t="s">
        <v>1136</v>
      </c>
      <c r="B42" s="467">
        <v>1411</v>
      </c>
      <c r="C42" s="465"/>
      <c r="D42" s="465"/>
      <c r="E42" s="465"/>
      <c r="F42" s="478"/>
      <c r="G42" s="465"/>
      <c r="H42" s="465"/>
      <c r="I42" s="465"/>
      <c r="J42" s="465"/>
      <c r="K42" s="465"/>
    </row>
    <row r="43" spans="1:11" ht="12.75" customHeight="1" x14ac:dyDescent="0.2">
      <c r="A43" s="460" t="s">
        <v>892</v>
      </c>
      <c r="B43" s="467">
        <v>1412</v>
      </c>
      <c r="C43" s="465"/>
      <c r="D43" s="465"/>
      <c r="E43" s="465"/>
      <c r="F43" s="463"/>
      <c r="G43" s="465"/>
      <c r="H43" s="465"/>
      <c r="I43" s="465"/>
      <c r="J43" s="465"/>
      <c r="K43" s="465"/>
    </row>
    <row r="44" spans="1:11" ht="12.75" customHeight="1" x14ac:dyDescent="0.2">
      <c r="A44" s="460" t="s">
        <v>402</v>
      </c>
      <c r="B44" s="467">
        <v>1413</v>
      </c>
      <c r="C44" s="465"/>
      <c r="D44" s="465"/>
      <c r="E44" s="465"/>
      <c r="F44" s="463"/>
      <c r="G44" s="465"/>
      <c r="H44" s="465"/>
      <c r="I44" s="465"/>
      <c r="J44" s="465"/>
      <c r="K44" s="465"/>
    </row>
    <row r="45" spans="1:11" ht="12.75" customHeight="1" x14ac:dyDescent="0.2">
      <c r="A45" s="460" t="s">
        <v>258</v>
      </c>
      <c r="B45" s="467">
        <v>1415</v>
      </c>
      <c r="C45" s="465"/>
      <c r="D45" s="465"/>
      <c r="E45" s="465"/>
      <c r="F45" s="463"/>
      <c r="G45" s="465"/>
      <c r="H45" s="465"/>
      <c r="I45" s="465"/>
      <c r="J45" s="465"/>
      <c r="K45" s="465"/>
    </row>
    <row r="46" spans="1:11" ht="12.75" customHeight="1" x14ac:dyDescent="0.2">
      <c r="A46" s="460" t="s">
        <v>1236</v>
      </c>
      <c r="B46" s="467">
        <v>1416</v>
      </c>
      <c r="C46" s="465"/>
      <c r="D46" s="465"/>
      <c r="E46" s="465"/>
      <c r="F46" s="464"/>
      <c r="G46" s="465"/>
      <c r="H46" s="465"/>
      <c r="I46" s="465"/>
      <c r="J46" s="465"/>
      <c r="K46" s="465"/>
    </row>
    <row r="47" spans="1:11" ht="12.75" customHeight="1" x14ac:dyDescent="0.2">
      <c r="A47" s="460" t="s">
        <v>59</v>
      </c>
      <c r="B47" s="467">
        <v>1421</v>
      </c>
      <c r="C47" s="465"/>
      <c r="D47" s="465"/>
      <c r="E47" s="465"/>
      <c r="F47" s="463"/>
      <c r="G47" s="465"/>
      <c r="H47" s="465"/>
      <c r="I47" s="465"/>
      <c r="J47" s="465"/>
      <c r="K47" s="465"/>
    </row>
    <row r="48" spans="1:11" ht="12.75" customHeight="1" x14ac:dyDescent="0.2">
      <c r="A48" s="460" t="s">
        <v>893</v>
      </c>
      <c r="B48" s="467">
        <v>1422</v>
      </c>
      <c r="C48" s="465"/>
      <c r="D48" s="465"/>
      <c r="E48" s="465"/>
      <c r="F48" s="463"/>
      <c r="G48" s="465"/>
      <c r="H48" s="465"/>
      <c r="I48" s="465"/>
      <c r="J48" s="465"/>
      <c r="K48" s="465"/>
    </row>
    <row r="49" spans="1:11" ht="12.75" customHeight="1" x14ac:dyDescent="0.2">
      <c r="A49" s="460" t="s">
        <v>60</v>
      </c>
      <c r="B49" s="467">
        <v>1423</v>
      </c>
      <c r="C49" s="465"/>
      <c r="D49" s="465"/>
      <c r="E49" s="465"/>
      <c r="F49" s="463"/>
      <c r="G49" s="465"/>
      <c r="H49" s="465"/>
      <c r="I49" s="465"/>
      <c r="J49" s="465"/>
      <c r="K49" s="465"/>
    </row>
    <row r="50" spans="1:11" ht="12.75" customHeight="1" x14ac:dyDescent="0.2">
      <c r="A50" s="460" t="s">
        <v>61</v>
      </c>
      <c r="B50" s="467">
        <v>1424</v>
      </c>
      <c r="C50" s="465"/>
      <c r="D50" s="465"/>
      <c r="E50" s="465"/>
      <c r="F50" s="464"/>
      <c r="G50" s="465"/>
      <c r="H50" s="465"/>
      <c r="I50" s="465"/>
      <c r="J50" s="465"/>
      <c r="K50" s="465"/>
    </row>
    <row r="51" spans="1:11" ht="12.75" customHeight="1" x14ac:dyDescent="0.2">
      <c r="A51" s="1515" t="s">
        <v>62</v>
      </c>
      <c r="B51" s="554">
        <v>1431</v>
      </c>
      <c r="C51" s="465"/>
      <c r="D51" s="465"/>
      <c r="E51" s="465"/>
      <c r="F51" s="463"/>
      <c r="G51" s="465"/>
      <c r="H51" s="465"/>
      <c r="I51" s="465"/>
      <c r="J51" s="465"/>
      <c r="K51" s="465"/>
    </row>
    <row r="52" spans="1:11" ht="12.75" customHeight="1" x14ac:dyDescent="0.2">
      <c r="A52" s="1515" t="s">
        <v>1168</v>
      </c>
      <c r="B52" s="554">
        <v>1432</v>
      </c>
      <c r="C52" s="465"/>
      <c r="D52" s="465"/>
      <c r="E52" s="465"/>
      <c r="F52" s="463"/>
      <c r="G52" s="465"/>
      <c r="H52" s="465"/>
      <c r="I52" s="465"/>
      <c r="J52" s="465"/>
      <c r="K52" s="465"/>
    </row>
    <row r="53" spans="1:11" ht="12.75" customHeight="1" x14ac:dyDescent="0.2">
      <c r="A53" s="1515" t="s">
        <v>63</v>
      </c>
      <c r="B53" s="554">
        <v>1433</v>
      </c>
      <c r="C53" s="465"/>
      <c r="D53" s="465"/>
      <c r="E53" s="465"/>
      <c r="F53" s="463"/>
      <c r="G53" s="465"/>
      <c r="H53" s="465"/>
      <c r="I53" s="465"/>
      <c r="J53" s="465"/>
      <c r="K53" s="465"/>
    </row>
    <row r="54" spans="1:11" ht="12.75" customHeight="1" x14ac:dyDescent="0.2">
      <c r="A54" s="1515" t="s">
        <v>64</v>
      </c>
      <c r="B54" s="554">
        <v>1434</v>
      </c>
      <c r="C54" s="465"/>
      <c r="D54" s="465"/>
      <c r="E54" s="465"/>
      <c r="F54" s="464"/>
      <c r="G54" s="465"/>
      <c r="H54" s="465"/>
      <c r="I54" s="465"/>
      <c r="J54" s="465"/>
      <c r="K54" s="465"/>
    </row>
    <row r="55" spans="1:11" ht="12.75" customHeight="1" x14ac:dyDescent="0.2">
      <c r="A55" s="1515" t="s">
        <v>65</v>
      </c>
      <c r="B55" s="554">
        <v>1441</v>
      </c>
      <c r="C55" s="465"/>
      <c r="D55" s="465"/>
      <c r="E55" s="465"/>
      <c r="F55" s="463"/>
      <c r="G55" s="465"/>
      <c r="H55" s="465"/>
      <c r="I55" s="465"/>
      <c r="J55" s="465"/>
      <c r="K55" s="465"/>
    </row>
    <row r="56" spans="1:11" ht="12.75" customHeight="1" x14ac:dyDescent="0.2">
      <c r="A56" s="1515" t="s">
        <v>1169</v>
      </c>
      <c r="B56" s="554">
        <v>1442</v>
      </c>
      <c r="C56" s="465"/>
      <c r="D56" s="465"/>
      <c r="E56" s="465"/>
      <c r="F56" s="463"/>
      <c r="G56" s="465"/>
      <c r="H56" s="465"/>
      <c r="I56" s="465"/>
      <c r="J56" s="465"/>
      <c r="K56" s="465"/>
    </row>
    <row r="57" spans="1:11" ht="12.75" customHeight="1" x14ac:dyDescent="0.2">
      <c r="A57" s="1515" t="s">
        <v>510</v>
      </c>
      <c r="B57" s="554">
        <v>1443</v>
      </c>
      <c r="C57" s="465"/>
      <c r="D57" s="465"/>
      <c r="E57" s="465"/>
      <c r="F57" s="463"/>
      <c r="G57" s="465"/>
      <c r="H57" s="465"/>
      <c r="I57" s="465"/>
      <c r="J57" s="465"/>
      <c r="K57" s="465"/>
    </row>
    <row r="58" spans="1:11" ht="12.75" customHeight="1" x14ac:dyDescent="0.2">
      <c r="A58" s="1515" t="s">
        <v>67</v>
      </c>
      <c r="B58" s="554">
        <v>1444</v>
      </c>
      <c r="C58" s="465"/>
      <c r="D58" s="465"/>
      <c r="E58" s="465"/>
      <c r="F58" s="463"/>
      <c r="G58" s="465"/>
      <c r="H58" s="465"/>
      <c r="I58" s="465"/>
      <c r="J58" s="465"/>
      <c r="K58" s="465"/>
    </row>
    <row r="59" spans="1:11" ht="12.75" customHeight="1" x14ac:dyDescent="0.2">
      <c r="A59" s="1515" t="s">
        <v>933</v>
      </c>
      <c r="B59" s="554">
        <v>1451</v>
      </c>
      <c r="C59" s="465"/>
      <c r="D59" s="465"/>
      <c r="E59" s="465"/>
      <c r="F59" s="463"/>
      <c r="G59" s="465"/>
      <c r="H59" s="465"/>
      <c r="I59" s="465"/>
      <c r="J59" s="465"/>
      <c r="K59" s="465"/>
    </row>
    <row r="60" spans="1:11" ht="12.75" customHeight="1" x14ac:dyDescent="0.2">
      <c r="A60" s="1515" t="s">
        <v>1170</v>
      </c>
      <c r="B60" s="554">
        <v>1452</v>
      </c>
      <c r="C60" s="465"/>
      <c r="D60" s="465"/>
      <c r="E60" s="465"/>
      <c r="F60" s="463"/>
      <c r="G60" s="465"/>
      <c r="H60" s="465"/>
      <c r="I60" s="465"/>
      <c r="J60" s="465"/>
      <c r="K60" s="465"/>
    </row>
    <row r="61" spans="1:11" ht="12.75" customHeight="1" x14ac:dyDescent="0.2">
      <c r="A61" s="560" t="s">
        <v>934</v>
      </c>
      <c r="B61" s="554">
        <v>1453</v>
      </c>
      <c r="C61" s="465"/>
      <c r="D61" s="465"/>
      <c r="E61" s="465"/>
      <c r="F61" s="463"/>
      <c r="G61" s="465"/>
      <c r="H61" s="465"/>
      <c r="I61" s="465"/>
      <c r="J61" s="465"/>
      <c r="K61" s="465"/>
    </row>
    <row r="62" spans="1:11" ht="12.75" customHeight="1" x14ac:dyDescent="0.2">
      <c r="A62" s="1516" t="s">
        <v>935</v>
      </c>
      <c r="B62" s="555">
        <v>1454</v>
      </c>
      <c r="C62" s="465"/>
      <c r="D62" s="465"/>
      <c r="E62" s="465"/>
      <c r="F62" s="464"/>
      <c r="G62" s="465"/>
      <c r="H62" s="465"/>
      <c r="I62" s="465"/>
      <c r="J62" s="465"/>
      <c r="K62" s="465"/>
    </row>
    <row r="63" spans="1:11" ht="12.75" customHeight="1" thickBot="1" x14ac:dyDescent="0.25">
      <c r="A63" s="1727" t="s">
        <v>506</v>
      </c>
      <c r="B63" s="1728"/>
      <c r="C63" s="465"/>
      <c r="D63" s="465"/>
      <c r="E63" s="465"/>
      <c r="F63" s="1707">
        <f>SUM(F42:F62)</f>
        <v>0</v>
      </c>
      <c r="G63" s="465"/>
      <c r="H63" s="465"/>
      <c r="I63" s="465"/>
      <c r="J63" s="465"/>
      <c r="K63" s="465"/>
    </row>
    <row r="64" spans="1:11" ht="15.75" customHeight="1" thickTop="1" x14ac:dyDescent="0.2">
      <c r="A64" s="1611" t="s">
        <v>474</v>
      </c>
      <c r="B64" s="1612">
        <v>1500</v>
      </c>
      <c r="C64" s="465"/>
      <c r="D64" s="465"/>
      <c r="E64" s="465"/>
      <c r="F64" s="465"/>
      <c r="G64" s="465"/>
      <c r="H64" s="465"/>
      <c r="I64" s="465"/>
      <c r="J64" s="465"/>
      <c r="K64" s="465"/>
    </row>
    <row r="65" spans="1:11" ht="12.75" customHeight="1" x14ac:dyDescent="0.2">
      <c r="A65" s="460" t="s">
        <v>568</v>
      </c>
      <c r="B65" s="467">
        <v>1510</v>
      </c>
      <c r="C65" s="463"/>
      <c r="D65" s="463"/>
      <c r="E65" s="463"/>
      <c r="F65" s="464"/>
      <c r="G65" s="463"/>
      <c r="H65" s="463"/>
      <c r="I65" s="463"/>
      <c r="J65" s="464"/>
      <c r="K65" s="463"/>
    </row>
    <row r="66" spans="1:11" ht="12.75" customHeight="1" x14ac:dyDescent="0.2">
      <c r="A66" s="460" t="s">
        <v>700</v>
      </c>
      <c r="B66" s="467">
        <v>1520</v>
      </c>
      <c r="C66" s="463"/>
      <c r="D66" s="463"/>
      <c r="E66" s="463"/>
      <c r="F66" s="463"/>
      <c r="G66" s="463"/>
      <c r="H66" s="463"/>
      <c r="I66" s="463"/>
      <c r="J66" s="464"/>
      <c r="K66" s="463"/>
    </row>
    <row r="67" spans="1:11" ht="12.75" customHeight="1" thickBot="1" x14ac:dyDescent="0.25">
      <c r="A67" s="1727" t="s">
        <v>507</v>
      </c>
      <c r="B67" s="1728"/>
      <c r="C67" s="1707">
        <f>SUM(C65:C66)</f>
        <v>0</v>
      </c>
      <c r="D67" s="1707">
        <f t="shared" ref="D67:K67" si="2">SUM(D65:D66)</f>
        <v>0</v>
      </c>
      <c r="E67" s="1707">
        <f t="shared" si="2"/>
        <v>0</v>
      </c>
      <c r="F67" s="1707">
        <f t="shared" si="2"/>
        <v>0</v>
      </c>
      <c r="G67" s="1707">
        <f t="shared" si="2"/>
        <v>0</v>
      </c>
      <c r="H67" s="1707">
        <f t="shared" si="2"/>
        <v>0</v>
      </c>
      <c r="I67" s="1707">
        <f t="shared" si="2"/>
        <v>0</v>
      </c>
      <c r="J67" s="1707">
        <f t="shared" si="2"/>
        <v>0</v>
      </c>
      <c r="K67" s="1707">
        <f t="shared" si="2"/>
        <v>0</v>
      </c>
    </row>
    <row r="68" spans="1:11" ht="15.75" customHeight="1" thickTop="1" x14ac:dyDescent="0.2">
      <c r="A68" s="1611" t="s">
        <v>475</v>
      </c>
      <c r="B68" s="1613">
        <v>1600</v>
      </c>
      <c r="C68" s="550"/>
      <c r="D68" s="465"/>
      <c r="E68" s="465"/>
      <c r="F68" s="465"/>
      <c r="G68" s="465"/>
      <c r="H68" s="465"/>
      <c r="I68" s="465"/>
      <c r="J68" s="465"/>
      <c r="K68" s="465"/>
    </row>
    <row r="69" spans="1:11" ht="12.75" customHeight="1" x14ac:dyDescent="0.2">
      <c r="A69" s="460" t="s">
        <v>687</v>
      </c>
      <c r="B69" s="467">
        <v>1611</v>
      </c>
      <c r="C69" s="463"/>
      <c r="D69" s="465"/>
      <c r="E69" s="465"/>
      <c r="F69" s="465"/>
      <c r="G69" s="465"/>
      <c r="H69" s="465"/>
      <c r="I69" s="465"/>
      <c r="J69" s="465"/>
      <c r="K69" s="465"/>
    </row>
    <row r="70" spans="1:11" ht="12.75" customHeight="1" x14ac:dyDescent="0.2">
      <c r="A70" s="460" t="s">
        <v>1054</v>
      </c>
      <c r="B70" s="467">
        <v>1612</v>
      </c>
      <c r="C70" s="548"/>
      <c r="D70" s="465"/>
      <c r="E70" s="465"/>
      <c r="F70" s="465"/>
      <c r="G70" s="465"/>
      <c r="H70" s="465"/>
      <c r="I70" s="465"/>
      <c r="J70" s="465"/>
      <c r="K70" s="465"/>
    </row>
    <row r="71" spans="1:11" ht="12.75" customHeight="1" x14ac:dyDescent="0.2">
      <c r="A71" s="460" t="s">
        <v>291</v>
      </c>
      <c r="B71" s="467">
        <v>1613</v>
      </c>
      <c r="C71" s="548"/>
      <c r="D71" s="465"/>
      <c r="E71" s="465"/>
      <c r="F71" s="465"/>
      <c r="G71" s="465"/>
      <c r="H71" s="465"/>
      <c r="I71" s="465"/>
      <c r="J71" s="465"/>
      <c r="K71" s="465"/>
    </row>
    <row r="72" spans="1:11" ht="12.75" customHeight="1" x14ac:dyDescent="0.2">
      <c r="A72" s="460" t="s">
        <v>24</v>
      </c>
      <c r="B72" s="467">
        <v>1614</v>
      </c>
      <c r="C72" s="548"/>
      <c r="D72" s="465"/>
      <c r="E72" s="465"/>
      <c r="F72" s="465"/>
      <c r="G72" s="465"/>
      <c r="H72" s="465"/>
      <c r="I72" s="465"/>
      <c r="J72" s="465"/>
      <c r="K72" s="465"/>
    </row>
    <row r="73" spans="1:11" ht="12.75" customHeight="1" x14ac:dyDescent="0.2">
      <c r="A73" s="460" t="s">
        <v>1055</v>
      </c>
      <c r="B73" s="467">
        <v>1620</v>
      </c>
      <c r="C73" s="548"/>
      <c r="D73" s="465"/>
      <c r="E73" s="465"/>
      <c r="F73" s="465"/>
      <c r="G73" s="465"/>
      <c r="H73" s="465"/>
      <c r="I73" s="465"/>
      <c r="J73" s="465"/>
      <c r="K73" s="465"/>
    </row>
    <row r="74" spans="1:11" ht="12.75" customHeight="1" x14ac:dyDescent="0.2">
      <c r="A74" s="460" t="s">
        <v>25</v>
      </c>
      <c r="B74" s="467">
        <v>1690</v>
      </c>
      <c r="C74" s="548"/>
      <c r="D74" s="465"/>
      <c r="E74" s="465"/>
      <c r="F74" s="465"/>
      <c r="G74" s="465"/>
      <c r="H74" s="465"/>
      <c r="I74" s="465"/>
      <c r="J74" s="465"/>
      <c r="K74" s="465"/>
    </row>
    <row r="75" spans="1:11" ht="12.75" customHeight="1" thickBot="1" x14ac:dyDescent="0.25">
      <c r="A75" s="1727" t="s">
        <v>569</v>
      </c>
      <c r="B75" s="1728"/>
      <c r="C75" s="1707">
        <f>SUM(C69:C74)</f>
        <v>0</v>
      </c>
      <c r="D75" s="465"/>
      <c r="E75" s="465"/>
      <c r="F75" s="465"/>
      <c r="G75" s="465"/>
      <c r="H75" s="465"/>
      <c r="I75" s="465"/>
      <c r="J75" s="465"/>
      <c r="K75" s="465"/>
    </row>
    <row r="76" spans="1:11" ht="15.75" customHeight="1" thickTop="1" x14ac:dyDescent="0.2">
      <c r="A76" s="1611" t="s">
        <v>936</v>
      </c>
      <c r="B76" s="1613">
        <v>1700</v>
      </c>
      <c r="C76" s="550"/>
      <c r="D76" s="465"/>
      <c r="E76" s="465"/>
      <c r="F76" s="465"/>
      <c r="G76" s="465"/>
      <c r="H76" s="465"/>
      <c r="I76" s="465"/>
      <c r="J76" s="465"/>
      <c r="K76" s="465"/>
    </row>
    <row r="77" spans="1:11" ht="12.75" customHeight="1" x14ac:dyDescent="0.2">
      <c r="A77" s="460" t="s">
        <v>570</v>
      </c>
      <c r="B77" s="467">
        <v>1711</v>
      </c>
      <c r="C77" s="513"/>
      <c r="D77" s="463"/>
      <c r="E77" s="465"/>
      <c r="F77" s="465"/>
      <c r="G77" s="465"/>
      <c r="H77" s="465"/>
      <c r="I77" s="465"/>
      <c r="J77" s="465"/>
      <c r="K77" s="465"/>
    </row>
    <row r="78" spans="1:11" ht="12.75" customHeight="1" x14ac:dyDescent="0.2">
      <c r="A78" s="460" t="s">
        <v>78</v>
      </c>
      <c r="B78" s="467">
        <v>1719</v>
      </c>
      <c r="C78" s="548"/>
      <c r="D78" s="463"/>
      <c r="E78" s="465"/>
      <c r="F78" s="465"/>
      <c r="G78" s="465"/>
      <c r="H78" s="465"/>
      <c r="I78" s="465"/>
      <c r="J78" s="465"/>
      <c r="K78" s="465"/>
    </row>
    <row r="79" spans="1:11" ht="12.75" customHeight="1" x14ac:dyDescent="0.2">
      <c r="A79" s="460" t="s">
        <v>571</v>
      </c>
      <c r="B79" s="467">
        <v>1720</v>
      </c>
      <c r="C79" s="548">
        <v>9100</v>
      </c>
      <c r="D79" s="463"/>
      <c r="E79" s="465"/>
      <c r="F79" s="465"/>
      <c r="G79" s="465"/>
      <c r="H79" s="465"/>
      <c r="I79" s="465"/>
      <c r="J79" s="465"/>
      <c r="K79" s="465"/>
    </row>
    <row r="80" spans="1:11" ht="12.75" customHeight="1" x14ac:dyDescent="0.2">
      <c r="A80" s="460" t="s">
        <v>572</v>
      </c>
      <c r="B80" s="467">
        <v>1730</v>
      </c>
      <c r="C80" s="548"/>
      <c r="D80" s="463"/>
      <c r="E80" s="465"/>
      <c r="F80" s="465"/>
      <c r="G80" s="465"/>
      <c r="H80" s="465"/>
      <c r="I80" s="465"/>
      <c r="J80" s="465"/>
      <c r="K80" s="465"/>
    </row>
    <row r="81" spans="1:11" ht="12.75" customHeight="1" x14ac:dyDescent="0.2">
      <c r="A81" s="460" t="s">
        <v>26</v>
      </c>
      <c r="B81" s="467">
        <v>1790</v>
      </c>
      <c r="C81" s="548"/>
      <c r="D81" s="463"/>
      <c r="E81" s="465"/>
      <c r="F81" s="465"/>
      <c r="G81" s="465"/>
      <c r="H81" s="465"/>
      <c r="I81" s="465"/>
      <c r="J81" s="465"/>
      <c r="K81" s="465"/>
    </row>
    <row r="82" spans="1:11" ht="12.75" customHeight="1" thickBot="1" x14ac:dyDescent="0.25">
      <c r="A82" s="1727" t="s">
        <v>259</v>
      </c>
      <c r="B82" s="1728"/>
      <c r="C82" s="1726">
        <f>SUM(C77:C81)</f>
        <v>9100</v>
      </c>
      <c r="D82" s="1707">
        <f>SUM(D77:D81)</f>
        <v>0</v>
      </c>
      <c r="E82" s="465"/>
      <c r="F82" s="465"/>
      <c r="G82" s="465"/>
      <c r="H82" s="465"/>
      <c r="I82" s="465"/>
      <c r="J82" s="465"/>
      <c r="K82" s="465"/>
    </row>
    <row r="83" spans="1:11" ht="15.75" customHeight="1" thickTop="1" x14ac:dyDescent="0.2">
      <c r="A83" s="1611" t="s">
        <v>260</v>
      </c>
      <c r="B83" s="1613">
        <v>1800</v>
      </c>
      <c r="C83" s="550"/>
      <c r="D83" s="465"/>
      <c r="E83" s="465"/>
      <c r="F83" s="465"/>
      <c r="G83" s="465"/>
      <c r="H83" s="465"/>
      <c r="I83" s="465"/>
      <c r="J83" s="465"/>
      <c r="K83" s="465"/>
    </row>
    <row r="84" spans="1:11" ht="12.75" customHeight="1" x14ac:dyDescent="0.2">
      <c r="A84" s="460" t="s">
        <v>573</v>
      </c>
      <c r="B84" s="467">
        <v>1811</v>
      </c>
      <c r="C84" s="463"/>
      <c r="D84" s="465"/>
      <c r="E84" s="465"/>
      <c r="F84" s="465"/>
      <c r="G84" s="465"/>
      <c r="H84" s="465"/>
      <c r="I84" s="465"/>
      <c r="J84" s="465"/>
      <c r="K84" s="465"/>
    </row>
    <row r="85" spans="1:11" ht="12.75" customHeight="1" x14ac:dyDescent="0.2">
      <c r="A85" s="460" t="s">
        <v>574</v>
      </c>
      <c r="B85" s="467">
        <v>1812</v>
      </c>
      <c r="C85" s="548"/>
      <c r="D85" s="465"/>
      <c r="E85" s="465"/>
      <c r="F85" s="465"/>
      <c r="G85" s="465"/>
      <c r="H85" s="465"/>
      <c r="I85" s="465"/>
      <c r="J85" s="465"/>
      <c r="K85" s="465"/>
    </row>
    <row r="86" spans="1:11" ht="12.75" customHeight="1" x14ac:dyDescent="0.2">
      <c r="A86" s="460" t="s">
        <v>1056</v>
      </c>
      <c r="B86" s="467">
        <v>1813</v>
      </c>
      <c r="C86" s="548"/>
      <c r="D86" s="465"/>
      <c r="E86" s="465"/>
      <c r="F86" s="465"/>
      <c r="G86" s="465"/>
      <c r="H86" s="465"/>
      <c r="I86" s="465"/>
      <c r="J86" s="465"/>
      <c r="K86" s="465"/>
    </row>
    <row r="87" spans="1:11" ht="12.75" customHeight="1" x14ac:dyDescent="0.2">
      <c r="A87" s="460" t="s">
        <v>79</v>
      </c>
      <c r="B87" s="467">
        <v>1819</v>
      </c>
      <c r="C87" s="548"/>
      <c r="D87" s="465"/>
      <c r="E87" s="465"/>
      <c r="F87" s="465"/>
      <c r="G87" s="465"/>
      <c r="H87" s="465"/>
      <c r="I87" s="465"/>
      <c r="J87" s="465"/>
      <c r="K87" s="465"/>
    </row>
    <row r="88" spans="1:11" ht="12.75" customHeight="1" x14ac:dyDescent="0.2">
      <c r="A88" s="460" t="s">
        <v>575</v>
      </c>
      <c r="B88" s="467">
        <v>1821</v>
      </c>
      <c r="C88" s="548">
        <f>1760-80</f>
        <v>1680</v>
      </c>
      <c r="D88" s="465"/>
      <c r="E88" s="465"/>
      <c r="F88" s="465"/>
      <c r="G88" s="465"/>
      <c r="H88" s="465"/>
      <c r="I88" s="465"/>
      <c r="J88" s="465"/>
      <c r="K88" s="465"/>
    </row>
    <row r="89" spans="1:11" ht="12.75" customHeight="1" x14ac:dyDescent="0.2">
      <c r="A89" s="460" t="s">
        <v>738</v>
      </c>
      <c r="B89" s="467">
        <v>1822</v>
      </c>
      <c r="C89" s="548"/>
      <c r="D89" s="465"/>
      <c r="E89" s="465"/>
      <c r="F89" s="465"/>
      <c r="G89" s="465"/>
      <c r="H89" s="465"/>
      <c r="I89" s="465"/>
      <c r="J89" s="465"/>
      <c r="K89" s="465"/>
    </row>
    <row r="90" spans="1:11" ht="12.75" customHeight="1" x14ac:dyDescent="0.2">
      <c r="A90" s="460" t="s">
        <v>141</v>
      </c>
      <c r="B90" s="467">
        <v>1823</v>
      </c>
      <c r="C90" s="548"/>
      <c r="D90" s="465"/>
      <c r="E90" s="465"/>
      <c r="F90" s="465"/>
      <c r="G90" s="465"/>
      <c r="H90" s="465"/>
      <c r="I90" s="465"/>
      <c r="J90" s="465"/>
      <c r="K90" s="465"/>
    </row>
    <row r="91" spans="1:11" ht="12.75" customHeight="1" x14ac:dyDescent="0.2">
      <c r="A91" s="460" t="s">
        <v>27</v>
      </c>
      <c r="B91" s="467">
        <v>1829</v>
      </c>
      <c r="C91" s="548"/>
      <c r="D91" s="465"/>
      <c r="E91" s="465"/>
      <c r="F91" s="465"/>
      <c r="G91" s="465"/>
      <c r="H91" s="465"/>
      <c r="I91" s="465"/>
      <c r="J91" s="465"/>
      <c r="K91" s="465"/>
    </row>
    <row r="92" spans="1:11" ht="12.75" customHeight="1" x14ac:dyDescent="0.2">
      <c r="A92" s="460" t="s">
        <v>786</v>
      </c>
      <c r="B92" s="467">
        <v>1890</v>
      </c>
      <c r="C92" s="548"/>
      <c r="D92" s="465"/>
      <c r="E92" s="465"/>
      <c r="F92" s="465"/>
      <c r="G92" s="465"/>
      <c r="H92" s="465"/>
      <c r="I92" s="465"/>
      <c r="J92" s="465"/>
      <c r="K92" s="465"/>
    </row>
    <row r="93" spans="1:11" ht="12.75" customHeight="1" thickBot="1" x14ac:dyDescent="0.25">
      <c r="A93" s="1727" t="s">
        <v>261</v>
      </c>
      <c r="B93" s="1728"/>
      <c r="C93" s="1707">
        <f>SUM(C84:C92)</f>
        <v>1680</v>
      </c>
      <c r="D93" s="465"/>
      <c r="E93" s="465"/>
      <c r="F93" s="465"/>
      <c r="G93" s="465"/>
      <c r="H93" s="465"/>
      <c r="I93" s="465"/>
      <c r="J93" s="465"/>
      <c r="K93" s="465"/>
    </row>
    <row r="94" spans="1:11" ht="15.75" customHeight="1" thickTop="1" x14ac:dyDescent="0.2">
      <c r="A94" s="1611" t="s">
        <v>1199</v>
      </c>
      <c r="B94" s="1613">
        <v>1900</v>
      </c>
      <c r="C94" s="550"/>
      <c r="D94" s="518"/>
      <c r="E94" s="465"/>
      <c r="F94" s="465"/>
      <c r="G94" s="465"/>
      <c r="H94" s="465"/>
      <c r="I94" s="465"/>
      <c r="J94" s="465"/>
      <c r="K94" s="465"/>
    </row>
    <row r="95" spans="1:11" ht="12.75" customHeight="1" x14ac:dyDescent="0.2">
      <c r="A95" s="460" t="s">
        <v>1124</v>
      </c>
      <c r="B95" s="467">
        <v>1910</v>
      </c>
      <c r="C95" s="463">
        <f>320-10</f>
        <v>310</v>
      </c>
      <c r="D95" s="548"/>
      <c r="E95" s="518"/>
      <c r="F95" s="518"/>
      <c r="G95" s="518"/>
      <c r="H95" s="518"/>
      <c r="I95" s="518"/>
      <c r="J95" s="518"/>
      <c r="K95" s="518"/>
    </row>
    <row r="96" spans="1:11" ht="12.75" customHeight="1" x14ac:dyDescent="0.2">
      <c r="A96" s="460" t="s">
        <v>409</v>
      </c>
      <c r="B96" s="467">
        <v>1920</v>
      </c>
      <c r="C96" s="548"/>
      <c r="D96" s="548"/>
      <c r="E96" s="476"/>
      <c r="F96" s="475"/>
      <c r="G96" s="475"/>
      <c r="H96" s="475"/>
      <c r="I96" s="475"/>
      <c r="J96" s="475"/>
      <c r="K96" s="475"/>
    </row>
    <row r="97" spans="1:12" ht="12.75" customHeight="1" x14ac:dyDescent="0.2">
      <c r="A97" s="1514" t="s">
        <v>262</v>
      </c>
      <c r="B97" s="556">
        <v>1930</v>
      </c>
      <c r="C97" s="486"/>
      <c r="D97" s="464"/>
      <c r="E97" s="471"/>
      <c r="F97" s="464"/>
      <c r="G97" s="464"/>
      <c r="H97" s="464"/>
      <c r="I97" s="464"/>
      <c r="J97" s="464"/>
      <c r="K97" s="464"/>
    </row>
    <row r="98" spans="1:12" ht="12.75" customHeight="1" x14ac:dyDescent="0.2">
      <c r="A98" s="460" t="s">
        <v>198</v>
      </c>
      <c r="B98" s="467">
        <v>1940</v>
      </c>
      <c r="C98" s="486">
        <v>156988</v>
      </c>
      <c r="D98" s="463"/>
      <c r="E98" s="509"/>
      <c r="F98" s="463"/>
      <c r="G98" s="509"/>
      <c r="H98" s="509"/>
      <c r="I98" s="507"/>
      <c r="J98" s="509"/>
      <c r="K98" s="509"/>
    </row>
    <row r="99" spans="1:12" ht="12.75" customHeight="1" x14ac:dyDescent="0.2">
      <c r="A99" s="460" t="s">
        <v>875</v>
      </c>
      <c r="B99" s="467">
        <v>1950</v>
      </c>
      <c r="C99" s="486"/>
      <c r="D99" s="463"/>
      <c r="E99" s="463"/>
      <c r="F99" s="463"/>
      <c r="G99" s="463"/>
      <c r="H99" s="463"/>
      <c r="I99" s="465"/>
      <c r="J99" s="464"/>
      <c r="K99" s="463"/>
    </row>
    <row r="100" spans="1:12" ht="12.75" customHeight="1" x14ac:dyDescent="0.2">
      <c r="A100" s="460" t="s">
        <v>263</v>
      </c>
      <c r="B100" s="467">
        <v>1960</v>
      </c>
      <c r="C100" s="486"/>
      <c r="D100" s="486"/>
      <c r="E100" s="486"/>
      <c r="F100" s="486"/>
      <c r="G100" s="486"/>
      <c r="H100" s="486"/>
      <c r="I100" s="464"/>
      <c r="J100" s="486"/>
      <c r="K100" s="464"/>
    </row>
    <row r="101" spans="1:12" ht="12.75" customHeight="1" x14ac:dyDescent="0.2">
      <c r="A101" s="460" t="s">
        <v>264</v>
      </c>
      <c r="B101" s="467">
        <v>1970</v>
      </c>
      <c r="C101" s="486"/>
      <c r="D101" s="523"/>
      <c r="E101" s="477"/>
      <c r="F101" s="523"/>
      <c r="G101" s="472"/>
      <c r="H101" s="523"/>
      <c r="I101" s="465"/>
      <c r="J101" s="472"/>
      <c r="K101" s="472"/>
    </row>
    <row r="102" spans="1:12" ht="12.75" customHeight="1" x14ac:dyDescent="0.2">
      <c r="A102" s="460" t="s">
        <v>265</v>
      </c>
      <c r="B102" s="467">
        <v>1980</v>
      </c>
      <c r="C102" s="486"/>
      <c r="D102" s="486"/>
      <c r="E102" s="486"/>
      <c r="F102" s="486"/>
      <c r="G102" s="486"/>
      <c r="H102" s="486"/>
      <c r="I102" s="464"/>
      <c r="J102" s="486"/>
      <c r="K102" s="464"/>
    </row>
    <row r="103" spans="1:12" ht="12.75" customHeight="1" x14ac:dyDescent="0.2">
      <c r="A103" s="460" t="s">
        <v>363</v>
      </c>
      <c r="B103" s="467">
        <v>1983</v>
      </c>
      <c r="C103" s="465"/>
      <c r="D103" s="465"/>
      <c r="E103" s="557"/>
      <c r="F103" s="465"/>
      <c r="G103" s="465"/>
      <c r="H103" s="486"/>
      <c r="I103" s="465"/>
      <c r="J103" s="507"/>
      <c r="K103" s="507"/>
    </row>
    <row r="104" spans="1:12" ht="12.75" customHeight="1" x14ac:dyDescent="0.2">
      <c r="A104" s="460" t="s">
        <v>885</v>
      </c>
      <c r="B104" s="467">
        <v>1991</v>
      </c>
      <c r="C104" s="486"/>
      <c r="D104" s="463"/>
      <c r="E104" s="478"/>
      <c r="F104" s="464"/>
      <c r="G104" s="464"/>
      <c r="H104" s="463"/>
      <c r="I104" s="465"/>
      <c r="J104" s="465"/>
      <c r="K104" s="465"/>
    </row>
    <row r="105" spans="1:12" ht="12.75" customHeight="1" x14ac:dyDescent="0.2">
      <c r="A105" s="460" t="s">
        <v>876</v>
      </c>
      <c r="B105" s="467">
        <v>1992</v>
      </c>
      <c r="C105" s="463"/>
      <c r="D105" s="558"/>
      <c r="E105" s="465"/>
      <c r="F105" s="465"/>
      <c r="G105" s="465"/>
      <c r="H105" s="507"/>
      <c r="I105" s="465"/>
      <c r="J105" s="465"/>
      <c r="K105" s="465"/>
    </row>
    <row r="106" spans="1:12" ht="12.75" customHeight="1" x14ac:dyDescent="0.2">
      <c r="A106" s="460" t="s">
        <v>1505</v>
      </c>
      <c r="B106" s="467">
        <v>1993</v>
      </c>
      <c r="C106" s="463"/>
      <c r="D106" s="486"/>
      <c r="E106" s="464"/>
      <c r="F106" s="464"/>
      <c r="G106" s="464"/>
      <c r="H106" s="464"/>
      <c r="I106" s="518"/>
      <c r="J106" s="464"/>
      <c r="K106" s="464"/>
    </row>
    <row r="107" spans="1:12" ht="12.75" customHeight="1" x14ac:dyDescent="0.2">
      <c r="A107" s="460" t="s">
        <v>80</v>
      </c>
      <c r="B107" s="467">
        <v>1999</v>
      </c>
      <c r="C107" s="548"/>
      <c r="D107" s="463"/>
      <c r="E107" s="463"/>
      <c r="F107" s="463"/>
      <c r="G107" s="463"/>
      <c r="H107" s="463"/>
      <c r="I107" s="463"/>
      <c r="J107" s="464"/>
      <c r="K107" s="463"/>
    </row>
    <row r="108" spans="1:12" ht="12.75" customHeight="1" thickBot="1" x14ac:dyDescent="0.25">
      <c r="A108" s="1727" t="s">
        <v>508</v>
      </c>
      <c r="B108" s="1731"/>
      <c r="C108" s="1726">
        <f>SUM(C95:C107)</f>
        <v>157298</v>
      </c>
      <c r="D108" s="1726">
        <f t="shared" ref="D108:K108" si="3">SUM(D95:D107)</f>
        <v>0</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654629</v>
      </c>
      <c r="D109" s="1734">
        <f t="shared" si="4"/>
        <v>0</v>
      </c>
      <c r="E109" s="1734">
        <f t="shared" si="4"/>
        <v>0</v>
      </c>
      <c r="F109" s="1734">
        <f t="shared" si="4"/>
        <v>0</v>
      </c>
      <c r="G109" s="1734">
        <f t="shared" si="4"/>
        <v>0</v>
      </c>
      <c r="H109" s="1734">
        <f t="shared" si="4"/>
        <v>0</v>
      </c>
      <c r="I109" s="1734">
        <f t="shared" si="4"/>
        <v>0</v>
      </c>
      <c r="J109" s="1734">
        <f t="shared" si="4"/>
        <v>0</v>
      </c>
      <c r="K109" s="1721">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0" t="s">
        <v>877</v>
      </c>
      <c r="B111" s="488">
        <v>2100</v>
      </c>
      <c r="C111" s="513"/>
      <c r="D111" s="478"/>
      <c r="E111" s="558"/>
      <c r="F111" s="478"/>
      <c r="G111" s="478"/>
      <c r="H111" s="558"/>
      <c r="I111" s="465"/>
      <c r="J111" s="465"/>
      <c r="K111" s="465"/>
    </row>
    <row r="112" spans="1:12" ht="12.75" customHeight="1" x14ac:dyDescent="0.2">
      <c r="A112" s="460" t="s">
        <v>878</v>
      </c>
      <c r="B112" s="467">
        <v>2200</v>
      </c>
      <c r="C112" s="548"/>
      <c r="D112" s="463"/>
      <c r="E112" s="558"/>
      <c r="F112" s="463"/>
      <c r="G112" s="463"/>
      <c r="H112" s="558"/>
      <c r="I112" s="465"/>
      <c r="J112" s="465"/>
      <c r="K112" s="465"/>
      <c r="L112" s="549"/>
    </row>
    <row r="113" spans="1:11" ht="12.75" customHeight="1" x14ac:dyDescent="0.2">
      <c r="A113" s="460" t="s">
        <v>28</v>
      </c>
      <c r="B113" s="467">
        <v>2300</v>
      </c>
      <c r="C113" s="548"/>
      <c r="D113" s="463"/>
      <c r="E113" s="558"/>
      <c r="F113" s="463"/>
      <c r="G113" s="463"/>
      <c r="H113" s="558"/>
      <c r="I113" s="465"/>
      <c r="J113" s="465"/>
      <c r="K113" s="465"/>
    </row>
    <row r="114" spans="1:11" ht="13.5" thickBot="1" x14ac:dyDescent="0.25">
      <c r="A114" s="1735" t="s">
        <v>839</v>
      </c>
      <c r="B114" s="1736" t="s">
        <v>590</v>
      </c>
      <c r="C114" s="1737">
        <f>SUM(C111:C113)</f>
        <v>0</v>
      </c>
      <c r="D114" s="1737">
        <f>SUM(D111:D113)</f>
        <v>0</v>
      </c>
      <c r="E114" s="558" t="s">
        <v>1231</v>
      </c>
      <c r="F114" s="1737">
        <f>SUM(F111:F113)</f>
        <v>0</v>
      </c>
      <c r="G114" s="1737">
        <f>SUM(G111:G113)</f>
        <v>0</v>
      </c>
      <c r="H114" s="558"/>
      <c r="I114" s="465"/>
      <c r="J114" s="465"/>
      <c r="K114" s="465"/>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19"/>
      <c r="D116" s="518"/>
      <c r="E116" s="558"/>
      <c r="F116" s="518"/>
      <c r="G116" s="518"/>
      <c r="H116" s="558"/>
      <c r="I116" s="465"/>
      <c r="J116" s="518"/>
      <c r="K116" s="518"/>
    </row>
    <row r="117" spans="1:11" ht="12.75" customHeight="1" x14ac:dyDescent="0.2">
      <c r="A117" s="460" t="s">
        <v>1752</v>
      </c>
      <c r="B117" s="559">
        <v>3001</v>
      </c>
      <c r="C117" s="513"/>
      <c r="D117" s="478"/>
      <c r="E117" s="463"/>
      <c r="F117" s="478"/>
      <c r="G117" s="478"/>
      <c r="H117" s="463"/>
      <c r="I117" s="465"/>
      <c r="J117" s="464"/>
      <c r="K117" s="463"/>
    </row>
    <row r="118" spans="1:11" ht="12.75" customHeight="1" x14ac:dyDescent="0.2">
      <c r="A118" s="460" t="s">
        <v>1887</v>
      </c>
      <c r="B118" s="559">
        <v>3002</v>
      </c>
      <c r="C118" s="548"/>
      <c r="D118" s="463"/>
      <c r="E118" s="463"/>
      <c r="F118" s="463"/>
      <c r="G118" s="463"/>
      <c r="H118" s="463"/>
      <c r="I118" s="465"/>
      <c r="J118" s="464"/>
      <c r="K118" s="463"/>
    </row>
    <row r="119" spans="1:11" ht="12.75" customHeight="1" x14ac:dyDescent="0.2">
      <c r="A119" s="460" t="s">
        <v>1888</v>
      </c>
      <c r="B119" s="559">
        <v>3005</v>
      </c>
      <c r="C119" s="548"/>
      <c r="D119" s="463"/>
      <c r="E119" s="463"/>
      <c r="F119" s="463"/>
      <c r="G119" s="463"/>
      <c r="H119" s="463"/>
      <c r="I119" s="465"/>
      <c r="J119" s="464"/>
      <c r="K119" s="463"/>
    </row>
    <row r="120" spans="1:11" x14ac:dyDescent="0.2">
      <c r="A120" s="1515" t="s">
        <v>1889</v>
      </c>
      <c r="B120" s="561">
        <v>3099</v>
      </c>
      <c r="C120" s="548"/>
      <c r="D120" s="463"/>
      <c r="E120" s="463"/>
      <c r="F120" s="463"/>
      <c r="G120" s="463"/>
      <c r="H120" s="463"/>
      <c r="I120" s="465"/>
      <c r="J120" s="464"/>
      <c r="K120" s="463"/>
    </row>
    <row r="121" spans="1:11" ht="12.6" customHeight="1" thickBot="1" x14ac:dyDescent="0.25">
      <c r="A121" s="1727" t="s">
        <v>509</v>
      </c>
      <c r="B121" s="1738"/>
      <c r="C121" s="1726">
        <f t="shared" ref="C121:H121" si="5">SUM(C117:C120)</f>
        <v>0</v>
      </c>
      <c r="D121" s="1726">
        <f t="shared" si="5"/>
        <v>0</v>
      </c>
      <c r="E121" s="1726">
        <f t="shared" si="5"/>
        <v>0</v>
      </c>
      <c r="F121" s="1726">
        <f t="shared" si="5"/>
        <v>0</v>
      </c>
      <c r="G121" s="1726">
        <f t="shared" si="5"/>
        <v>0</v>
      </c>
      <c r="H121" s="1726">
        <f t="shared" si="5"/>
        <v>0</v>
      </c>
      <c r="I121" s="465"/>
      <c r="J121" s="1726">
        <f>SUM(J117:J120)</f>
        <v>0</v>
      </c>
      <c r="K121" s="1707">
        <f>SUM(K117:K120)</f>
        <v>0</v>
      </c>
    </row>
    <row r="122" spans="1:11" ht="15.75" customHeight="1" thickTop="1" x14ac:dyDescent="0.2">
      <c r="A122" s="1611" t="s">
        <v>1570</v>
      </c>
      <c r="B122" s="1616"/>
      <c r="C122" s="562"/>
      <c r="D122" s="506"/>
      <c r="E122" s="465"/>
      <c r="F122" s="563"/>
      <c r="G122" s="465"/>
      <c r="H122" s="465"/>
      <c r="I122" s="465"/>
      <c r="J122" s="465"/>
      <c r="K122" s="465"/>
    </row>
    <row r="123" spans="1:11" ht="15" customHeight="1" x14ac:dyDescent="0.2">
      <c r="A123" s="1617" t="s">
        <v>688</v>
      </c>
      <c r="B123" s="1618"/>
      <c r="C123" s="518"/>
      <c r="D123" s="506"/>
      <c r="E123" s="465"/>
      <c r="F123" s="518"/>
      <c r="G123" s="465"/>
      <c r="H123" s="465"/>
      <c r="I123" s="465"/>
      <c r="J123" s="465"/>
      <c r="K123" s="465"/>
    </row>
    <row r="124" spans="1:11" ht="12.75" customHeight="1" x14ac:dyDescent="0.2">
      <c r="A124" s="460" t="s">
        <v>921</v>
      </c>
      <c r="B124" s="564">
        <v>3100</v>
      </c>
      <c r="C124" s="478"/>
      <c r="D124" s="558"/>
      <c r="E124" s="465"/>
      <c r="F124" s="545"/>
      <c r="G124" s="465"/>
      <c r="H124" s="465"/>
      <c r="I124" s="465"/>
      <c r="J124" s="465"/>
      <c r="K124" s="465"/>
    </row>
    <row r="125" spans="1:11" ht="12.75" customHeight="1" x14ac:dyDescent="0.2">
      <c r="A125" s="460" t="s">
        <v>1521</v>
      </c>
      <c r="B125" s="559">
        <v>3105</v>
      </c>
      <c r="C125" s="463"/>
      <c r="D125" s="558"/>
      <c r="E125" s="465"/>
      <c r="F125" s="463"/>
      <c r="G125" s="465"/>
      <c r="H125" s="465"/>
      <c r="I125" s="465"/>
      <c r="J125" s="465"/>
      <c r="K125" s="465"/>
    </row>
    <row r="126" spans="1:11" ht="12.75" customHeight="1" x14ac:dyDescent="0.2">
      <c r="A126" s="460" t="s">
        <v>922</v>
      </c>
      <c r="B126" s="559">
        <v>3110</v>
      </c>
      <c r="C126" s="548"/>
      <c r="D126" s="463"/>
      <c r="E126" s="465"/>
      <c r="F126" s="463"/>
      <c r="G126" s="465"/>
      <c r="H126" s="465"/>
      <c r="I126" s="465"/>
      <c r="J126" s="465"/>
      <c r="K126" s="465"/>
    </row>
    <row r="127" spans="1:11" ht="12.75" customHeight="1" x14ac:dyDescent="0.2">
      <c r="A127" s="460" t="s">
        <v>107</v>
      </c>
      <c r="B127" s="559">
        <v>3120</v>
      </c>
      <c r="C127" s="463"/>
      <c r="D127" s="558"/>
      <c r="E127" s="465"/>
      <c r="F127" s="463"/>
      <c r="G127" s="465"/>
      <c r="H127" s="465"/>
      <c r="I127" s="465"/>
      <c r="J127" s="465"/>
      <c r="K127" s="465"/>
    </row>
    <row r="128" spans="1:11" ht="12.75" customHeight="1" x14ac:dyDescent="0.2">
      <c r="A128" s="460" t="s">
        <v>1522</v>
      </c>
      <c r="B128" s="559">
        <v>3130</v>
      </c>
      <c r="C128" s="463"/>
      <c r="D128" s="558"/>
      <c r="E128" s="465"/>
      <c r="F128" s="463"/>
      <c r="G128" s="465"/>
      <c r="H128" s="465"/>
      <c r="I128" s="465"/>
      <c r="J128" s="465"/>
      <c r="K128" s="465"/>
    </row>
    <row r="129" spans="1:11" ht="12.75" customHeight="1" x14ac:dyDescent="0.2">
      <c r="A129" s="460" t="s">
        <v>139</v>
      </c>
      <c r="B129" s="559">
        <v>3145</v>
      </c>
      <c r="C129" s="463"/>
      <c r="D129" s="558"/>
      <c r="E129" s="465"/>
      <c r="F129" s="463"/>
      <c r="G129" s="465"/>
      <c r="H129" s="465"/>
      <c r="I129" s="465"/>
      <c r="J129" s="465"/>
      <c r="K129" s="465"/>
    </row>
    <row r="130" spans="1:11" ht="12.75" customHeight="1" x14ac:dyDescent="0.2">
      <c r="A130" s="460" t="s">
        <v>68</v>
      </c>
      <c r="B130" s="559">
        <v>3199</v>
      </c>
      <c r="C130" s="548"/>
      <c r="D130" s="464"/>
      <c r="E130" s="465"/>
      <c r="F130" s="463"/>
      <c r="G130" s="465"/>
      <c r="H130" s="465"/>
      <c r="I130" s="465"/>
      <c r="J130" s="465"/>
      <c r="K130" s="465"/>
    </row>
    <row r="131" spans="1:11" ht="12.75" customHeight="1" thickBot="1" x14ac:dyDescent="0.25">
      <c r="A131" s="1727" t="s">
        <v>1092</v>
      </c>
      <c r="B131" s="1739"/>
      <c r="C131" s="1726">
        <f>SUM(C124:C130)</f>
        <v>0</v>
      </c>
      <c r="D131" s="1726">
        <f>SUM(D124:D130)</f>
        <v>0</v>
      </c>
      <c r="E131" s="466" t="s">
        <v>1231</v>
      </c>
      <c r="F131" s="1726">
        <f>SUM(F124:F130)</f>
        <v>0</v>
      </c>
      <c r="G131" s="465" t="s">
        <v>1231</v>
      </c>
      <c r="H131" s="465" t="s">
        <v>1231</v>
      </c>
      <c r="I131" s="465" t="s">
        <v>1231</v>
      </c>
      <c r="J131" s="465" t="s">
        <v>1231</v>
      </c>
      <c r="K131" s="465" t="s">
        <v>1231</v>
      </c>
    </row>
    <row r="132" spans="1:11" ht="15.75" customHeight="1" thickTop="1" x14ac:dyDescent="0.2">
      <c r="A132" s="1619" t="s">
        <v>268</v>
      </c>
      <c r="B132" s="1620"/>
      <c r="C132" s="550"/>
      <c r="D132" s="550"/>
      <c r="E132" s="506"/>
      <c r="F132" s="550"/>
      <c r="G132" s="465"/>
      <c r="H132" s="465"/>
      <c r="I132" s="465"/>
      <c r="J132" s="465"/>
      <c r="K132" s="465"/>
    </row>
    <row r="133" spans="1:11" x14ac:dyDescent="0.2">
      <c r="A133" s="460" t="s">
        <v>620</v>
      </c>
      <c r="B133" s="559">
        <v>3200</v>
      </c>
      <c r="C133" s="548">
        <f>226895</f>
        <v>226895</v>
      </c>
      <c r="D133" s="463"/>
      <c r="E133" s="558"/>
      <c r="F133" s="465"/>
      <c r="G133" s="463"/>
      <c r="H133" s="465"/>
      <c r="I133" s="465"/>
      <c r="J133" s="465"/>
      <c r="K133" s="465"/>
    </row>
    <row r="134" spans="1:11" ht="12.75" customHeight="1" x14ac:dyDescent="0.2">
      <c r="A134" s="460" t="s">
        <v>690</v>
      </c>
      <c r="B134" s="559">
        <v>3220</v>
      </c>
      <c r="C134" s="548"/>
      <c r="D134" s="463"/>
      <c r="E134" s="558"/>
      <c r="F134" s="465"/>
      <c r="G134" s="464"/>
      <c r="H134" s="465"/>
      <c r="I134" s="465"/>
      <c r="J134" s="465"/>
      <c r="K134" s="465"/>
    </row>
    <row r="135" spans="1:11" ht="12.75" customHeight="1" x14ac:dyDescent="0.2">
      <c r="A135" s="460" t="s">
        <v>267</v>
      </c>
      <c r="B135" s="559">
        <v>3225</v>
      </c>
      <c r="C135" s="548"/>
      <c r="D135" s="463"/>
      <c r="E135" s="558"/>
      <c r="F135" s="465"/>
      <c r="G135" s="464"/>
      <c r="H135" s="465"/>
      <c r="I135" s="465"/>
      <c r="J135" s="465"/>
      <c r="K135" s="465"/>
    </row>
    <row r="136" spans="1:11" ht="12.75" customHeight="1" x14ac:dyDescent="0.2">
      <c r="A136" s="460" t="s">
        <v>621</v>
      </c>
      <c r="B136" s="559">
        <v>3235</v>
      </c>
      <c r="C136" s="486"/>
      <c r="D136" s="464"/>
      <c r="E136" s="558"/>
      <c r="F136" s="465"/>
      <c r="G136" s="464"/>
      <c r="H136" s="465"/>
      <c r="I136" s="465"/>
      <c r="J136" s="465"/>
      <c r="K136" s="465"/>
    </row>
    <row r="137" spans="1:11" ht="12.75" customHeight="1" x14ac:dyDescent="0.2">
      <c r="A137" s="460" t="s">
        <v>622</v>
      </c>
      <c r="B137" s="559">
        <v>3240</v>
      </c>
      <c r="C137" s="486"/>
      <c r="D137" s="464"/>
      <c r="E137" s="558"/>
      <c r="F137" s="465"/>
      <c r="G137" s="464"/>
      <c r="H137" s="465"/>
      <c r="I137" s="465"/>
      <c r="J137" s="465"/>
      <c r="K137" s="465"/>
    </row>
    <row r="138" spans="1:11" ht="12.75" customHeight="1" x14ac:dyDescent="0.2">
      <c r="A138" s="460" t="s">
        <v>623</v>
      </c>
      <c r="B138" s="559">
        <v>3270</v>
      </c>
      <c r="C138" s="486"/>
      <c r="D138" s="464"/>
      <c r="E138" s="558"/>
      <c r="F138" s="465"/>
      <c r="G138" s="464"/>
      <c r="H138" s="465"/>
      <c r="I138" s="465"/>
      <c r="J138" s="465"/>
      <c r="K138" s="465"/>
    </row>
    <row r="139" spans="1:11" ht="12.75" customHeight="1" x14ac:dyDescent="0.2">
      <c r="A139" s="460" t="s">
        <v>69</v>
      </c>
      <c r="B139" s="559">
        <v>3299</v>
      </c>
      <c r="C139" s="548"/>
      <c r="D139" s="463"/>
      <c r="E139" s="558"/>
      <c r="F139" s="474"/>
      <c r="G139" s="464"/>
      <c r="H139" s="465"/>
      <c r="I139" s="465"/>
      <c r="J139" s="465"/>
      <c r="K139" s="465"/>
    </row>
    <row r="140" spans="1:11" ht="12.75" customHeight="1" thickBot="1" x14ac:dyDescent="0.25">
      <c r="A140" s="1727" t="s">
        <v>624</v>
      </c>
      <c r="B140" s="1739"/>
      <c r="C140" s="1726">
        <f>SUM(C133:C139)</f>
        <v>226895</v>
      </c>
      <c r="D140" s="1726">
        <f>SUM(D133:D139)</f>
        <v>0</v>
      </c>
      <c r="E140" s="558" t="s">
        <v>1231</v>
      </c>
      <c r="F140" s="474"/>
      <c r="G140" s="1726">
        <f>SUM(G133:G139)</f>
        <v>0</v>
      </c>
      <c r="H140" s="465" t="s">
        <v>1231</v>
      </c>
      <c r="I140" s="465" t="s">
        <v>1231</v>
      </c>
      <c r="J140" s="465" t="s">
        <v>1231</v>
      </c>
      <c r="K140" s="465" t="s">
        <v>1231</v>
      </c>
    </row>
    <row r="141" spans="1:11" ht="15.75" customHeight="1" thickTop="1" x14ac:dyDescent="0.2">
      <c r="A141" s="1619" t="s">
        <v>691</v>
      </c>
      <c r="B141" s="1620"/>
      <c r="C141" s="550"/>
      <c r="D141" s="563"/>
      <c r="E141" s="558"/>
      <c r="F141" s="550"/>
      <c r="G141" s="550"/>
      <c r="H141" s="465"/>
      <c r="I141" s="465"/>
      <c r="J141" s="465"/>
      <c r="K141" s="465"/>
    </row>
    <row r="142" spans="1:11" ht="12.75" customHeight="1" x14ac:dyDescent="0.2">
      <c r="A142" s="460" t="s">
        <v>625</v>
      </c>
      <c r="B142" s="559">
        <v>3305</v>
      </c>
      <c r="C142" s="463"/>
      <c r="D142" s="465"/>
      <c r="E142" s="558"/>
      <c r="F142" s="465"/>
      <c r="G142" s="463"/>
      <c r="H142" s="465"/>
      <c r="I142" s="465"/>
      <c r="J142" s="465"/>
      <c r="K142" s="465"/>
    </row>
    <row r="143" spans="1:11" ht="12.75" customHeight="1" x14ac:dyDescent="0.2">
      <c r="A143" s="460" t="s">
        <v>365</v>
      </c>
      <c r="B143" s="559">
        <v>3310</v>
      </c>
      <c r="C143" s="548"/>
      <c r="D143" s="465"/>
      <c r="E143" s="558"/>
      <c r="F143" s="465"/>
      <c r="G143" s="463"/>
      <c r="H143" s="465"/>
      <c r="I143" s="465"/>
      <c r="J143" s="465"/>
      <c r="K143" s="465"/>
    </row>
    <row r="144" spans="1:11" s="202" customFormat="1" ht="13.5" thickBot="1" x14ac:dyDescent="0.25">
      <c r="A144" s="1727" t="s">
        <v>414</v>
      </c>
      <c r="B144" s="1739"/>
      <c r="C144" s="1707">
        <f>SUM(C142:C143)</f>
        <v>0</v>
      </c>
      <c r="D144" s="465"/>
      <c r="E144" s="506"/>
      <c r="F144" s="465"/>
      <c r="G144" s="1740">
        <f>SUM(G142:G143)</f>
        <v>0</v>
      </c>
      <c r="H144" s="465"/>
      <c r="I144" s="465"/>
      <c r="J144" s="465"/>
      <c r="K144" s="465"/>
    </row>
    <row r="145" spans="1:11" s="202" customFormat="1" ht="12.75" customHeight="1" thickTop="1" x14ac:dyDescent="0.2">
      <c r="A145" s="1517" t="s">
        <v>1116</v>
      </c>
      <c r="B145" s="565">
        <v>3360</v>
      </c>
      <c r="C145" s="566"/>
      <c r="D145" s="567"/>
      <c r="E145" s="506"/>
      <c r="F145" s="465"/>
      <c r="G145" s="568"/>
      <c r="H145" s="465"/>
      <c r="I145" s="465"/>
      <c r="J145" s="465"/>
      <c r="K145" s="465"/>
    </row>
    <row r="146" spans="1:11" ht="12.75" customHeight="1" thickBot="1" x14ac:dyDescent="0.25">
      <c r="A146" s="1518" t="s">
        <v>979</v>
      </c>
      <c r="B146" s="569">
        <v>3365</v>
      </c>
      <c r="C146" s="570"/>
      <c r="D146" s="529"/>
      <c r="E146" s="558"/>
      <c r="F146" s="465"/>
      <c r="G146" s="529"/>
      <c r="H146" s="465"/>
      <c r="I146" s="465"/>
      <c r="J146" s="465"/>
      <c r="K146" s="465"/>
    </row>
    <row r="147" spans="1:11" ht="12.75" customHeight="1" thickTop="1" thickBot="1" x14ac:dyDescent="0.25">
      <c r="A147" s="1519" t="s">
        <v>140</v>
      </c>
      <c r="B147" s="571">
        <v>3370</v>
      </c>
      <c r="C147" s="570"/>
      <c r="D147" s="570"/>
      <c r="E147" s="506"/>
      <c r="F147" s="465"/>
      <c r="G147" s="465"/>
      <c r="H147" s="465"/>
      <c r="I147" s="465"/>
      <c r="J147" s="465"/>
      <c r="K147" s="465"/>
    </row>
    <row r="148" spans="1:11" ht="12.75" customHeight="1" thickTop="1" thickBot="1" x14ac:dyDescent="0.25">
      <c r="A148" s="1519" t="s">
        <v>791</v>
      </c>
      <c r="B148" s="571">
        <v>3410</v>
      </c>
      <c r="C148" s="572"/>
      <c r="D148" s="573"/>
      <c r="E148" s="574"/>
      <c r="F148" s="527"/>
      <c r="G148" s="527"/>
      <c r="H148" s="527"/>
      <c r="I148" s="527"/>
      <c r="J148" s="527"/>
      <c r="K148" s="527"/>
    </row>
    <row r="149" spans="1:11" ht="12.75" customHeight="1" thickTop="1" thickBot="1" x14ac:dyDescent="0.25">
      <c r="A149" s="1519" t="s">
        <v>70</v>
      </c>
      <c r="B149" s="571">
        <v>3499</v>
      </c>
      <c r="C149" s="572"/>
      <c r="D149" s="573"/>
      <c r="E149" s="529"/>
      <c r="F149" s="529"/>
      <c r="G149" s="529"/>
      <c r="H149" s="529"/>
      <c r="I149" s="529"/>
      <c r="J149" s="529"/>
      <c r="K149" s="529"/>
    </row>
    <row r="150" spans="1:11" ht="15.75" customHeight="1" thickTop="1" x14ac:dyDescent="0.2">
      <c r="A150" s="1619" t="s">
        <v>473</v>
      </c>
      <c r="B150" s="1621"/>
      <c r="C150" s="550"/>
      <c r="D150" s="465"/>
      <c r="E150" s="558"/>
      <c r="F150" s="465"/>
      <c r="G150" s="465"/>
      <c r="H150" s="465"/>
      <c r="I150" s="465"/>
      <c r="J150" s="465"/>
      <c r="K150" s="465"/>
    </row>
    <row r="151" spans="1:11" ht="12.75" customHeight="1" x14ac:dyDescent="0.2">
      <c r="A151" s="460" t="s">
        <v>1523</v>
      </c>
      <c r="B151" s="559">
        <v>3500</v>
      </c>
      <c r="C151" s="548"/>
      <c r="D151" s="463"/>
      <c r="E151" s="558"/>
      <c r="F151" s="463"/>
      <c r="G151" s="464"/>
      <c r="H151" s="465"/>
      <c r="I151" s="465"/>
      <c r="J151" s="465"/>
      <c r="K151" s="465"/>
    </row>
    <row r="152" spans="1:11" ht="12.75" customHeight="1" x14ac:dyDescent="0.2">
      <c r="A152" s="460" t="s">
        <v>1117</v>
      </c>
      <c r="B152" s="559">
        <v>3510</v>
      </c>
      <c r="C152" s="548"/>
      <c r="D152" s="463"/>
      <c r="E152" s="558"/>
      <c r="F152" s="463"/>
      <c r="G152" s="464"/>
      <c r="H152" s="465"/>
      <c r="I152" s="465"/>
      <c r="J152" s="465"/>
      <c r="K152" s="465"/>
    </row>
    <row r="153" spans="1:11" ht="12.75" customHeight="1" x14ac:dyDescent="0.2">
      <c r="A153" s="460" t="s">
        <v>71</v>
      </c>
      <c r="B153" s="559">
        <v>3599</v>
      </c>
      <c r="C153" s="548"/>
      <c r="D153" s="463"/>
      <c r="E153" s="558"/>
      <c r="F153" s="463"/>
      <c r="G153" s="464"/>
      <c r="H153" s="465"/>
      <c r="I153" s="465"/>
      <c r="J153" s="465"/>
      <c r="K153" s="465"/>
    </row>
    <row r="154" spans="1:11" ht="12.75" customHeight="1" thickBot="1" x14ac:dyDescent="0.25">
      <c r="A154" s="1727" t="s">
        <v>96</v>
      </c>
      <c r="B154" s="1739"/>
      <c r="C154" s="1726">
        <f>SUM(C151:C153)</f>
        <v>0</v>
      </c>
      <c r="D154" s="1726">
        <f>SUM(D151:D153)</f>
        <v>0</v>
      </c>
      <c r="E154" s="558"/>
      <c r="F154" s="1726">
        <f>SUM(F151:F153)</f>
        <v>0</v>
      </c>
      <c r="G154" s="1726">
        <f>SUM(G151:G153)</f>
        <v>0</v>
      </c>
      <c r="H154" s="465"/>
      <c r="I154" s="465"/>
      <c r="J154" s="465"/>
      <c r="K154" s="465"/>
    </row>
    <row r="155" spans="1:11" ht="12.75" customHeight="1" thickTop="1" thickBot="1" x14ac:dyDescent="0.25">
      <c r="A155" s="1519" t="s">
        <v>398</v>
      </c>
      <c r="B155" s="571">
        <v>3610</v>
      </c>
      <c r="C155" s="573"/>
      <c r="D155" s="465"/>
      <c r="E155" s="506"/>
      <c r="F155" s="465"/>
      <c r="G155" s="465"/>
      <c r="H155" s="465"/>
      <c r="I155" s="465"/>
      <c r="J155" s="465"/>
      <c r="K155" s="465"/>
    </row>
    <row r="156" spans="1:11" ht="12.75" customHeight="1" thickTop="1" thickBot="1" x14ac:dyDescent="0.25">
      <c r="A156" s="1519" t="s">
        <v>52</v>
      </c>
      <c r="B156" s="571">
        <v>3660</v>
      </c>
      <c r="C156" s="570"/>
      <c r="D156" s="575"/>
      <c r="E156" s="558"/>
      <c r="F156" s="575"/>
      <c r="G156" s="575"/>
      <c r="H156" s="465"/>
      <c r="I156" s="465"/>
      <c r="J156" s="465"/>
      <c r="K156" s="465"/>
    </row>
    <row r="157" spans="1:11" ht="12.75" customHeight="1" thickTop="1" thickBot="1" x14ac:dyDescent="0.25">
      <c r="A157" s="1519" t="s">
        <v>1057</v>
      </c>
      <c r="B157" s="571">
        <v>3695</v>
      </c>
      <c r="C157" s="573"/>
      <c r="D157" s="465"/>
      <c r="E157" s="558"/>
      <c r="F157" s="573"/>
      <c r="G157" s="573"/>
      <c r="H157" s="465"/>
      <c r="I157" s="465"/>
      <c r="J157" s="465"/>
      <c r="K157" s="465"/>
    </row>
    <row r="158" spans="1:11" ht="12.75" customHeight="1" thickTop="1" thickBot="1" x14ac:dyDescent="0.25">
      <c r="A158" s="1519" t="s">
        <v>1111</v>
      </c>
      <c r="B158" s="571">
        <v>3705</v>
      </c>
      <c r="C158" s="573"/>
      <c r="D158" s="575"/>
      <c r="E158" s="558"/>
      <c r="F158" s="573"/>
      <c r="G158" s="573"/>
      <c r="H158" s="465"/>
      <c r="I158" s="465"/>
      <c r="J158" s="465"/>
      <c r="K158" s="465"/>
    </row>
    <row r="159" spans="1:11" ht="12.75" customHeight="1" thickTop="1" thickBot="1" x14ac:dyDescent="0.25">
      <c r="A159" s="1519" t="s">
        <v>39</v>
      </c>
      <c r="B159" s="571">
        <v>3715</v>
      </c>
      <c r="C159" s="573"/>
      <c r="D159" s="465"/>
      <c r="E159" s="558"/>
      <c r="F159" s="573"/>
      <c r="G159" s="573"/>
      <c r="H159" s="465"/>
      <c r="I159" s="465"/>
      <c r="J159" s="465"/>
      <c r="K159" s="465"/>
    </row>
    <row r="160" spans="1:11" ht="12.75" customHeight="1" thickTop="1" thickBot="1" x14ac:dyDescent="0.25">
      <c r="A160" s="1519" t="s">
        <v>40</v>
      </c>
      <c r="B160" s="571">
        <v>3720</v>
      </c>
      <c r="C160" s="573"/>
      <c r="D160" s="465"/>
      <c r="E160" s="558"/>
      <c r="F160" s="573"/>
      <c r="G160" s="573"/>
      <c r="H160" s="465"/>
      <c r="I160" s="465"/>
      <c r="J160" s="465"/>
      <c r="K160" s="465"/>
    </row>
    <row r="161" spans="1:11" ht="12.75" customHeight="1" thickTop="1" thickBot="1" x14ac:dyDescent="0.25">
      <c r="A161" s="1519" t="s">
        <v>415</v>
      </c>
      <c r="B161" s="571">
        <v>3725</v>
      </c>
      <c r="C161" s="528"/>
      <c r="D161" s="465"/>
      <c r="E161" s="558"/>
      <c r="F161" s="528"/>
      <c r="G161" s="528"/>
      <c r="H161" s="465"/>
      <c r="I161" s="465"/>
      <c r="J161" s="465"/>
      <c r="K161" s="465"/>
    </row>
    <row r="162" spans="1:11" ht="12.75" customHeight="1" thickTop="1" thickBot="1" x14ac:dyDescent="0.25">
      <c r="A162" s="1519" t="s">
        <v>416</v>
      </c>
      <c r="B162" s="571">
        <v>3726</v>
      </c>
      <c r="C162" s="528"/>
      <c r="D162" s="465"/>
      <c r="E162" s="558"/>
      <c r="F162" s="528"/>
      <c r="G162" s="528"/>
      <c r="H162" s="465"/>
      <c r="I162" s="465"/>
      <c r="J162" s="465"/>
      <c r="K162" s="465"/>
    </row>
    <row r="163" spans="1:11" ht="12.75" customHeight="1" thickTop="1" thickBot="1" x14ac:dyDescent="0.25">
      <c r="A163" s="1519" t="s">
        <v>41</v>
      </c>
      <c r="B163" s="571">
        <v>3766</v>
      </c>
      <c r="C163" s="573"/>
      <c r="D163" s="575"/>
      <c r="E163" s="558"/>
      <c r="F163" s="573"/>
      <c r="G163" s="528"/>
      <c r="H163" s="465"/>
      <c r="I163" s="465"/>
      <c r="J163" s="465"/>
      <c r="K163" s="465"/>
    </row>
    <row r="164" spans="1:11" ht="12.75" customHeight="1" thickTop="1" thickBot="1" x14ac:dyDescent="0.25">
      <c r="A164" s="1519" t="s">
        <v>1042</v>
      </c>
      <c r="B164" s="571">
        <v>3767</v>
      </c>
      <c r="C164" s="573"/>
      <c r="D164" s="528"/>
      <c r="E164" s="558"/>
      <c r="F164" s="528"/>
      <c r="G164" s="528"/>
      <c r="H164" s="465"/>
      <c r="I164" s="465"/>
      <c r="J164" s="465"/>
      <c r="K164" s="465"/>
    </row>
    <row r="165" spans="1:11" ht="12.75" customHeight="1" thickTop="1" thickBot="1" x14ac:dyDescent="0.25">
      <c r="A165" s="1519" t="s">
        <v>1043</v>
      </c>
      <c r="B165" s="571">
        <v>3775</v>
      </c>
      <c r="C165" s="573"/>
      <c r="D165" s="570"/>
      <c r="E165" s="527"/>
      <c r="F165" s="570"/>
      <c r="G165" s="529"/>
      <c r="H165" s="527"/>
      <c r="I165" s="465"/>
      <c r="J165" s="465"/>
      <c r="K165" s="527"/>
    </row>
    <row r="166" spans="1:11" ht="12.75" customHeight="1" thickTop="1" thickBot="1" x14ac:dyDescent="0.25">
      <c r="A166" s="1519" t="s">
        <v>1524</v>
      </c>
      <c r="B166" s="571">
        <v>3780</v>
      </c>
      <c r="C166" s="528"/>
      <c r="D166" s="527"/>
      <c r="E166" s="528"/>
      <c r="F166" s="528"/>
      <c r="G166" s="528"/>
      <c r="H166" s="528"/>
      <c r="I166" s="465"/>
      <c r="J166" s="465"/>
      <c r="K166" s="528"/>
    </row>
    <row r="167" spans="1:11" ht="12.75" customHeight="1" thickTop="1" thickBot="1" x14ac:dyDescent="0.25">
      <c r="A167" s="1519" t="s">
        <v>913</v>
      </c>
      <c r="B167" s="571">
        <v>3815</v>
      </c>
      <c r="C167" s="573"/>
      <c r="D167" s="465"/>
      <c r="E167" s="558"/>
      <c r="F167" s="573"/>
      <c r="G167" s="465"/>
      <c r="H167" s="465"/>
      <c r="I167" s="465"/>
      <c r="J167" s="465"/>
      <c r="K167" s="465"/>
    </row>
    <row r="168" spans="1:11" ht="12.75" customHeight="1" thickTop="1" thickBot="1" x14ac:dyDescent="0.25">
      <c r="A168" s="1519" t="s">
        <v>417</v>
      </c>
      <c r="B168" s="571">
        <v>3825</v>
      </c>
      <c r="C168" s="573"/>
      <c r="D168" s="465"/>
      <c r="E168" s="558"/>
      <c r="F168" s="573"/>
      <c r="G168" s="465"/>
      <c r="H168" s="465"/>
      <c r="I168" s="465"/>
      <c r="J168" s="465"/>
      <c r="K168" s="465"/>
    </row>
    <row r="169" spans="1:11" ht="12.75" customHeight="1" thickTop="1" thickBot="1" x14ac:dyDescent="0.25">
      <c r="A169" s="1519" t="s">
        <v>366</v>
      </c>
      <c r="B169" s="571">
        <v>3920</v>
      </c>
      <c r="C169" s="563"/>
      <c r="D169" s="575"/>
      <c r="E169" s="465"/>
      <c r="F169" s="563"/>
      <c r="G169" s="465"/>
      <c r="H169" s="527"/>
      <c r="I169" s="465"/>
      <c r="J169" s="465"/>
      <c r="K169" s="465"/>
    </row>
    <row r="170" spans="1:11" ht="12.75" customHeight="1" thickTop="1" thickBot="1" x14ac:dyDescent="0.25">
      <c r="A170" s="1519" t="s">
        <v>367</v>
      </c>
      <c r="B170" s="571">
        <v>3925</v>
      </c>
      <c r="C170" s="518"/>
      <c r="D170" s="573"/>
      <c r="E170" s="518"/>
      <c r="F170" s="518"/>
      <c r="G170" s="465"/>
      <c r="H170" s="528"/>
      <c r="I170" s="465"/>
      <c r="J170" s="465"/>
      <c r="K170" s="527"/>
    </row>
    <row r="171" spans="1:11" ht="14.25" thickTop="1" thickBot="1" x14ac:dyDescent="0.25">
      <c r="A171" s="1519" t="s">
        <v>72</v>
      </c>
      <c r="B171" s="571">
        <v>3999</v>
      </c>
      <c r="C171" s="576"/>
      <c r="D171" s="577"/>
      <c r="E171" s="577"/>
      <c r="F171" s="577"/>
      <c r="G171" s="578"/>
      <c r="H171" s="579"/>
      <c r="I171" s="578"/>
      <c r="J171" s="578"/>
      <c r="K171" s="579"/>
    </row>
    <row r="172" spans="1:11" ht="12.75" customHeight="1" thickTop="1" thickBot="1" x14ac:dyDescent="0.25">
      <c r="A172" s="2161" t="s">
        <v>418</v>
      </c>
      <c r="B172" s="2162"/>
      <c r="C172" s="1741">
        <f t="shared" ref="C172:K172" si="6">SUM(C131,C140,C144,C145:C149,C154,C155:C170,C171)</f>
        <v>226895</v>
      </c>
      <c r="D172" s="1741">
        <f t="shared" si="6"/>
        <v>0</v>
      </c>
      <c r="E172" s="1741">
        <f t="shared" si="6"/>
        <v>0</v>
      </c>
      <c r="F172" s="1741">
        <f t="shared" si="6"/>
        <v>0</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226895</v>
      </c>
      <c r="D173" s="1734">
        <f>SUM(D121,D172)</f>
        <v>0</v>
      </c>
      <c r="E173" s="1734">
        <f>SUM(E121,E172)</f>
        <v>0</v>
      </c>
      <c r="F173" s="1734">
        <f t="shared" ref="F173:K173" si="7">SUM(F121,F172)</f>
        <v>0</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3" t="s">
        <v>1572</v>
      </c>
      <c r="B175" s="2164"/>
      <c r="C175" s="517"/>
      <c r="D175" s="517"/>
      <c r="E175" s="506"/>
      <c r="F175" s="465"/>
      <c r="G175" s="465"/>
      <c r="H175" s="465"/>
      <c r="I175" s="465"/>
      <c r="J175" s="465"/>
      <c r="K175" s="465"/>
    </row>
    <row r="176" spans="1:11" ht="12.6" customHeight="1" x14ac:dyDescent="0.2">
      <c r="A176" s="490" t="s">
        <v>1104</v>
      </c>
      <c r="B176" s="488">
        <v>4001</v>
      </c>
      <c r="C176" s="513"/>
      <c r="D176" s="478"/>
      <c r="E176" s="464"/>
      <c r="F176" s="463"/>
      <c r="G176" s="463"/>
      <c r="H176" s="464"/>
      <c r="I176" s="464"/>
      <c r="J176" s="464"/>
      <c r="K176" s="464"/>
    </row>
    <row r="177" spans="1:11" ht="22.5" x14ac:dyDescent="0.2">
      <c r="A177" s="560" t="s">
        <v>838</v>
      </c>
      <c r="B177" s="580">
        <v>4009</v>
      </c>
      <c r="C177" s="548"/>
      <c r="D177" s="463"/>
      <c r="E177" s="464"/>
      <c r="F177" s="463"/>
      <c r="G177" s="463"/>
      <c r="H177" s="464"/>
      <c r="I177" s="464"/>
      <c r="J177" s="464"/>
      <c r="K177" s="464"/>
    </row>
    <row r="178" spans="1:11" ht="13.5" thickBot="1" x14ac:dyDescent="0.25">
      <c r="A178" s="2167" t="s">
        <v>1750</v>
      </c>
      <c r="B178" s="2168"/>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4" customFormat="1" ht="15.75" customHeight="1" thickTop="1" x14ac:dyDescent="0.2">
      <c r="A179" s="2171" t="s">
        <v>1749</v>
      </c>
      <c r="B179" s="2172"/>
      <c r="C179" s="596"/>
      <c r="D179" s="597"/>
      <c r="E179" s="598"/>
      <c r="F179" s="599"/>
      <c r="G179" s="599"/>
      <c r="H179" s="599"/>
      <c r="I179" s="599"/>
      <c r="J179" s="599"/>
      <c r="K179" s="599"/>
    </row>
    <row r="180" spans="1:11" ht="12.75" customHeight="1" x14ac:dyDescent="0.2">
      <c r="A180" s="460" t="s">
        <v>1105</v>
      </c>
      <c r="B180" s="467">
        <v>4045</v>
      </c>
      <c r="C180" s="548"/>
      <c r="D180" s="465"/>
      <c r="E180" s="558"/>
      <c r="F180" s="465"/>
      <c r="G180" s="465"/>
      <c r="H180" s="465"/>
      <c r="I180" s="465"/>
      <c r="J180" s="465"/>
      <c r="K180" s="465"/>
    </row>
    <row r="181" spans="1:11" ht="12.75" customHeight="1" x14ac:dyDescent="0.2">
      <c r="A181" s="460" t="s">
        <v>1106</v>
      </c>
      <c r="B181" s="467">
        <v>4050</v>
      </c>
      <c r="C181" s="548"/>
      <c r="D181" s="464"/>
      <c r="E181" s="558"/>
      <c r="F181" s="465"/>
      <c r="G181" s="465"/>
      <c r="H181" s="464"/>
      <c r="I181" s="465"/>
      <c r="J181" s="465"/>
      <c r="K181" s="465"/>
    </row>
    <row r="182" spans="1:11" ht="12.75" customHeight="1" x14ac:dyDescent="0.2">
      <c r="A182" s="460" t="s">
        <v>278</v>
      </c>
      <c r="B182" s="467">
        <v>4060</v>
      </c>
      <c r="C182" s="513"/>
      <c r="D182" s="463"/>
      <c r="E182" s="465"/>
      <c r="F182" s="463"/>
      <c r="G182" s="463"/>
      <c r="H182" s="463"/>
      <c r="I182" s="465"/>
      <c r="J182" s="465"/>
      <c r="K182" s="518"/>
    </row>
    <row r="183" spans="1:11" ht="22.5" x14ac:dyDescent="0.2">
      <c r="A183" s="560" t="s">
        <v>819</v>
      </c>
      <c r="B183" s="580">
        <v>4090</v>
      </c>
      <c r="C183" s="548"/>
      <c r="D183" s="463"/>
      <c r="E183" s="465"/>
      <c r="F183" s="463"/>
      <c r="G183" s="463"/>
      <c r="H183" s="463"/>
      <c r="I183" s="465"/>
      <c r="J183" s="465"/>
      <c r="K183" s="463"/>
    </row>
    <row r="184" spans="1:11" ht="13.5" thickBot="1" x14ac:dyDescent="0.25">
      <c r="A184" s="2169" t="s">
        <v>818</v>
      </c>
      <c r="B184" s="2170"/>
      <c r="C184" s="1726">
        <f>SUM(C180:C183)</f>
        <v>0</v>
      </c>
      <c r="D184" s="1726">
        <f>SUM(D180:D183)</f>
        <v>0</v>
      </c>
      <c r="E184" s="465"/>
      <c r="F184" s="1726">
        <f>SUM(F180:F183)</f>
        <v>0</v>
      </c>
      <c r="G184" s="1726">
        <f>SUM(G180:G183)</f>
        <v>0</v>
      </c>
      <c r="H184" s="1726">
        <f>SUM(H180:H183)</f>
        <v>0</v>
      </c>
      <c r="I184" s="465"/>
      <c r="J184" s="465"/>
      <c r="K184" s="1707">
        <f>SUM(K180:K183)</f>
        <v>0</v>
      </c>
    </row>
    <row r="185" spans="1:11" ht="22.5" customHeight="1" thickTop="1" x14ac:dyDescent="0.2">
      <c r="A185" s="2165" t="s">
        <v>1891</v>
      </c>
      <c r="B185" s="2166"/>
      <c r="C185" s="581"/>
      <c r="D185" s="563"/>
      <c r="E185" s="506"/>
      <c r="F185" s="563"/>
      <c r="G185" s="563"/>
      <c r="H185" s="465"/>
      <c r="I185" s="465"/>
      <c r="J185" s="465"/>
      <c r="K185" s="465"/>
    </row>
    <row r="186" spans="1:11" ht="15.75" customHeight="1" x14ac:dyDescent="0.2">
      <c r="A186" s="1622" t="s">
        <v>1692</v>
      </c>
      <c r="B186" s="1623"/>
      <c r="C186" s="519"/>
      <c r="D186" s="518"/>
      <c r="E186" s="506"/>
      <c r="F186" s="518"/>
      <c r="G186" s="518"/>
      <c r="H186" s="465"/>
      <c r="I186" s="465"/>
      <c r="J186" s="465"/>
      <c r="K186" s="465"/>
    </row>
    <row r="187" spans="1:11" ht="12.75" customHeight="1" x14ac:dyDescent="0.2">
      <c r="A187" s="460" t="s">
        <v>1693</v>
      </c>
      <c r="B187" s="467">
        <v>4100</v>
      </c>
      <c r="C187" s="513"/>
      <c r="D187" s="478"/>
      <c r="E187" s="558"/>
      <c r="F187" s="478"/>
      <c r="G187" s="478"/>
      <c r="H187" s="465"/>
      <c r="I187" s="465"/>
      <c r="J187" s="465"/>
      <c r="K187" s="465"/>
    </row>
    <row r="188" spans="1:11" ht="12.75" customHeight="1" x14ac:dyDescent="0.2">
      <c r="A188" s="460" t="s">
        <v>1694</v>
      </c>
      <c r="B188" s="467">
        <v>4105</v>
      </c>
      <c r="C188" s="548"/>
      <c r="D188" s="463"/>
      <c r="E188" s="558"/>
      <c r="F188" s="463"/>
      <c r="G188" s="463"/>
      <c r="H188" s="465"/>
      <c r="I188" s="465"/>
      <c r="J188" s="465"/>
      <c r="K188" s="465"/>
    </row>
    <row r="189" spans="1:11" ht="12.75" customHeight="1" x14ac:dyDescent="0.2">
      <c r="A189" s="460" t="s">
        <v>1696</v>
      </c>
      <c r="B189" s="467">
        <v>4107</v>
      </c>
      <c r="C189" s="548"/>
      <c r="D189" s="463"/>
      <c r="E189" s="558"/>
      <c r="F189" s="463"/>
      <c r="G189" s="463"/>
      <c r="H189" s="465"/>
      <c r="I189" s="465"/>
      <c r="J189" s="465"/>
      <c r="K189" s="465"/>
    </row>
    <row r="190" spans="1:11" ht="12.75" customHeight="1" x14ac:dyDescent="0.2">
      <c r="A190" s="460" t="s">
        <v>1695</v>
      </c>
      <c r="B190" s="467">
        <v>4199</v>
      </c>
      <c r="C190" s="548"/>
      <c r="D190" s="463"/>
      <c r="E190" s="558"/>
      <c r="F190" s="463"/>
      <c r="G190" s="463"/>
      <c r="H190" s="465"/>
      <c r="I190" s="465"/>
      <c r="J190" s="465"/>
      <c r="K190" s="465"/>
    </row>
    <row r="191" spans="1:11" ht="12.75" customHeight="1" thickBot="1" x14ac:dyDescent="0.25">
      <c r="A191" s="1727" t="s">
        <v>1697</v>
      </c>
      <c r="B191" s="1728"/>
      <c r="C191" s="1726">
        <f>SUM(C187:C190)</f>
        <v>0</v>
      </c>
      <c r="D191" s="1726">
        <f>SUM(D187:D190)</f>
        <v>0</v>
      </c>
      <c r="E191" s="558"/>
      <c r="F191" s="1726">
        <f>SUM(F187:F190)</f>
        <v>0</v>
      </c>
      <c r="G191" s="1726">
        <f>SUM(G187:G190)</f>
        <v>0</v>
      </c>
      <c r="H191" s="465"/>
      <c r="I191" s="465"/>
      <c r="J191" s="465"/>
      <c r="K191" s="465"/>
    </row>
    <row r="192" spans="1:11" ht="15.75" customHeight="1" thickTop="1" x14ac:dyDescent="0.2">
      <c r="A192" s="1619" t="s">
        <v>475</v>
      </c>
      <c r="B192" s="1624"/>
      <c r="C192" s="550"/>
      <c r="D192" s="563"/>
      <c r="E192" s="558"/>
      <c r="F192" s="550"/>
      <c r="G192" s="550"/>
      <c r="H192" s="465"/>
      <c r="I192" s="465"/>
      <c r="J192" s="465"/>
      <c r="K192" s="465"/>
    </row>
    <row r="193" spans="1:11" x14ac:dyDescent="0.2">
      <c r="A193" s="460" t="s">
        <v>1525</v>
      </c>
      <c r="B193" s="467">
        <v>4200</v>
      </c>
      <c r="C193" s="464"/>
      <c r="D193" s="465"/>
      <c r="E193" s="558"/>
      <c r="F193" s="550"/>
      <c r="G193" s="582"/>
      <c r="H193" s="465"/>
      <c r="I193" s="465"/>
      <c r="J193" s="465"/>
      <c r="K193" s="465"/>
    </row>
    <row r="194" spans="1:11" ht="12.75" customHeight="1" x14ac:dyDescent="0.2">
      <c r="A194" s="460" t="s">
        <v>1118</v>
      </c>
      <c r="B194" s="467">
        <v>4210</v>
      </c>
      <c r="C194" s="463"/>
      <c r="D194" s="465"/>
      <c r="E194" s="558"/>
      <c r="F194" s="465"/>
      <c r="G194" s="582"/>
      <c r="H194" s="465"/>
      <c r="I194" s="465"/>
      <c r="J194" s="465"/>
      <c r="K194" s="465"/>
    </row>
    <row r="195" spans="1:11" ht="12.75" customHeight="1" x14ac:dyDescent="0.2">
      <c r="A195" s="460" t="s">
        <v>1107</v>
      </c>
      <c r="B195" s="467">
        <v>4215</v>
      </c>
      <c r="C195" s="548"/>
      <c r="D195" s="465"/>
      <c r="E195" s="558"/>
      <c r="F195" s="465"/>
      <c r="G195" s="582"/>
      <c r="H195" s="465"/>
      <c r="I195" s="465"/>
      <c r="J195" s="465"/>
      <c r="K195" s="465"/>
    </row>
    <row r="196" spans="1:11" ht="12.75" customHeight="1" x14ac:dyDescent="0.2">
      <c r="A196" s="460" t="s">
        <v>1119</v>
      </c>
      <c r="B196" s="467">
        <v>4220</v>
      </c>
      <c r="C196" s="548"/>
      <c r="D196" s="465"/>
      <c r="E196" s="558"/>
      <c r="F196" s="465"/>
      <c r="G196" s="582"/>
      <c r="H196" s="465"/>
      <c r="I196" s="465"/>
      <c r="J196" s="465"/>
      <c r="K196" s="465"/>
    </row>
    <row r="197" spans="1:11" ht="12.75" customHeight="1" x14ac:dyDescent="0.2">
      <c r="A197" s="460" t="s">
        <v>1526</v>
      </c>
      <c r="B197" s="467">
        <v>4225</v>
      </c>
      <c r="C197" s="548"/>
      <c r="D197" s="465"/>
      <c r="E197" s="558"/>
      <c r="F197" s="465"/>
      <c r="G197" s="582"/>
      <c r="H197" s="465"/>
      <c r="I197" s="465"/>
      <c r="J197" s="465"/>
      <c r="K197" s="465"/>
    </row>
    <row r="198" spans="1:11" ht="12.75" customHeight="1" x14ac:dyDescent="0.2">
      <c r="A198" s="460" t="s">
        <v>1527</v>
      </c>
      <c r="B198" s="467">
        <v>4226</v>
      </c>
      <c r="C198" s="548"/>
      <c r="D198" s="465"/>
      <c r="E198" s="558"/>
      <c r="F198" s="465"/>
      <c r="G198" s="582"/>
      <c r="H198" s="465"/>
      <c r="I198" s="465"/>
      <c r="J198" s="465"/>
      <c r="K198" s="465"/>
    </row>
    <row r="199" spans="1:11" ht="12.75" customHeight="1" x14ac:dyDescent="0.2">
      <c r="A199" s="460" t="s">
        <v>825</v>
      </c>
      <c r="B199" s="467">
        <v>4240</v>
      </c>
      <c r="C199" s="486"/>
      <c r="D199" s="465"/>
      <c r="E199" s="558"/>
      <c r="F199" s="465"/>
      <c r="G199" s="583"/>
      <c r="H199" s="465"/>
      <c r="I199" s="465"/>
      <c r="J199" s="465"/>
      <c r="K199" s="465"/>
    </row>
    <row r="200" spans="1:11" ht="12.75" customHeight="1" x14ac:dyDescent="0.2">
      <c r="A200" s="460" t="s">
        <v>73</v>
      </c>
      <c r="B200" s="467">
        <v>4299</v>
      </c>
      <c r="C200" s="548"/>
      <c r="D200" s="465"/>
      <c r="E200" s="558"/>
      <c r="F200" s="465"/>
      <c r="G200" s="582"/>
      <c r="H200" s="465"/>
      <c r="I200" s="465"/>
      <c r="J200" s="465"/>
      <c r="K200" s="465"/>
    </row>
    <row r="201" spans="1:11" ht="12.75" customHeight="1" thickBot="1" x14ac:dyDescent="0.25">
      <c r="A201" s="1727" t="s">
        <v>569</v>
      </c>
      <c r="B201" s="1728"/>
      <c r="C201" s="1707">
        <f>SUM(C193:C200)</f>
        <v>0</v>
      </c>
      <c r="D201" s="465"/>
      <c r="E201" s="465"/>
      <c r="F201" s="465"/>
      <c r="G201" s="1707">
        <f>SUM(G193:G200)</f>
        <v>0</v>
      </c>
      <c r="H201" s="465"/>
      <c r="I201" s="465"/>
      <c r="J201" s="465"/>
      <c r="K201" s="465"/>
    </row>
    <row r="202" spans="1:11" ht="15.75" customHeight="1" thickTop="1" x14ac:dyDescent="0.2">
      <c r="A202" s="1619" t="s">
        <v>1200</v>
      </c>
      <c r="B202" s="1624"/>
      <c r="C202" s="550"/>
      <c r="D202" s="465"/>
      <c r="E202" s="465"/>
      <c r="F202" s="465"/>
      <c r="G202" s="465"/>
      <c r="H202" s="465"/>
      <c r="I202" s="465"/>
      <c r="J202" s="465"/>
      <c r="K202" s="465"/>
    </row>
    <row r="203" spans="1:11" ht="12.75" customHeight="1" x14ac:dyDescent="0.2">
      <c r="A203" s="460" t="s">
        <v>974</v>
      </c>
      <c r="B203" s="467">
        <v>4300</v>
      </c>
      <c r="C203" s="463"/>
      <c r="D203" s="463"/>
      <c r="E203" s="465"/>
      <c r="F203" s="463"/>
      <c r="G203" s="463"/>
      <c r="H203" s="465"/>
      <c r="I203" s="465"/>
      <c r="J203" s="465"/>
      <c r="K203" s="465"/>
    </row>
    <row r="204" spans="1:11" ht="12.75" customHeight="1" x14ac:dyDescent="0.2">
      <c r="A204" s="460" t="s">
        <v>975</v>
      </c>
      <c r="B204" s="467">
        <v>4305</v>
      </c>
      <c r="C204" s="548"/>
      <c r="D204" s="463"/>
      <c r="E204" s="465"/>
      <c r="F204" s="463"/>
      <c r="G204" s="463"/>
      <c r="H204" s="465"/>
      <c r="I204" s="465"/>
      <c r="J204" s="465"/>
      <c r="K204" s="465"/>
    </row>
    <row r="205" spans="1:11" ht="12.75" customHeight="1" x14ac:dyDescent="0.2">
      <c r="A205" s="460" t="s">
        <v>976</v>
      </c>
      <c r="B205" s="467">
        <v>4332</v>
      </c>
      <c r="C205" s="548"/>
      <c r="D205" s="463"/>
      <c r="E205" s="465"/>
      <c r="F205" s="463"/>
      <c r="G205" s="463"/>
      <c r="H205" s="465"/>
      <c r="I205" s="465"/>
      <c r="J205" s="465"/>
      <c r="K205" s="465"/>
    </row>
    <row r="206" spans="1:11" ht="12.75" customHeight="1" x14ac:dyDescent="0.2">
      <c r="A206" s="460" t="s">
        <v>1089</v>
      </c>
      <c r="B206" s="467">
        <v>4334</v>
      </c>
      <c r="C206" s="548"/>
      <c r="D206" s="463"/>
      <c r="E206" s="465"/>
      <c r="F206" s="463"/>
      <c r="G206" s="463"/>
      <c r="H206" s="465"/>
      <c r="I206" s="465"/>
      <c r="J206" s="465"/>
      <c r="K206" s="465"/>
    </row>
    <row r="207" spans="1:11" ht="12.75" customHeight="1" x14ac:dyDescent="0.2">
      <c r="A207" s="460" t="s">
        <v>1090</v>
      </c>
      <c r="B207" s="467">
        <v>4335</v>
      </c>
      <c r="C207" s="548"/>
      <c r="D207" s="463"/>
      <c r="E207" s="465"/>
      <c r="F207" s="463"/>
      <c r="G207" s="463"/>
      <c r="H207" s="465"/>
      <c r="I207" s="465"/>
      <c r="J207" s="465"/>
      <c r="K207" s="465"/>
    </row>
    <row r="208" spans="1:11" ht="12.75" customHeight="1" x14ac:dyDescent="0.2">
      <c r="A208" s="460" t="s">
        <v>1153</v>
      </c>
      <c r="B208" s="467">
        <v>4337</v>
      </c>
      <c r="C208" s="486"/>
      <c r="D208" s="464"/>
      <c r="E208" s="465"/>
      <c r="F208" s="464"/>
      <c r="G208" s="464"/>
      <c r="H208" s="465"/>
      <c r="I208" s="465"/>
      <c r="J208" s="465"/>
      <c r="K208" s="465"/>
    </row>
    <row r="209" spans="1:11" ht="12.75" customHeight="1" x14ac:dyDescent="0.2">
      <c r="A209" s="460" t="s">
        <v>1091</v>
      </c>
      <c r="B209" s="467">
        <v>4340</v>
      </c>
      <c r="C209" s="548"/>
      <c r="D209" s="463"/>
      <c r="E209" s="465"/>
      <c r="F209" s="463"/>
      <c r="G209" s="463"/>
      <c r="H209" s="465"/>
      <c r="I209" s="465"/>
      <c r="J209" s="465"/>
      <c r="K209" s="465"/>
    </row>
    <row r="210" spans="1:11" ht="12.75" customHeight="1" x14ac:dyDescent="0.2">
      <c r="A210" s="460" t="s">
        <v>74</v>
      </c>
      <c r="B210" s="467">
        <v>4399</v>
      </c>
      <c r="C210" s="548"/>
      <c r="D210" s="463"/>
      <c r="E210" s="465"/>
      <c r="F210" s="463"/>
      <c r="G210" s="463"/>
      <c r="H210" s="465"/>
      <c r="I210" s="465"/>
      <c r="J210" s="465"/>
      <c r="K210" s="465"/>
    </row>
    <row r="211" spans="1:11" ht="12.75" customHeight="1" thickBot="1" x14ac:dyDescent="0.25">
      <c r="A211" s="1727" t="s">
        <v>420</v>
      </c>
      <c r="B211" s="1728"/>
      <c r="C211" s="1726">
        <f>SUM(C203:C210)</f>
        <v>0</v>
      </c>
      <c r="D211" s="1726">
        <f>SUM(D203:D210)</f>
        <v>0</v>
      </c>
      <c r="E211" s="465"/>
      <c r="F211" s="1726">
        <f>SUM(F203:F210)</f>
        <v>0</v>
      </c>
      <c r="G211" s="1726">
        <f>SUM(G203:G210)</f>
        <v>0</v>
      </c>
      <c r="H211" s="465"/>
      <c r="I211" s="465"/>
      <c r="J211" s="465"/>
      <c r="K211" s="465"/>
    </row>
    <row r="212" spans="1:11" ht="15.75" customHeight="1" thickTop="1" x14ac:dyDescent="0.2">
      <c r="A212" s="1619" t="s">
        <v>1201</v>
      </c>
      <c r="B212" s="1624"/>
      <c r="C212" s="550"/>
      <c r="D212" s="550"/>
      <c r="E212" s="465"/>
      <c r="F212" s="550"/>
      <c r="G212" s="550"/>
      <c r="H212" s="465"/>
      <c r="I212" s="465"/>
      <c r="J212" s="465"/>
      <c r="K212" s="465"/>
    </row>
    <row r="213" spans="1:11" ht="12.75" customHeight="1" x14ac:dyDescent="0.2">
      <c r="A213" s="460" t="s">
        <v>783</v>
      </c>
      <c r="B213" s="467">
        <v>4400</v>
      </c>
      <c r="C213" s="548"/>
      <c r="D213" s="463"/>
      <c r="E213" s="465"/>
      <c r="F213" s="463"/>
      <c r="G213" s="463"/>
      <c r="H213" s="465"/>
      <c r="I213" s="465"/>
      <c r="J213" s="465"/>
      <c r="K213" s="465"/>
    </row>
    <row r="214" spans="1:11" ht="12.75" customHeight="1" x14ac:dyDescent="0.2">
      <c r="A214" s="460" t="s">
        <v>1528</v>
      </c>
      <c r="B214" s="467">
        <v>4421</v>
      </c>
      <c r="C214" s="548"/>
      <c r="D214" s="463"/>
      <c r="E214" s="465"/>
      <c r="F214" s="463"/>
      <c r="G214" s="463"/>
      <c r="H214" s="465"/>
      <c r="I214" s="465"/>
      <c r="J214" s="465"/>
      <c r="K214" s="465"/>
    </row>
    <row r="215" spans="1:11" ht="12.75" customHeight="1" x14ac:dyDescent="0.2">
      <c r="A215" s="460" t="s">
        <v>75</v>
      </c>
      <c r="B215" s="467">
        <v>4499</v>
      </c>
      <c r="C215" s="548"/>
      <c r="D215" s="463"/>
      <c r="E215" s="465"/>
      <c r="F215" s="463"/>
      <c r="G215" s="463"/>
      <c r="H215" s="465"/>
      <c r="I215" s="465"/>
      <c r="J215" s="465"/>
      <c r="K215" s="465"/>
    </row>
    <row r="216" spans="1:11" ht="12.75" customHeight="1" thickBot="1" x14ac:dyDescent="0.25">
      <c r="A216" s="1727" t="s">
        <v>944</v>
      </c>
      <c r="B216" s="1728"/>
      <c r="C216" s="1726">
        <f>SUM(C213:C215)</f>
        <v>0</v>
      </c>
      <c r="D216" s="1726">
        <f>SUM(D213:D215)</f>
        <v>0</v>
      </c>
      <c r="E216" s="465" t="s">
        <v>1231</v>
      </c>
      <c r="F216" s="1726">
        <f>SUM(F213:F215)</f>
        <v>0</v>
      </c>
      <c r="G216" s="1726">
        <f>SUM(G213:G215)</f>
        <v>0</v>
      </c>
      <c r="H216" s="465"/>
      <c r="I216" s="465"/>
      <c r="J216" s="465"/>
      <c r="K216" s="465"/>
    </row>
    <row r="217" spans="1:11" ht="15.75" customHeight="1" thickTop="1" x14ac:dyDescent="0.2">
      <c r="A217" s="1619" t="s">
        <v>1154</v>
      </c>
      <c r="B217" s="1624"/>
      <c r="C217" s="550"/>
      <c r="D217" s="550"/>
      <c r="E217" s="465"/>
      <c r="F217" s="550"/>
      <c r="G217" s="550"/>
      <c r="H217" s="465"/>
      <c r="I217" s="465"/>
      <c r="J217" s="465"/>
      <c r="K217" s="465"/>
    </row>
    <row r="218" spans="1:11" ht="12.75" customHeight="1" x14ac:dyDescent="0.2">
      <c r="A218" s="460" t="s">
        <v>1112</v>
      </c>
      <c r="B218" s="467">
        <v>4600</v>
      </c>
      <c r="C218" s="548"/>
      <c r="D218" s="463"/>
      <c r="E218" s="465"/>
      <c r="F218" s="463"/>
      <c r="G218" s="463"/>
      <c r="H218" s="465"/>
      <c r="I218" s="465"/>
      <c r="J218" s="465"/>
      <c r="K218" s="465"/>
    </row>
    <row r="219" spans="1:11" ht="12.75" customHeight="1" x14ac:dyDescent="0.2">
      <c r="A219" s="460" t="s">
        <v>1113</v>
      </c>
      <c r="B219" s="467">
        <v>4605</v>
      </c>
      <c r="C219" s="548"/>
      <c r="D219" s="463"/>
      <c r="E219" s="465"/>
      <c r="F219" s="463"/>
      <c r="G219" s="463"/>
      <c r="H219" s="465"/>
      <c r="I219" s="465"/>
      <c r="J219" s="465"/>
      <c r="K219" s="465"/>
    </row>
    <row r="220" spans="1:11" ht="12.75" customHeight="1" x14ac:dyDescent="0.2">
      <c r="A220" s="460" t="s">
        <v>1529</v>
      </c>
      <c r="B220" s="554">
        <v>4620</v>
      </c>
      <c r="C220" s="548"/>
      <c r="D220" s="463"/>
      <c r="E220" s="465"/>
      <c r="F220" s="463"/>
      <c r="G220" s="463"/>
      <c r="H220" s="465"/>
      <c r="I220" s="465"/>
      <c r="J220" s="465"/>
      <c r="K220" s="465"/>
    </row>
    <row r="221" spans="1:11" ht="12.75" customHeight="1" x14ac:dyDescent="0.2">
      <c r="A221" s="460" t="s">
        <v>1114</v>
      </c>
      <c r="B221" s="467">
        <v>4625</v>
      </c>
      <c r="C221" s="548"/>
      <c r="D221" s="463"/>
      <c r="E221" s="465"/>
      <c r="F221" s="463"/>
      <c r="G221" s="463"/>
      <c r="H221" s="465"/>
      <c r="I221" s="465"/>
      <c r="J221" s="465"/>
      <c r="K221" s="465"/>
    </row>
    <row r="222" spans="1:11" ht="12.75" customHeight="1" x14ac:dyDescent="0.2">
      <c r="A222" s="460" t="s">
        <v>1115</v>
      </c>
      <c r="B222" s="467">
        <v>4630</v>
      </c>
      <c r="C222" s="548"/>
      <c r="D222" s="463"/>
      <c r="E222" s="465"/>
      <c r="F222" s="463"/>
      <c r="G222" s="463"/>
      <c r="H222" s="465"/>
      <c r="I222" s="465"/>
      <c r="J222" s="465"/>
      <c r="K222" s="465"/>
    </row>
    <row r="223" spans="1:11" ht="12.75" customHeight="1" x14ac:dyDescent="0.2">
      <c r="A223" s="1520" t="s">
        <v>76</v>
      </c>
      <c r="B223" s="554">
        <v>4699</v>
      </c>
      <c r="C223" s="548"/>
      <c r="D223" s="463"/>
      <c r="E223" s="465"/>
      <c r="F223" s="463"/>
      <c r="G223" s="463"/>
      <c r="H223" s="465"/>
      <c r="I223" s="465"/>
      <c r="J223" s="465"/>
      <c r="K223" s="465"/>
    </row>
    <row r="224" spans="1:11" ht="12.75" customHeight="1" thickBot="1" x14ac:dyDescent="0.25">
      <c r="A224" s="1727" t="s">
        <v>467</v>
      </c>
      <c r="B224" s="1728"/>
      <c r="C224" s="1726">
        <f>SUM(C218:C223)</f>
        <v>0</v>
      </c>
      <c r="D224" s="1726">
        <f>SUM(D218:D223)</f>
        <v>0</v>
      </c>
      <c r="E224" s="465"/>
      <c r="F224" s="1726">
        <f>SUM(F218:F223)</f>
        <v>0</v>
      </c>
      <c r="G224" s="1726">
        <f>SUM(G218:G223)</f>
        <v>0</v>
      </c>
      <c r="H224" s="465"/>
      <c r="I224" s="465"/>
      <c r="J224" s="465"/>
      <c r="K224" s="465"/>
    </row>
    <row r="225" spans="1:11" ht="15.75" customHeight="1" thickTop="1" x14ac:dyDescent="0.2">
      <c r="A225" s="1619" t="s">
        <v>1155</v>
      </c>
      <c r="B225" s="1624"/>
      <c r="C225" s="550"/>
      <c r="D225" s="550"/>
      <c r="E225" s="465"/>
      <c r="F225" s="550"/>
      <c r="G225" s="550"/>
      <c r="H225" s="465"/>
      <c r="I225" s="465"/>
      <c r="J225" s="465"/>
      <c r="K225" s="465"/>
    </row>
    <row r="226" spans="1:11" ht="12.75" customHeight="1" x14ac:dyDescent="0.2">
      <c r="A226" s="460" t="s">
        <v>820</v>
      </c>
      <c r="B226" s="467">
        <v>4770</v>
      </c>
      <c r="C226" s="548"/>
      <c r="D226" s="463"/>
      <c r="E226" s="465"/>
      <c r="F226" s="465"/>
      <c r="G226" s="463"/>
      <c r="H226" s="465"/>
      <c r="I226" s="465"/>
      <c r="J226" s="465"/>
      <c r="K226" s="465"/>
    </row>
    <row r="227" spans="1:11" ht="12.75" customHeight="1" x14ac:dyDescent="0.2">
      <c r="A227" s="460" t="s">
        <v>69</v>
      </c>
      <c r="B227" s="467">
        <v>4799</v>
      </c>
      <c r="C227" s="548"/>
      <c r="D227" s="463"/>
      <c r="E227" s="465"/>
      <c r="F227" s="465"/>
      <c r="G227" s="463"/>
      <c r="H227" s="465"/>
      <c r="I227" s="465"/>
      <c r="J227" s="465"/>
      <c r="K227" s="465"/>
    </row>
    <row r="228" spans="1:11" ht="12.75" customHeight="1" thickBot="1" x14ac:dyDescent="0.25">
      <c r="A228" s="1742" t="s">
        <v>1145</v>
      </c>
      <c r="B228" s="1743"/>
      <c r="C228" s="1726">
        <f>SUM(C226:C227)</f>
        <v>0</v>
      </c>
      <c r="D228" s="1726">
        <f>SUM(D226:D227)</f>
        <v>0</v>
      </c>
      <c r="E228" s="465"/>
      <c r="F228" s="465"/>
      <c r="G228" s="1726">
        <f>SUM(G226:G227)</f>
        <v>0</v>
      </c>
      <c r="H228" s="465"/>
      <c r="I228" s="465"/>
      <c r="J228" s="465"/>
      <c r="K228" s="465"/>
    </row>
    <row r="229" spans="1:11" ht="12.75" customHeight="1" thickTop="1" thickBot="1" x14ac:dyDescent="0.25">
      <c r="A229" s="490" t="s">
        <v>781</v>
      </c>
      <c r="B229" s="488">
        <v>4810</v>
      </c>
      <c r="C229" s="572"/>
      <c r="D229" s="573"/>
      <c r="E229" s="465"/>
      <c r="F229" s="465"/>
      <c r="G229" s="573"/>
      <c r="H229" s="465"/>
      <c r="I229" s="465"/>
      <c r="J229" s="465"/>
      <c r="K229" s="465"/>
    </row>
    <row r="230" spans="1:11" ht="12.75" customHeight="1" thickTop="1" x14ac:dyDescent="0.2">
      <c r="A230" s="490" t="s">
        <v>368</v>
      </c>
      <c r="B230" s="488">
        <v>4850</v>
      </c>
      <c r="C230" s="486"/>
      <c r="D230" s="464"/>
      <c r="E230" s="464"/>
      <c r="F230" s="464"/>
      <c r="G230" s="464"/>
      <c r="H230" s="464"/>
      <c r="I230" s="465"/>
      <c r="J230" s="464"/>
      <c r="K230" s="464"/>
    </row>
    <row r="231" spans="1:11" ht="12.75" customHeight="1" x14ac:dyDescent="0.2">
      <c r="A231" s="490" t="s">
        <v>369</v>
      </c>
      <c r="B231" s="488">
        <v>4851</v>
      </c>
      <c r="C231" s="486"/>
      <c r="D231" s="464"/>
      <c r="E231" s="465"/>
      <c r="F231" s="471"/>
      <c r="G231" s="464"/>
      <c r="H231" s="465"/>
      <c r="I231" s="465"/>
      <c r="J231" s="465"/>
      <c r="K231" s="465"/>
    </row>
    <row r="232" spans="1:11" ht="12.75" customHeight="1" x14ac:dyDescent="0.2">
      <c r="A232" s="490" t="s">
        <v>370</v>
      </c>
      <c r="B232" s="488">
        <v>4852</v>
      </c>
      <c r="C232" s="486"/>
      <c r="D232" s="464"/>
      <c r="E232" s="464"/>
      <c r="F232" s="464"/>
      <c r="G232" s="464"/>
      <c r="H232" s="464"/>
      <c r="I232" s="465"/>
      <c r="J232" s="464"/>
      <c r="K232" s="464"/>
    </row>
    <row r="233" spans="1:11" ht="12.75" customHeight="1" x14ac:dyDescent="0.2">
      <c r="A233" s="490" t="s">
        <v>371</v>
      </c>
      <c r="B233" s="488">
        <v>4853</v>
      </c>
      <c r="C233" s="486"/>
      <c r="D233" s="464"/>
      <c r="E233" s="464"/>
      <c r="F233" s="464"/>
      <c r="G233" s="464"/>
      <c r="H233" s="464"/>
      <c r="I233" s="465"/>
      <c r="J233" s="464"/>
      <c r="K233" s="464"/>
    </row>
    <row r="234" spans="1:11" ht="12.75" customHeight="1" x14ac:dyDescent="0.2">
      <c r="A234" s="490" t="s">
        <v>372</v>
      </c>
      <c r="B234" s="488">
        <v>4854</v>
      </c>
      <c r="C234" s="486"/>
      <c r="D234" s="464"/>
      <c r="E234" s="464"/>
      <c r="F234" s="464"/>
      <c r="G234" s="464"/>
      <c r="H234" s="464"/>
      <c r="I234" s="465"/>
      <c r="J234" s="464"/>
      <c r="K234" s="464"/>
    </row>
    <row r="235" spans="1:11" ht="12.75" customHeight="1" x14ac:dyDescent="0.2">
      <c r="A235" s="490" t="s">
        <v>484</v>
      </c>
      <c r="B235" s="488">
        <v>4855</v>
      </c>
      <c r="C235" s="486"/>
      <c r="D235" s="464"/>
      <c r="E235" s="464"/>
      <c r="F235" s="464"/>
      <c r="G235" s="464"/>
      <c r="H235" s="464"/>
      <c r="I235" s="465"/>
      <c r="J235" s="464"/>
      <c r="K235" s="464"/>
    </row>
    <row r="236" spans="1:11" ht="12.75" customHeight="1" x14ac:dyDescent="0.2">
      <c r="A236" s="490" t="s">
        <v>373</v>
      </c>
      <c r="B236" s="488">
        <v>4856</v>
      </c>
      <c r="C236" s="486"/>
      <c r="D236" s="464"/>
      <c r="E236" s="464"/>
      <c r="F236" s="464"/>
      <c r="G236" s="464"/>
      <c r="H236" s="464"/>
      <c r="I236" s="465"/>
      <c r="J236" s="464"/>
      <c r="K236" s="464"/>
    </row>
    <row r="237" spans="1:11" ht="12.75" customHeight="1" x14ac:dyDescent="0.2">
      <c r="A237" s="490" t="s">
        <v>374</v>
      </c>
      <c r="B237" s="488">
        <v>4857</v>
      </c>
      <c r="C237" s="486"/>
      <c r="D237" s="464"/>
      <c r="E237" s="464"/>
      <c r="F237" s="464"/>
      <c r="G237" s="464"/>
      <c r="H237" s="464"/>
      <c r="I237" s="465"/>
      <c r="J237" s="464"/>
      <c r="K237" s="464"/>
    </row>
    <row r="238" spans="1:11" ht="12.75" customHeight="1" x14ac:dyDescent="0.2">
      <c r="A238" s="490" t="s">
        <v>375</v>
      </c>
      <c r="B238" s="488">
        <v>4860</v>
      </c>
      <c r="C238" s="486"/>
      <c r="D238" s="464"/>
      <c r="E238" s="464"/>
      <c r="F238" s="464"/>
      <c r="G238" s="464"/>
      <c r="H238" s="464"/>
      <c r="I238" s="465"/>
      <c r="J238" s="464"/>
      <c r="K238" s="464"/>
    </row>
    <row r="239" spans="1:11" ht="12.75" customHeight="1" x14ac:dyDescent="0.2">
      <c r="A239" s="490" t="s">
        <v>376</v>
      </c>
      <c r="B239" s="488">
        <v>4861</v>
      </c>
      <c r="C239" s="486"/>
      <c r="D239" s="464"/>
      <c r="E239" s="464"/>
      <c r="F239" s="464"/>
      <c r="G239" s="464"/>
      <c r="H239" s="464"/>
      <c r="I239" s="465"/>
      <c r="J239" s="464"/>
      <c r="K239" s="464"/>
    </row>
    <row r="240" spans="1:11" ht="12.75" customHeight="1" x14ac:dyDescent="0.2">
      <c r="A240" s="490" t="s">
        <v>377</v>
      </c>
      <c r="B240" s="488">
        <v>4862</v>
      </c>
      <c r="C240" s="486"/>
      <c r="D240" s="464"/>
      <c r="E240" s="472"/>
      <c r="F240" s="464"/>
      <c r="G240" s="464"/>
      <c r="H240" s="472"/>
      <c r="I240" s="465"/>
      <c r="J240" s="472"/>
      <c r="K240" s="472"/>
    </row>
    <row r="241" spans="1:11" ht="12.75" customHeight="1" x14ac:dyDescent="0.2">
      <c r="A241" s="490" t="s">
        <v>378</v>
      </c>
      <c r="B241" s="488">
        <v>4863</v>
      </c>
      <c r="C241" s="486"/>
      <c r="D241" s="464"/>
      <c r="E241" s="465"/>
      <c r="F241" s="472"/>
      <c r="G241" s="523"/>
      <c r="H241" s="465"/>
      <c r="I241" s="465"/>
      <c r="J241" s="465"/>
      <c r="K241" s="465"/>
    </row>
    <row r="242" spans="1:11" ht="12.75" customHeight="1" x14ac:dyDescent="0.2">
      <c r="A242" s="490" t="s">
        <v>489</v>
      </c>
      <c r="B242" s="488">
        <v>4864</v>
      </c>
      <c r="C242" s="486"/>
      <c r="D242" s="464"/>
      <c r="E242" s="464"/>
      <c r="F242" s="464"/>
      <c r="G242" s="464"/>
      <c r="H242" s="464"/>
      <c r="I242" s="465"/>
      <c r="J242" s="464"/>
      <c r="K242" s="464"/>
    </row>
    <row r="243" spans="1:11" ht="12.75" customHeight="1" x14ac:dyDescent="0.2">
      <c r="A243" s="490" t="s">
        <v>490</v>
      </c>
      <c r="B243" s="488">
        <v>4865</v>
      </c>
      <c r="C243" s="486"/>
      <c r="D243" s="464"/>
      <c r="E243" s="464"/>
      <c r="F243" s="464"/>
      <c r="G243" s="464"/>
      <c r="H243" s="464"/>
      <c r="I243" s="465"/>
      <c r="J243" s="464"/>
      <c r="K243" s="464"/>
    </row>
    <row r="244" spans="1:11" ht="12.75" customHeight="1" x14ac:dyDescent="0.2">
      <c r="A244" s="490" t="s">
        <v>488</v>
      </c>
      <c r="B244" s="488">
        <v>4866</v>
      </c>
      <c r="C244" s="486"/>
      <c r="D244" s="464"/>
      <c r="E244" s="464"/>
      <c r="F244" s="464"/>
      <c r="G244" s="464"/>
      <c r="H244" s="464"/>
      <c r="I244" s="465"/>
      <c r="J244" s="464"/>
      <c r="K244" s="464"/>
    </row>
    <row r="245" spans="1:11" ht="12.75" customHeight="1" x14ac:dyDescent="0.2">
      <c r="A245" s="490" t="s">
        <v>487</v>
      </c>
      <c r="B245" s="488">
        <v>4867</v>
      </c>
      <c r="C245" s="486"/>
      <c r="D245" s="464"/>
      <c r="E245" s="464"/>
      <c r="F245" s="464"/>
      <c r="G245" s="464"/>
      <c r="H245" s="464"/>
      <c r="I245" s="465"/>
      <c r="J245" s="464"/>
      <c r="K245" s="464"/>
    </row>
    <row r="246" spans="1:11" ht="12.75" customHeight="1" x14ac:dyDescent="0.2">
      <c r="A246" s="490" t="s">
        <v>486</v>
      </c>
      <c r="B246" s="488">
        <v>4868</v>
      </c>
      <c r="C246" s="486"/>
      <c r="D246" s="464"/>
      <c r="E246" s="464"/>
      <c r="F246" s="464"/>
      <c r="G246" s="464"/>
      <c r="H246" s="464"/>
      <c r="I246" s="465"/>
      <c r="J246" s="464"/>
      <c r="K246" s="464"/>
    </row>
    <row r="247" spans="1:11" ht="12.75" customHeight="1" x14ac:dyDescent="0.2">
      <c r="A247" s="490" t="s">
        <v>485</v>
      </c>
      <c r="B247" s="488">
        <v>4869</v>
      </c>
      <c r="C247" s="486"/>
      <c r="D247" s="464"/>
      <c r="E247" s="464"/>
      <c r="F247" s="464"/>
      <c r="G247" s="464"/>
      <c r="H247" s="464"/>
      <c r="I247" s="465"/>
      <c r="J247" s="464"/>
      <c r="K247" s="464"/>
    </row>
    <row r="248" spans="1:11" ht="12.75" customHeight="1" x14ac:dyDescent="0.2">
      <c r="A248" s="490" t="s">
        <v>1190</v>
      </c>
      <c r="B248" s="488">
        <v>4870</v>
      </c>
      <c r="C248" s="486"/>
      <c r="D248" s="464"/>
      <c r="E248" s="464"/>
      <c r="F248" s="464"/>
      <c r="G248" s="464"/>
      <c r="H248" s="464"/>
      <c r="I248" s="465"/>
      <c r="J248" s="464"/>
      <c r="K248" s="464"/>
    </row>
    <row r="249" spans="1:11" ht="12.75" customHeight="1" x14ac:dyDescent="0.2">
      <c r="A249" s="490" t="s">
        <v>821</v>
      </c>
      <c r="B249" s="488">
        <v>4871</v>
      </c>
      <c r="C249" s="486"/>
      <c r="D249" s="464"/>
      <c r="E249" s="464"/>
      <c r="F249" s="464"/>
      <c r="G249" s="464"/>
      <c r="H249" s="464"/>
      <c r="I249" s="465"/>
      <c r="J249" s="464"/>
      <c r="K249" s="464"/>
    </row>
    <row r="250" spans="1:11" ht="12.75" customHeight="1" x14ac:dyDescent="0.2">
      <c r="A250" s="490" t="s">
        <v>822</v>
      </c>
      <c r="B250" s="488">
        <v>4872</v>
      </c>
      <c r="C250" s="486"/>
      <c r="D250" s="464"/>
      <c r="E250" s="464"/>
      <c r="F250" s="464"/>
      <c r="G250" s="464"/>
      <c r="H250" s="464"/>
      <c r="I250" s="465"/>
      <c r="J250" s="464"/>
      <c r="K250" s="464"/>
    </row>
    <row r="251" spans="1:11" ht="12.75" customHeight="1" x14ac:dyDescent="0.2">
      <c r="A251" s="490" t="s">
        <v>823</v>
      </c>
      <c r="B251" s="488">
        <v>4873</v>
      </c>
      <c r="C251" s="486"/>
      <c r="D251" s="464"/>
      <c r="E251" s="464"/>
      <c r="F251" s="464"/>
      <c r="G251" s="464"/>
      <c r="H251" s="464"/>
      <c r="I251" s="465"/>
      <c r="J251" s="464"/>
      <c r="K251" s="464"/>
    </row>
    <row r="252" spans="1:11" ht="12.75" customHeight="1" x14ac:dyDescent="0.2">
      <c r="A252" s="490" t="s">
        <v>824</v>
      </c>
      <c r="B252" s="488">
        <v>4874</v>
      </c>
      <c r="C252" s="486"/>
      <c r="D252" s="464"/>
      <c r="E252" s="464"/>
      <c r="F252" s="464"/>
      <c r="G252" s="464"/>
      <c r="H252" s="464"/>
      <c r="I252" s="465"/>
      <c r="J252" s="464"/>
      <c r="K252" s="464"/>
    </row>
    <row r="253" spans="1:11" ht="12.75" customHeight="1" x14ac:dyDescent="0.2">
      <c r="A253" s="490" t="s">
        <v>491</v>
      </c>
      <c r="B253" s="488">
        <v>4875</v>
      </c>
      <c r="C253" s="486"/>
      <c r="D253" s="464"/>
      <c r="E253" s="464"/>
      <c r="F253" s="464"/>
      <c r="G253" s="464"/>
      <c r="H253" s="464"/>
      <c r="I253" s="465"/>
      <c r="J253" s="464"/>
      <c r="K253" s="464"/>
    </row>
    <row r="254" spans="1:11" ht="12.75" customHeight="1" x14ac:dyDescent="0.2">
      <c r="A254" s="490" t="s">
        <v>794</v>
      </c>
      <c r="B254" s="488">
        <v>4876</v>
      </c>
      <c r="C254" s="486"/>
      <c r="D254" s="464"/>
      <c r="E254" s="464"/>
      <c r="F254" s="464"/>
      <c r="G254" s="464"/>
      <c r="H254" s="464"/>
      <c r="I254" s="465"/>
      <c r="J254" s="464"/>
      <c r="K254" s="464"/>
    </row>
    <row r="255" spans="1:11" ht="12.75" customHeight="1" x14ac:dyDescent="0.2">
      <c r="A255" s="490" t="s">
        <v>795</v>
      </c>
      <c r="B255" s="488">
        <v>4877</v>
      </c>
      <c r="C255" s="486"/>
      <c r="D255" s="464"/>
      <c r="E255" s="464"/>
      <c r="F255" s="464"/>
      <c r="G255" s="464"/>
      <c r="H255" s="464"/>
      <c r="I255" s="465"/>
      <c r="J255" s="464"/>
      <c r="K255" s="464"/>
    </row>
    <row r="256" spans="1:11" ht="12.75" customHeight="1" x14ac:dyDescent="0.2">
      <c r="A256" s="490" t="s">
        <v>796</v>
      </c>
      <c r="B256" s="488">
        <v>4878</v>
      </c>
      <c r="C256" s="486"/>
      <c r="D256" s="464"/>
      <c r="E256" s="464"/>
      <c r="F256" s="464"/>
      <c r="G256" s="464"/>
      <c r="H256" s="464"/>
      <c r="I256" s="465"/>
      <c r="J256" s="464"/>
      <c r="K256" s="464"/>
    </row>
    <row r="257" spans="1:11" ht="12.75" customHeight="1" x14ac:dyDescent="0.2">
      <c r="A257" s="490" t="s">
        <v>797</v>
      </c>
      <c r="B257" s="488">
        <v>4879</v>
      </c>
      <c r="C257" s="486"/>
      <c r="D257" s="464"/>
      <c r="E257" s="464"/>
      <c r="F257" s="464"/>
      <c r="G257" s="464"/>
      <c r="H257" s="464"/>
      <c r="I257" s="465"/>
      <c r="J257" s="464"/>
      <c r="K257" s="464"/>
    </row>
    <row r="258" spans="1:11" ht="12.75" customHeight="1" x14ac:dyDescent="0.2">
      <c r="A258" s="224" t="s">
        <v>1530</v>
      </c>
      <c r="B258" s="584">
        <v>4880</v>
      </c>
      <c r="C258" s="486"/>
      <c r="D258" s="464"/>
      <c r="E258" s="464"/>
      <c r="F258" s="464"/>
      <c r="G258" s="464"/>
      <c r="H258" s="464"/>
      <c r="I258" s="465"/>
      <c r="J258" s="464"/>
      <c r="K258" s="464"/>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0"/>
      <c r="J259" s="1726">
        <f>SUM(J230:J258)</f>
        <v>0</v>
      </c>
      <c r="K259" s="1707">
        <f>SUM(K230:K258)</f>
        <v>0</v>
      </c>
    </row>
    <row r="260" spans="1:11" ht="12.75" customHeight="1" thickTop="1" thickBot="1" x14ac:dyDescent="0.25">
      <c r="A260" s="1521" t="s">
        <v>1493</v>
      </c>
      <c r="B260" s="585">
        <v>4901</v>
      </c>
      <c r="C260" s="586"/>
      <c r="D260" s="466"/>
      <c r="E260" s="465"/>
      <c r="F260" s="465"/>
      <c r="G260" s="465"/>
      <c r="H260" s="465"/>
      <c r="I260" s="465"/>
      <c r="J260" s="465"/>
      <c r="K260" s="465"/>
    </row>
    <row r="261" spans="1:11" ht="12.75" customHeight="1" thickTop="1" thickBot="1" x14ac:dyDescent="0.25">
      <c r="A261" s="1522" t="s">
        <v>1538</v>
      </c>
      <c r="B261" s="587">
        <v>4902</v>
      </c>
      <c r="C261" s="588"/>
      <c r="D261" s="589"/>
      <c r="E261" s="466"/>
      <c r="F261" s="589"/>
      <c r="G261" s="589"/>
      <c r="H261" s="466"/>
      <c r="I261" s="465"/>
      <c r="J261" s="466"/>
      <c r="K261" s="466"/>
    </row>
    <row r="262" spans="1:11" ht="12.75" customHeight="1" thickTop="1" thickBot="1" x14ac:dyDescent="0.25">
      <c r="A262" s="490" t="s">
        <v>1146</v>
      </c>
      <c r="B262" s="488">
        <v>4904</v>
      </c>
      <c r="C262" s="590"/>
      <c r="D262" s="588"/>
      <c r="E262" s="466"/>
      <c r="F262" s="550"/>
      <c r="G262" s="588"/>
      <c r="H262" s="466"/>
      <c r="I262" s="465"/>
      <c r="J262" s="465"/>
      <c r="K262" s="465"/>
    </row>
    <row r="263" spans="1:11" ht="12.75" customHeight="1" thickTop="1" thickBot="1" x14ac:dyDescent="0.25">
      <c r="A263" s="460" t="s">
        <v>1531</v>
      </c>
      <c r="B263" s="467">
        <v>4905</v>
      </c>
      <c r="C263" s="570"/>
      <c r="D263" s="465"/>
      <c r="E263" s="465"/>
      <c r="F263" s="575"/>
      <c r="G263" s="570"/>
      <c r="H263" s="465"/>
      <c r="I263" s="465"/>
      <c r="J263" s="465"/>
      <c r="K263" s="465"/>
    </row>
    <row r="264" spans="1:11" ht="12.75" customHeight="1" thickTop="1" thickBot="1" x14ac:dyDescent="0.25">
      <c r="A264" s="460" t="s">
        <v>1532</v>
      </c>
      <c r="B264" s="467">
        <v>4909</v>
      </c>
      <c r="C264" s="573"/>
      <c r="D264" s="465"/>
      <c r="E264" s="465"/>
      <c r="F264" s="573"/>
      <c r="G264" s="573"/>
      <c r="H264" s="465"/>
      <c r="I264" s="465"/>
      <c r="J264" s="465"/>
      <c r="K264" s="465"/>
    </row>
    <row r="265" spans="1:11" ht="12.75" customHeight="1" thickTop="1" thickBot="1" x14ac:dyDescent="0.25">
      <c r="A265" s="460" t="s">
        <v>945</v>
      </c>
      <c r="B265" s="467">
        <v>4910</v>
      </c>
      <c r="C265" s="573"/>
      <c r="D265" s="465"/>
      <c r="E265" s="465"/>
      <c r="F265" s="573"/>
      <c r="G265" s="573"/>
      <c r="H265" s="465"/>
      <c r="I265" s="465"/>
      <c r="J265" s="465"/>
      <c r="K265" s="465"/>
    </row>
    <row r="266" spans="1:11" ht="12.75" customHeight="1" thickTop="1" thickBot="1" x14ac:dyDescent="0.25">
      <c r="A266" s="460" t="s">
        <v>202</v>
      </c>
      <c r="B266" s="467">
        <v>4920</v>
      </c>
      <c r="C266" s="573"/>
      <c r="D266" s="575"/>
      <c r="E266" s="465"/>
      <c r="F266" s="570"/>
      <c r="G266" s="570"/>
      <c r="H266" s="465"/>
      <c r="I266" s="465"/>
      <c r="J266" s="465"/>
      <c r="K266" s="465"/>
    </row>
    <row r="267" spans="1:11" ht="12.75" customHeight="1" thickTop="1" thickBot="1" x14ac:dyDescent="0.25">
      <c r="A267" s="460" t="s">
        <v>441</v>
      </c>
      <c r="B267" s="467">
        <v>4930</v>
      </c>
      <c r="C267" s="573"/>
      <c r="D267" s="573"/>
      <c r="E267" s="465"/>
      <c r="F267" s="573"/>
      <c r="G267" s="573"/>
      <c r="H267" s="465"/>
      <c r="I267" s="465"/>
      <c r="J267" s="465"/>
      <c r="K267" s="465"/>
    </row>
    <row r="268" spans="1:11" ht="12.75" customHeight="1" thickTop="1" thickBot="1" x14ac:dyDescent="0.25">
      <c r="A268" s="460" t="s">
        <v>782</v>
      </c>
      <c r="B268" s="467">
        <v>4932</v>
      </c>
      <c r="C268" s="573"/>
      <c r="D268" s="573"/>
      <c r="E268" s="465"/>
      <c r="F268" s="573"/>
      <c r="G268" s="573"/>
      <c r="H268" s="465"/>
      <c r="I268" s="465"/>
      <c r="J268" s="465"/>
      <c r="K268" s="465"/>
    </row>
    <row r="269" spans="1:11" ht="12.75" customHeight="1" thickTop="1" thickBot="1" x14ac:dyDescent="0.25">
      <c r="A269" s="460" t="s">
        <v>946</v>
      </c>
      <c r="B269" s="467">
        <v>4960</v>
      </c>
      <c r="C269" s="572"/>
      <c r="D269" s="573"/>
      <c r="E269" s="465"/>
      <c r="F269" s="573"/>
      <c r="G269" s="573"/>
      <c r="H269" s="465"/>
      <c r="I269" s="465"/>
      <c r="J269" s="465"/>
      <c r="K269" s="465"/>
    </row>
    <row r="270" spans="1:11" ht="12.75" customHeight="1" thickTop="1" thickBot="1" x14ac:dyDescent="0.25">
      <c r="A270" s="460" t="s">
        <v>589</v>
      </c>
      <c r="B270" s="467">
        <v>4991</v>
      </c>
      <c r="C270" s="572"/>
      <c r="D270" s="573"/>
      <c r="E270" s="465"/>
      <c r="F270" s="573"/>
      <c r="G270" s="573"/>
      <c r="H270" s="465"/>
      <c r="I270" s="465"/>
      <c r="J270" s="465"/>
      <c r="K270" s="465"/>
    </row>
    <row r="271" spans="1:11" ht="12.75" customHeight="1" thickTop="1" thickBot="1" x14ac:dyDescent="0.25">
      <c r="A271" s="460" t="s">
        <v>395</v>
      </c>
      <c r="B271" s="467">
        <v>4992</v>
      </c>
      <c r="C271" s="572"/>
      <c r="D271" s="573"/>
      <c r="E271" s="465"/>
      <c r="F271" s="573"/>
      <c r="G271" s="573"/>
      <c r="H271" s="465"/>
      <c r="I271" s="465"/>
      <c r="J271" s="465"/>
      <c r="K271" s="465"/>
    </row>
    <row r="272" spans="1:11" s="591" customFormat="1" ht="12.75" customHeight="1" thickTop="1" thickBot="1" x14ac:dyDescent="0.25">
      <c r="A272" s="560" t="s">
        <v>77</v>
      </c>
      <c r="B272" s="554">
        <v>4999</v>
      </c>
      <c r="C272" s="572"/>
      <c r="D272" s="573"/>
      <c r="E272" s="465"/>
      <c r="F272" s="573"/>
      <c r="G272" s="573"/>
      <c r="H272" s="527"/>
      <c r="I272" s="465"/>
      <c r="J272" s="465"/>
      <c r="K272" s="527"/>
    </row>
    <row r="273" spans="1:11" ht="14.25" thickTop="1" thickBot="1" x14ac:dyDescent="0.25">
      <c r="A273" s="1727" t="s">
        <v>1751</v>
      </c>
      <c r="B273" s="1746"/>
      <c r="C273" s="1734">
        <f t="shared" ref="C273:H273" si="10">SUM(C191,C201,C211,C216,C224,C228,C229,C259:C272)</f>
        <v>0</v>
      </c>
      <c r="D273" s="1734">
        <f t="shared" si="10"/>
        <v>0</v>
      </c>
      <c r="E273" s="1734">
        <f t="shared" si="10"/>
        <v>0</v>
      </c>
      <c r="F273" s="1734">
        <f t="shared" si="10"/>
        <v>0</v>
      </c>
      <c r="G273" s="1734">
        <f t="shared" si="10"/>
        <v>0</v>
      </c>
      <c r="H273" s="1734">
        <f t="shared" si="10"/>
        <v>0</v>
      </c>
      <c r="I273" s="465"/>
      <c r="J273" s="1734">
        <f>SUM(J191,J201,J211,J216,J224,J228,J229,J259:J272)</f>
        <v>0</v>
      </c>
      <c r="K273" s="1721">
        <f>SUM(K191,K201,K211,K216,K224,K228,K229,K259:K272)</f>
        <v>0</v>
      </c>
    </row>
    <row r="274" spans="1:11" ht="14.25" thickTop="1" thickBot="1" x14ac:dyDescent="0.25">
      <c r="A274" s="1747" t="s">
        <v>1147</v>
      </c>
      <c r="B274" s="1748" t="s">
        <v>915</v>
      </c>
      <c r="C274" s="1734">
        <f>SUM(C178,C184,C273)</f>
        <v>0</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881524</v>
      </c>
      <c r="D275" s="1734">
        <f t="shared" si="12"/>
        <v>0</v>
      </c>
      <c r="E275" s="1734">
        <f t="shared" si="12"/>
        <v>0</v>
      </c>
      <c r="F275" s="1734">
        <f t="shared" si="12"/>
        <v>0</v>
      </c>
      <c r="G275" s="1734">
        <f t="shared" si="12"/>
        <v>0</v>
      </c>
      <c r="H275" s="1734">
        <f t="shared" si="12"/>
        <v>0</v>
      </c>
      <c r="I275" s="1734">
        <f t="shared" si="12"/>
        <v>0</v>
      </c>
      <c r="J275" s="1734">
        <f t="shared" si="12"/>
        <v>0</v>
      </c>
      <c r="K275" s="1721">
        <f t="shared" si="12"/>
        <v>0</v>
      </c>
    </row>
    <row r="276" spans="1:11" ht="13.5" thickTop="1" x14ac:dyDescent="0.2">
      <c r="C276" s="594"/>
      <c r="D276" s="594"/>
      <c r="E276" s="594"/>
      <c r="F276" s="594"/>
      <c r="G276" s="594"/>
      <c r="H276" s="594"/>
      <c r="I276" s="594"/>
      <c r="J276" s="594"/>
      <c r="K276" s="594"/>
    </row>
    <row r="277" spans="1:11" x14ac:dyDescent="0.2">
      <c r="C277" s="594"/>
      <c r="D277" s="594"/>
      <c r="E277" s="594"/>
      <c r="F277" s="594"/>
      <c r="G277" s="594"/>
      <c r="H277" s="594"/>
      <c r="I277" s="594"/>
      <c r="J277" s="594"/>
      <c r="K277" s="594"/>
    </row>
    <row r="278" spans="1:11" x14ac:dyDescent="0.2">
      <c r="C278" s="594"/>
      <c r="D278" s="594"/>
      <c r="E278" s="594"/>
      <c r="F278" s="594"/>
      <c r="G278" s="594"/>
      <c r="H278" s="594"/>
      <c r="I278" s="594"/>
      <c r="J278" s="594"/>
      <c r="K278" s="594"/>
    </row>
    <row r="279" spans="1:11" x14ac:dyDescent="0.2">
      <c r="C279" s="594"/>
      <c r="D279" s="594"/>
      <c r="E279" s="594"/>
      <c r="F279" s="594"/>
      <c r="G279" s="594"/>
      <c r="H279" s="594"/>
      <c r="I279" s="594"/>
      <c r="J279" s="594"/>
      <c r="K279" s="594"/>
    </row>
    <row r="280" spans="1:11" x14ac:dyDescent="0.2">
      <c r="C280" s="594"/>
      <c r="D280" s="594"/>
      <c r="E280" s="594"/>
      <c r="F280" s="594"/>
      <c r="G280" s="594"/>
      <c r="H280" s="594"/>
      <c r="I280" s="594"/>
      <c r="J280" s="594"/>
      <c r="K280" s="594"/>
    </row>
    <row r="281" spans="1:11" x14ac:dyDescent="0.2">
      <c r="C281" s="594"/>
      <c r="D281" s="594"/>
      <c r="E281" s="594"/>
      <c r="F281" s="594"/>
      <c r="G281" s="594"/>
      <c r="H281" s="594"/>
      <c r="I281" s="594"/>
      <c r="J281" s="594"/>
      <c r="K281" s="594"/>
    </row>
    <row r="282" spans="1:11" s="326" customFormat="1" x14ac:dyDescent="0.2">
      <c r="A282" s="592"/>
      <c r="B282" s="593"/>
      <c r="C282" s="594"/>
      <c r="D282" s="594"/>
      <c r="E282" s="594"/>
      <c r="F282" s="594"/>
      <c r="G282" s="594"/>
      <c r="H282" s="594"/>
      <c r="I282" s="594"/>
      <c r="J282" s="594"/>
      <c r="K282" s="594"/>
    </row>
    <row r="283" spans="1:11" s="326" customFormat="1" x14ac:dyDescent="0.2">
      <c r="A283" s="592"/>
    </row>
    <row r="284" spans="1:11" s="326" customFormat="1" x14ac:dyDescent="0.2">
      <c r="A284" s="595"/>
    </row>
    <row r="285" spans="1:11" s="326" customFormat="1" x14ac:dyDescent="0.2">
      <c r="A285" s="595"/>
    </row>
    <row r="286" spans="1:11" s="326" customFormat="1" x14ac:dyDescent="0.2">
      <c r="A286" s="595"/>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0" activePane="bottomLeft" state="frozen"/>
      <selection activeCell="A47" sqref="A47"/>
      <selection pane="bottomLeft" activeCell="L114" sqref="L114"/>
    </sheetView>
  </sheetViews>
  <sheetFormatPr defaultColWidth="9.140625" defaultRowHeight="12.75" x14ac:dyDescent="0.2"/>
  <cols>
    <col min="1" max="1" width="48.5703125" style="707" customWidth="1"/>
    <col min="2" max="2" width="5" style="708" customWidth="1"/>
    <col min="3" max="8" width="13.28515625" style="607" customWidth="1"/>
    <col min="9" max="10" width="13.28515625" style="340" customWidth="1"/>
    <col min="11" max="11" width="13.28515625" style="709" customWidth="1"/>
    <col min="12" max="12" width="11.85546875" style="340" customWidth="1"/>
    <col min="13" max="13" width="1.5703125" style="210" customWidth="1"/>
    <col min="14" max="14" width="9.140625" style="210"/>
    <col min="15" max="16384" width="9.140625" style="326"/>
  </cols>
  <sheetData>
    <row r="1" spans="1:14" x14ac:dyDescent="0.2">
      <c r="A1" s="2131" t="s">
        <v>1890</v>
      </c>
      <c r="B1" s="600"/>
      <c r="C1" s="601" t="s">
        <v>799</v>
      </c>
      <c r="D1" s="601" t="s">
        <v>1138</v>
      </c>
      <c r="E1" s="601" t="s">
        <v>1139</v>
      </c>
      <c r="F1" s="601" t="s">
        <v>1140</v>
      </c>
      <c r="G1" s="601" t="s">
        <v>1141</v>
      </c>
      <c r="H1" s="601" t="s">
        <v>1142</v>
      </c>
      <c r="I1" s="601" t="s">
        <v>1143</v>
      </c>
      <c r="J1" s="601" t="s">
        <v>1144</v>
      </c>
      <c r="K1" s="601" t="s">
        <v>270</v>
      </c>
      <c r="L1" s="602"/>
    </row>
    <row r="2" spans="1:14" s="606" customFormat="1" ht="28.5" customHeight="1" x14ac:dyDescent="0.2">
      <c r="A2" s="2175"/>
      <c r="B2" s="603" t="s">
        <v>47</v>
      </c>
      <c r="C2" s="604" t="s">
        <v>203</v>
      </c>
      <c r="D2" s="605" t="s">
        <v>51</v>
      </c>
      <c r="E2" s="605" t="s">
        <v>1162</v>
      </c>
      <c r="F2" s="605" t="s">
        <v>1156</v>
      </c>
      <c r="G2" s="604" t="s">
        <v>1157</v>
      </c>
      <c r="H2" s="604" t="s">
        <v>1158</v>
      </c>
      <c r="I2" s="605" t="s">
        <v>309</v>
      </c>
      <c r="J2" s="605" t="s">
        <v>310</v>
      </c>
      <c r="K2" s="604" t="s">
        <v>158</v>
      </c>
      <c r="L2" s="604" t="s">
        <v>30</v>
      </c>
      <c r="M2" s="255"/>
      <c r="N2" s="255"/>
    </row>
    <row r="3" spans="1:14" s="340" customFormat="1" ht="16.7" customHeight="1" x14ac:dyDescent="0.2">
      <c r="A3" s="2181" t="s">
        <v>315</v>
      </c>
      <c r="B3" s="2182"/>
      <c r="C3" s="1567"/>
      <c r="D3" s="1567"/>
      <c r="E3" s="1567"/>
      <c r="F3" s="1567"/>
      <c r="G3" s="1567"/>
      <c r="H3" s="1567"/>
      <c r="I3" s="1567"/>
      <c r="J3" s="1567"/>
      <c r="K3" s="1568"/>
      <c r="L3" s="1569"/>
      <c r="M3" s="607"/>
      <c r="N3" s="607"/>
    </row>
    <row r="4" spans="1:14" s="257" customFormat="1" ht="15.75" customHeight="1" x14ac:dyDescent="0.2">
      <c r="A4" s="1625" t="s">
        <v>46</v>
      </c>
      <c r="B4" s="1626" t="s">
        <v>591</v>
      </c>
      <c r="C4" s="608"/>
      <c r="D4" s="608"/>
      <c r="E4" s="608"/>
      <c r="F4" s="608"/>
      <c r="G4" s="608"/>
      <c r="H4" s="608"/>
      <c r="I4" s="609"/>
      <c r="J4" s="608"/>
      <c r="K4" s="610"/>
      <c r="L4" s="608"/>
      <c r="M4" s="611"/>
      <c r="N4" s="611"/>
    </row>
    <row r="5" spans="1:14" x14ac:dyDescent="0.2">
      <c r="A5" s="1523" t="s">
        <v>1018</v>
      </c>
      <c r="B5" s="612">
        <v>1100</v>
      </c>
      <c r="C5" s="463"/>
      <c r="D5" s="463"/>
      <c r="E5" s="463"/>
      <c r="F5" s="463"/>
      <c r="G5" s="463"/>
      <c r="H5" s="463"/>
      <c r="I5" s="464"/>
      <c r="J5" s="464"/>
      <c r="K5" s="1690">
        <f>SUM(C5:J5)</f>
        <v>0</v>
      </c>
      <c r="L5" s="463"/>
    </row>
    <row r="6" spans="1:14" x14ac:dyDescent="0.2">
      <c r="A6" s="1523" t="s">
        <v>1508</v>
      </c>
      <c r="B6" s="612" t="s">
        <v>1506</v>
      </c>
      <c r="C6" s="474"/>
      <c r="D6" s="474"/>
      <c r="E6" s="463"/>
      <c r="F6" s="474"/>
      <c r="G6" s="474"/>
      <c r="H6" s="474"/>
      <c r="I6" s="474"/>
      <c r="J6" s="474"/>
      <c r="K6" s="1690">
        <f>SUM(C6,E6)</f>
        <v>0</v>
      </c>
      <c r="L6" s="463"/>
    </row>
    <row r="7" spans="1:14" x14ac:dyDescent="0.2">
      <c r="A7" s="1523" t="s">
        <v>165</v>
      </c>
      <c r="B7" s="612" t="s">
        <v>1024</v>
      </c>
      <c r="C7" s="464"/>
      <c r="D7" s="464"/>
      <c r="E7" s="464"/>
      <c r="F7" s="464"/>
      <c r="G7" s="464"/>
      <c r="H7" s="464"/>
      <c r="I7" s="464"/>
      <c r="J7" s="464"/>
      <c r="K7" s="1690">
        <f t="shared" ref="K7:K32" si="0">SUM(C7:J7)</f>
        <v>0</v>
      </c>
      <c r="L7" s="463"/>
    </row>
    <row r="8" spans="1:14" x14ac:dyDescent="0.2">
      <c r="A8" s="1523" t="s">
        <v>166</v>
      </c>
      <c r="B8" s="612">
        <v>1200</v>
      </c>
      <c r="C8" s="463"/>
      <c r="D8" s="463"/>
      <c r="E8" s="463"/>
      <c r="F8" s="463"/>
      <c r="G8" s="463"/>
      <c r="H8" s="463"/>
      <c r="I8" s="464"/>
      <c r="J8" s="464"/>
      <c r="K8" s="1690">
        <f t="shared" si="0"/>
        <v>0</v>
      </c>
      <c r="L8" s="463"/>
    </row>
    <row r="9" spans="1:14" x14ac:dyDescent="0.2">
      <c r="A9" s="1523" t="s">
        <v>745</v>
      </c>
      <c r="B9" s="612" t="s">
        <v>1025</v>
      </c>
      <c r="C9" s="464"/>
      <c r="D9" s="464"/>
      <c r="E9" s="464"/>
      <c r="F9" s="464"/>
      <c r="G9" s="464"/>
      <c r="H9" s="464"/>
      <c r="I9" s="464"/>
      <c r="J9" s="464"/>
      <c r="K9" s="1690">
        <f t="shared" si="0"/>
        <v>0</v>
      </c>
      <c r="L9" s="463"/>
    </row>
    <row r="10" spans="1:14" x14ac:dyDescent="0.2">
      <c r="A10" s="1523" t="s">
        <v>746</v>
      </c>
      <c r="B10" s="612">
        <v>1250</v>
      </c>
      <c r="C10" s="463"/>
      <c r="D10" s="463"/>
      <c r="E10" s="463"/>
      <c r="F10" s="463"/>
      <c r="G10" s="463"/>
      <c r="H10" s="463"/>
      <c r="I10" s="464"/>
      <c r="J10" s="464"/>
      <c r="K10" s="1690">
        <f t="shared" si="0"/>
        <v>0</v>
      </c>
      <c r="L10" s="463"/>
    </row>
    <row r="11" spans="1:14" x14ac:dyDescent="0.2">
      <c r="A11" s="1523" t="s">
        <v>1192</v>
      </c>
      <c r="B11" s="612" t="s">
        <v>163</v>
      </c>
      <c r="C11" s="464"/>
      <c r="D11" s="464"/>
      <c r="E11" s="464"/>
      <c r="F11" s="464"/>
      <c r="G11" s="464"/>
      <c r="H11" s="464"/>
      <c r="I11" s="464"/>
      <c r="J11" s="464"/>
      <c r="K11" s="1690">
        <f t="shared" si="0"/>
        <v>0</v>
      </c>
      <c r="L11" s="463"/>
    </row>
    <row r="12" spans="1:14" x14ac:dyDescent="0.2">
      <c r="A12" s="1523" t="s">
        <v>1019</v>
      </c>
      <c r="B12" s="612">
        <v>1300</v>
      </c>
      <c r="C12" s="463"/>
      <c r="D12" s="463"/>
      <c r="E12" s="463">
        <v>180</v>
      </c>
      <c r="F12" s="463">
        <v>1401</v>
      </c>
      <c r="G12" s="463"/>
      <c r="H12" s="463"/>
      <c r="I12" s="464"/>
      <c r="J12" s="464"/>
      <c r="K12" s="1690">
        <f t="shared" si="0"/>
        <v>1581</v>
      </c>
      <c r="L12" s="463">
        <v>2400</v>
      </c>
    </row>
    <row r="13" spans="1:14" x14ac:dyDescent="0.2">
      <c r="A13" s="1523" t="s">
        <v>747</v>
      </c>
      <c r="B13" s="612">
        <v>1400</v>
      </c>
      <c r="C13" s="463">
        <f>424706+1108+8000</f>
        <v>433814</v>
      </c>
      <c r="D13" s="463">
        <f>2548+3873+6172+36744-8</f>
        <v>49329</v>
      </c>
      <c r="E13" s="463">
        <f>19468+2259+2483+168+96</f>
        <v>24474</v>
      </c>
      <c r="F13" s="463">
        <f>5304+953+1371+900</f>
        <v>8528</v>
      </c>
      <c r="G13" s="463">
        <f>2692+200-200</f>
        <v>2692</v>
      </c>
      <c r="H13" s="463"/>
      <c r="I13" s="464"/>
      <c r="J13" s="464"/>
      <c r="K13" s="1690">
        <f t="shared" si="0"/>
        <v>518837</v>
      </c>
      <c r="L13" s="463">
        <v>540700</v>
      </c>
    </row>
    <row r="14" spans="1:14" x14ac:dyDescent="0.2">
      <c r="A14" s="1523" t="s">
        <v>1020</v>
      </c>
      <c r="B14" s="612">
        <v>1500</v>
      </c>
      <c r="C14" s="463"/>
      <c r="D14" s="463"/>
      <c r="E14" s="463"/>
      <c r="F14" s="463"/>
      <c r="G14" s="463"/>
      <c r="H14" s="463"/>
      <c r="I14" s="464"/>
      <c r="J14" s="464"/>
      <c r="K14" s="1690">
        <f t="shared" si="0"/>
        <v>0</v>
      </c>
      <c r="L14" s="463"/>
    </row>
    <row r="15" spans="1:14" x14ac:dyDescent="0.2">
      <c r="A15" s="1523" t="s">
        <v>1021</v>
      </c>
      <c r="B15" s="612">
        <v>1600</v>
      </c>
      <c r="C15" s="463"/>
      <c r="D15" s="463"/>
      <c r="E15" s="463"/>
      <c r="F15" s="463"/>
      <c r="G15" s="463"/>
      <c r="H15" s="463"/>
      <c r="I15" s="464"/>
      <c r="J15" s="464"/>
      <c r="K15" s="1690">
        <f t="shared" si="0"/>
        <v>0</v>
      </c>
      <c r="L15" s="463"/>
    </row>
    <row r="16" spans="1:14" x14ac:dyDescent="0.2">
      <c r="A16" s="1523" t="s">
        <v>1044</v>
      </c>
      <c r="B16" s="612" t="s">
        <v>444</v>
      </c>
      <c r="C16" s="463"/>
      <c r="D16" s="463"/>
      <c r="E16" s="463"/>
      <c r="F16" s="463"/>
      <c r="G16" s="463"/>
      <c r="H16" s="463"/>
      <c r="I16" s="464"/>
      <c r="J16" s="464"/>
      <c r="K16" s="1690">
        <f t="shared" si="0"/>
        <v>0</v>
      </c>
      <c r="L16" s="463"/>
    </row>
    <row r="17" spans="1:12" x14ac:dyDescent="0.2">
      <c r="A17" s="1523" t="s">
        <v>748</v>
      </c>
      <c r="B17" s="612" t="s">
        <v>164</v>
      </c>
      <c r="C17" s="464"/>
      <c r="D17" s="464"/>
      <c r="E17" s="464"/>
      <c r="F17" s="464"/>
      <c r="G17" s="464"/>
      <c r="H17" s="464"/>
      <c r="I17" s="464"/>
      <c r="J17" s="464"/>
      <c r="K17" s="1690">
        <f t="shared" si="0"/>
        <v>0</v>
      </c>
      <c r="L17" s="463"/>
    </row>
    <row r="18" spans="1:12" x14ac:dyDescent="0.2">
      <c r="A18" s="1523" t="s">
        <v>1148</v>
      </c>
      <c r="B18" s="612">
        <v>1800</v>
      </c>
      <c r="C18" s="463"/>
      <c r="D18" s="463"/>
      <c r="E18" s="463"/>
      <c r="F18" s="463"/>
      <c r="G18" s="463"/>
      <c r="H18" s="463"/>
      <c r="I18" s="464"/>
      <c r="J18" s="464"/>
      <c r="K18" s="1690">
        <f t="shared" si="0"/>
        <v>0</v>
      </c>
      <c r="L18" s="463"/>
    </row>
    <row r="19" spans="1:12" x14ac:dyDescent="0.2">
      <c r="A19" s="1523" t="s">
        <v>136</v>
      </c>
      <c r="B19" s="612">
        <v>1900</v>
      </c>
      <c r="C19" s="463"/>
      <c r="D19" s="463"/>
      <c r="E19" s="463"/>
      <c r="F19" s="463"/>
      <c r="G19" s="463"/>
      <c r="H19" s="463"/>
      <c r="I19" s="464"/>
      <c r="J19" s="464"/>
      <c r="K19" s="1690">
        <f t="shared" si="0"/>
        <v>0</v>
      </c>
      <c r="L19" s="463"/>
    </row>
    <row r="20" spans="1:12" x14ac:dyDescent="0.2">
      <c r="A20" s="1524" t="s">
        <v>762</v>
      </c>
      <c r="B20" s="600" t="s">
        <v>749</v>
      </c>
      <c r="C20" s="474"/>
      <c r="D20" s="474"/>
      <c r="E20" s="474"/>
      <c r="F20" s="474"/>
      <c r="G20" s="474"/>
      <c r="H20" s="471"/>
      <c r="I20" s="614"/>
      <c r="J20" s="472"/>
      <c r="K20" s="1690">
        <f t="shared" si="0"/>
        <v>0</v>
      </c>
      <c r="L20" s="468"/>
    </row>
    <row r="21" spans="1:12" x14ac:dyDescent="0.2">
      <c r="A21" s="1524" t="s">
        <v>763</v>
      </c>
      <c r="B21" s="600" t="s">
        <v>750</v>
      </c>
      <c r="C21" s="474"/>
      <c r="D21" s="474"/>
      <c r="E21" s="474"/>
      <c r="F21" s="474"/>
      <c r="G21" s="474"/>
      <c r="H21" s="471"/>
      <c r="I21" s="614"/>
      <c r="J21" s="474"/>
      <c r="K21" s="1690">
        <f t="shared" si="0"/>
        <v>0</v>
      </c>
      <c r="L21" s="468"/>
    </row>
    <row r="22" spans="1:12" x14ac:dyDescent="0.2">
      <c r="A22" s="1524" t="s">
        <v>764</v>
      </c>
      <c r="B22" s="600" t="s">
        <v>751</v>
      </c>
      <c r="C22" s="474"/>
      <c r="D22" s="474"/>
      <c r="E22" s="474"/>
      <c r="F22" s="474"/>
      <c r="G22" s="474"/>
      <c r="H22" s="471"/>
      <c r="I22" s="614"/>
      <c r="J22" s="474"/>
      <c r="K22" s="1690">
        <f t="shared" si="0"/>
        <v>0</v>
      </c>
      <c r="L22" s="468"/>
    </row>
    <row r="23" spans="1:12" x14ac:dyDescent="0.2">
      <c r="A23" s="1524" t="s">
        <v>765</v>
      </c>
      <c r="B23" s="600" t="s">
        <v>752</v>
      </c>
      <c r="C23" s="474"/>
      <c r="D23" s="474"/>
      <c r="E23" s="474"/>
      <c r="F23" s="474"/>
      <c r="G23" s="474"/>
      <c r="H23" s="471"/>
      <c r="I23" s="614"/>
      <c r="J23" s="474"/>
      <c r="K23" s="1690">
        <f t="shared" si="0"/>
        <v>0</v>
      </c>
      <c r="L23" s="468"/>
    </row>
    <row r="24" spans="1:12" ht="12.75" customHeight="1" x14ac:dyDescent="0.2">
      <c r="A24" s="1524" t="s">
        <v>766</v>
      </c>
      <c r="B24" s="600" t="s">
        <v>753</v>
      </c>
      <c r="C24" s="474"/>
      <c r="D24" s="474"/>
      <c r="E24" s="474"/>
      <c r="F24" s="474"/>
      <c r="G24" s="474"/>
      <c r="H24" s="471"/>
      <c r="I24" s="614"/>
      <c r="J24" s="474"/>
      <c r="K24" s="1690">
        <f t="shared" si="0"/>
        <v>0</v>
      </c>
      <c r="L24" s="468"/>
    </row>
    <row r="25" spans="1:12" ht="12.75" customHeight="1" x14ac:dyDescent="0.2">
      <c r="A25" s="1524" t="s">
        <v>835</v>
      </c>
      <c r="B25" s="600" t="s">
        <v>754</v>
      </c>
      <c r="C25" s="474"/>
      <c r="D25" s="474"/>
      <c r="E25" s="474"/>
      <c r="F25" s="474"/>
      <c r="G25" s="474"/>
      <c r="H25" s="471"/>
      <c r="I25" s="614"/>
      <c r="J25" s="474"/>
      <c r="K25" s="1690">
        <f t="shared" si="0"/>
        <v>0</v>
      </c>
      <c r="L25" s="468"/>
    </row>
    <row r="26" spans="1:12" x14ac:dyDescent="0.2">
      <c r="A26" s="1524" t="s">
        <v>643</v>
      </c>
      <c r="B26" s="600" t="s">
        <v>755</v>
      </c>
      <c r="C26" s="474"/>
      <c r="D26" s="474"/>
      <c r="E26" s="474"/>
      <c r="F26" s="474"/>
      <c r="G26" s="474"/>
      <c r="H26" s="471"/>
      <c r="I26" s="614"/>
      <c r="J26" s="474"/>
      <c r="K26" s="1690">
        <f t="shared" si="0"/>
        <v>0</v>
      </c>
      <c r="L26" s="468"/>
    </row>
    <row r="27" spans="1:12" x14ac:dyDescent="0.2">
      <c r="A27" s="1524" t="s">
        <v>644</v>
      </c>
      <c r="B27" s="600" t="s">
        <v>756</v>
      </c>
      <c r="C27" s="474"/>
      <c r="D27" s="474"/>
      <c r="E27" s="474"/>
      <c r="F27" s="474"/>
      <c r="G27" s="474"/>
      <c r="H27" s="471"/>
      <c r="I27" s="614"/>
      <c r="J27" s="474"/>
      <c r="K27" s="1690">
        <f t="shared" si="0"/>
        <v>0</v>
      </c>
      <c r="L27" s="468"/>
    </row>
    <row r="28" spans="1:12" x14ac:dyDescent="0.2">
      <c r="A28" s="1524" t="s">
        <v>152</v>
      </c>
      <c r="B28" s="600" t="s">
        <v>757</v>
      </c>
      <c r="C28" s="474"/>
      <c r="D28" s="474"/>
      <c r="E28" s="474"/>
      <c r="F28" s="474"/>
      <c r="G28" s="474"/>
      <c r="H28" s="471"/>
      <c r="I28" s="614"/>
      <c r="J28" s="474"/>
      <c r="K28" s="1690">
        <f t="shared" si="0"/>
        <v>0</v>
      </c>
      <c r="L28" s="468"/>
    </row>
    <row r="29" spans="1:12" x14ac:dyDescent="0.2">
      <c r="A29" s="1524" t="s">
        <v>153</v>
      </c>
      <c r="B29" s="600" t="s">
        <v>758</v>
      </c>
      <c r="C29" s="474"/>
      <c r="D29" s="474"/>
      <c r="E29" s="474"/>
      <c r="F29" s="474"/>
      <c r="G29" s="474"/>
      <c r="H29" s="471"/>
      <c r="I29" s="614"/>
      <c r="J29" s="474"/>
      <c r="K29" s="1690">
        <f t="shared" si="0"/>
        <v>0</v>
      </c>
      <c r="L29" s="468"/>
    </row>
    <row r="30" spans="1:12" x14ac:dyDescent="0.2">
      <c r="A30" s="1524" t="s">
        <v>154</v>
      </c>
      <c r="B30" s="600" t="s">
        <v>759</v>
      </c>
      <c r="C30" s="474"/>
      <c r="D30" s="474"/>
      <c r="E30" s="474"/>
      <c r="F30" s="474"/>
      <c r="G30" s="474"/>
      <c r="H30" s="471"/>
      <c r="I30" s="614"/>
      <c r="J30" s="474"/>
      <c r="K30" s="1690">
        <f t="shared" si="0"/>
        <v>0</v>
      </c>
      <c r="L30" s="468"/>
    </row>
    <row r="31" spans="1:12" x14ac:dyDescent="0.2">
      <c r="A31" s="1524" t="s">
        <v>155</v>
      </c>
      <c r="B31" s="600" t="s">
        <v>760</v>
      </c>
      <c r="C31" s="474"/>
      <c r="D31" s="474"/>
      <c r="E31" s="474"/>
      <c r="F31" s="474"/>
      <c r="G31" s="474"/>
      <c r="H31" s="471"/>
      <c r="I31" s="614"/>
      <c r="J31" s="474"/>
      <c r="K31" s="1690">
        <f t="shared" si="0"/>
        <v>0</v>
      </c>
      <c r="L31" s="468"/>
    </row>
    <row r="32" spans="1:12" x14ac:dyDescent="0.2">
      <c r="A32" s="1525" t="s">
        <v>1191</v>
      </c>
      <c r="B32" s="612" t="s">
        <v>761</v>
      </c>
      <c r="C32" s="474"/>
      <c r="D32" s="474"/>
      <c r="E32" s="474"/>
      <c r="F32" s="474"/>
      <c r="G32" s="474"/>
      <c r="H32" s="471"/>
      <c r="I32" s="614"/>
      <c r="J32" s="477"/>
      <c r="K32" s="1690">
        <f t="shared" si="0"/>
        <v>0</v>
      </c>
      <c r="L32" s="468"/>
    </row>
    <row r="33" spans="1:14" ht="12.75" customHeight="1" thickBot="1" x14ac:dyDescent="0.25">
      <c r="A33" s="1687" t="s">
        <v>1753</v>
      </c>
      <c r="B33" s="1688" t="s">
        <v>591</v>
      </c>
      <c r="C33" s="1689">
        <f>SUM(C5:C32)</f>
        <v>433814</v>
      </c>
      <c r="D33" s="1689">
        <f t="shared" ref="D33:L33" si="1">SUM(D5:D32)</f>
        <v>49329</v>
      </c>
      <c r="E33" s="1689">
        <f t="shared" si="1"/>
        <v>24654</v>
      </c>
      <c r="F33" s="1689">
        <f t="shared" si="1"/>
        <v>9929</v>
      </c>
      <c r="G33" s="1689">
        <f t="shared" si="1"/>
        <v>2692</v>
      </c>
      <c r="H33" s="1689">
        <f t="shared" si="1"/>
        <v>0</v>
      </c>
      <c r="I33" s="1689">
        <f t="shared" si="1"/>
        <v>0</v>
      </c>
      <c r="J33" s="1689">
        <f t="shared" si="1"/>
        <v>0</v>
      </c>
      <c r="K33" s="1689">
        <f t="shared" si="1"/>
        <v>520418</v>
      </c>
      <c r="L33" s="1689">
        <f t="shared" si="1"/>
        <v>543100</v>
      </c>
    </row>
    <row r="34" spans="1:14" s="618" customFormat="1" ht="15.75" customHeight="1" thickTop="1" x14ac:dyDescent="0.2">
      <c r="A34" s="1627" t="s">
        <v>48</v>
      </c>
      <c r="B34" s="1628" t="s">
        <v>590</v>
      </c>
      <c r="C34" s="616"/>
      <c r="D34" s="616"/>
      <c r="E34" s="616"/>
      <c r="F34" s="616"/>
      <c r="G34" s="616"/>
      <c r="H34" s="616"/>
      <c r="I34" s="614"/>
      <c r="J34" s="614"/>
      <c r="K34" s="614"/>
      <c r="L34" s="614"/>
      <c r="M34" s="617"/>
      <c r="N34" s="617"/>
    </row>
    <row r="35" spans="1:14" s="618" customFormat="1" ht="15.75" customHeight="1" x14ac:dyDescent="0.2">
      <c r="A35" s="619" t="s">
        <v>612</v>
      </c>
      <c r="B35" s="620"/>
      <c r="C35" s="621"/>
      <c r="D35" s="621"/>
      <c r="E35" s="621"/>
      <c r="F35" s="621"/>
      <c r="G35" s="621"/>
      <c r="H35" s="621"/>
      <c r="I35" s="614"/>
      <c r="J35" s="614"/>
      <c r="K35" s="614"/>
      <c r="L35" s="614"/>
      <c r="M35" s="617"/>
      <c r="N35" s="617"/>
    </row>
    <row r="36" spans="1:14" x14ac:dyDescent="0.2">
      <c r="A36" s="1523" t="s">
        <v>1150</v>
      </c>
      <c r="B36" s="612">
        <v>2110</v>
      </c>
      <c r="C36" s="478">
        <v>43640</v>
      </c>
      <c r="D36" s="478">
        <v>18707</v>
      </c>
      <c r="E36" s="478"/>
      <c r="F36" s="478"/>
      <c r="G36" s="478"/>
      <c r="H36" s="478"/>
      <c r="I36" s="464"/>
      <c r="J36" s="464"/>
      <c r="K36" s="1690">
        <f t="shared" ref="K36:K41" si="2">SUM(C36:J36)</f>
        <v>62347</v>
      </c>
      <c r="L36" s="463">
        <v>66000</v>
      </c>
    </row>
    <row r="37" spans="1:14" x14ac:dyDescent="0.2">
      <c r="A37" s="1523" t="s">
        <v>1151</v>
      </c>
      <c r="B37" s="612">
        <v>2120</v>
      </c>
      <c r="C37" s="463">
        <v>7652</v>
      </c>
      <c r="D37" s="463">
        <v>111</v>
      </c>
      <c r="E37" s="463"/>
      <c r="F37" s="463"/>
      <c r="G37" s="463"/>
      <c r="H37" s="463"/>
      <c r="I37" s="464"/>
      <c r="J37" s="464"/>
      <c r="K37" s="1690">
        <f t="shared" si="2"/>
        <v>7763</v>
      </c>
      <c r="L37" s="463">
        <v>7850</v>
      </c>
    </row>
    <row r="38" spans="1:14" x14ac:dyDescent="0.2">
      <c r="A38" s="1523" t="s">
        <v>207</v>
      </c>
      <c r="B38" s="612">
        <v>2130</v>
      </c>
      <c r="C38" s="463"/>
      <c r="D38" s="463"/>
      <c r="E38" s="463"/>
      <c r="F38" s="463"/>
      <c r="G38" s="463"/>
      <c r="H38" s="463"/>
      <c r="I38" s="464"/>
      <c r="J38" s="464"/>
      <c r="K38" s="1690">
        <f t="shared" si="2"/>
        <v>0</v>
      </c>
      <c r="L38" s="463"/>
    </row>
    <row r="39" spans="1:14" x14ac:dyDescent="0.2">
      <c r="A39" s="1523" t="s">
        <v>208</v>
      </c>
      <c r="B39" s="612">
        <v>2140</v>
      </c>
      <c r="C39" s="463"/>
      <c r="D39" s="463"/>
      <c r="E39" s="463"/>
      <c r="F39" s="463"/>
      <c r="G39" s="463"/>
      <c r="H39" s="463"/>
      <c r="I39" s="464"/>
      <c r="J39" s="464"/>
      <c r="K39" s="1690">
        <f t="shared" si="2"/>
        <v>0</v>
      </c>
      <c r="L39" s="463"/>
    </row>
    <row r="40" spans="1:14" x14ac:dyDescent="0.2">
      <c r="A40" s="1523" t="s">
        <v>209</v>
      </c>
      <c r="B40" s="612">
        <v>2150</v>
      </c>
      <c r="C40" s="463"/>
      <c r="D40" s="463"/>
      <c r="E40" s="463"/>
      <c r="F40" s="463"/>
      <c r="G40" s="463"/>
      <c r="H40" s="463"/>
      <c r="I40" s="464"/>
      <c r="J40" s="464"/>
      <c r="K40" s="1690">
        <f t="shared" si="2"/>
        <v>0</v>
      </c>
      <c r="L40" s="463"/>
    </row>
    <row r="41" spans="1:14" x14ac:dyDescent="0.2">
      <c r="A41" s="1523" t="s">
        <v>1754</v>
      </c>
      <c r="B41" s="612">
        <v>2190</v>
      </c>
      <c r="C41" s="463"/>
      <c r="D41" s="463"/>
      <c r="E41" s="463"/>
      <c r="F41" s="463"/>
      <c r="G41" s="463"/>
      <c r="H41" s="463"/>
      <c r="I41" s="464"/>
      <c r="J41" s="464"/>
      <c r="K41" s="1690">
        <f t="shared" si="2"/>
        <v>0</v>
      </c>
      <c r="L41" s="463"/>
    </row>
    <row r="42" spans="1:14" ht="12.75" customHeight="1" thickBot="1" x14ac:dyDescent="0.25">
      <c r="A42" s="1687" t="s">
        <v>581</v>
      </c>
      <c r="B42" s="1688" t="s">
        <v>740</v>
      </c>
      <c r="C42" s="1689">
        <f>SUM(C36:C41)</f>
        <v>51292</v>
      </c>
      <c r="D42" s="1689">
        <f t="shared" ref="D42:L42" si="3">SUM(D36:D41)</f>
        <v>18818</v>
      </c>
      <c r="E42" s="1689">
        <f t="shared" si="3"/>
        <v>0</v>
      </c>
      <c r="F42" s="1689">
        <f t="shared" si="3"/>
        <v>0</v>
      </c>
      <c r="G42" s="1689">
        <f t="shared" si="3"/>
        <v>0</v>
      </c>
      <c r="H42" s="1689">
        <f t="shared" si="3"/>
        <v>0</v>
      </c>
      <c r="I42" s="1689">
        <f t="shared" si="3"/>
        <v>0</v>
      </c>
      <c r="J42" s="1689">
        <f t="shared" si="3"/>
        <v>0</v>
      </c>
      <c r="K42" s="1689">
        <f t="shared" si="3"/>
        <v>70110</v>
      </c>
      <c r="L42" s="1689">
        <f t="shared" si="3"/>
        <v>73850</v>
      </c>
    </row>
    <row r="43" spans="1:14" ht="15.75" customHeight="1" thickTop="1" x14ac:dyDescent="0.2">
      <c r="A43" s="622" t="s">
        <v>613</v>
      </c>
      <c r="B43" s="623"/>
      <c r="C43" s="624"/>
      <c r="D43" s="624"/>
      <c r="E43" s="624"/>
      <c r="F43" s="624"/>
      <c r="G43" s="624"/>
      <c r="H43" s="624"/>
      <c r="I43" s="614"/>
      <c r="J43" s="614"/>
      <c r="K43" s="624"/>
      <c r="L43" s="624"/>
    </row>
    <row r="44" spans="1:14" x14ac:dyDescent="0.2">
      <c r="A44" s="1523" t="s">
        <v>868</v>
      </c>
      <c r="B44" s="612">
        <v>2210</v>
      </c>
      <c r="C44" s="478"/>
      <c r="D44" s="478"/>
      <c r="E44" s="478"/>
      <c r="F44" s="478"/>
      <c r="G44" s="478"/>
      <c r="H44" s="478"/>
      <c r="I44" s="464"/>
      <c r="J44" s="464"/>
      <c r="K44" s="1691">
        <f>SUM(C44:J44)</f>
        <v>0</v>
      </c>
      <c r="L44" s="478"/>
    </row>
    <row r="45" spans="1:14" x14ac:dyDescent="0.2">
      <c r="A45" s="1523" t="s">
        <v>869</v>
      </c>
      <c r="B45" s="612">
        <v>2220</v>
      </c>
      <c r="C45" s="463"/>
      <c r="D45" s="463"/>
      <c r="E45" s="463"/>
      <c r="F45" s="463"/>
      <c r="G45" s="463"/>
      <c r="H45" s="463"/>
      <c r="I45" s="464"/>
      <c r="J45" s="464"/>
      <c r="K45" s="1691">
        <f>SUM(C45:J45)</f>
        <v>0</v>
      </c>
      <c r="L45" s="463"/>
    </row>
    <row r="46" spans="1:14" x14ac:dyDescent="0.2">
      <c r="A46" s="1523" t="s">
        <v>870</v>
      </c>
      <c r="B46" s="612">
        <v>2230</v>
      </c>
      <c r="C46" s="463"/>
      <c r="D46" s="463"/>
      <c r="E46" s="463"/>
      <c r="F46" s="463"/>
      <c r="G46" s="463"/>
      <c r="H46" s="463"/>
      <c r="I46" s="464"/>
      <c r="J46" s="464"/>
      <c r="K46" s="1691">
        <f>SUM(C46:J46)</f>
        <v>0</v>
      </c>
      <c r="L46" s="463"/>
    </row>
    <row r="47" spans="1:14" ht="12.75" customHeight="1" thickBot="1" x14ac:dyDescent="0.25">
      <c r="A47" s="1687" t="s">
        <v>582</v>
      </c>
      <c r="B47" s="1688" t="s">
        <v>32</v>
      </c>
      <c r="C47" s="1689">
        <f>SUM(C44:C46)</f>
        <v>0</v>
      </c>
      <c r="D47" s="1689">
        <f t="shared" ref="D47:K47" si="4">SUM(D44:D46)</f>
        <v>0</v>
      </c>
      <c r="E47" s="1689">
        <f t="shared" si="4"/>
        <v>0</v>
      </c>
      <c r="F47" s="1689">
        <f t="shared" si="4"/>
        <v>0</v>
      </c>
      <c r="G47" s="1689">
        <f t="shared" si="4"/>
        <v>0</v>
      </c>
      <c r="H47" s="1689">
        <f t="shared" si="4"/>
        <v>0</v>
      </c>
      <c r="I47" s="1689">
        <f t="shared" si="4"/>
        <v>0</v>
      </c>
      <c r="J47" s="1689">
        <f t="shared" si="4"/>
        <v>0</v>
      </c>
      <c r="K47" s="1689">
        <f t="shared" si="4"/>
        <v>0</v>
      </c>
      <c r="L47" s="1689">
        <f>SUM(L44:L46)</f>
        <v>0</v>
      </c>
    </row>
    <row r="48" spans="1:14" ht="15.75" customHeight="1" thickTop="1" x14ac:dyDescent="0.2">
      <c r="A48" s="622" t="s">
        <v>631</v>
      </c>
      <c r="B48" s="623"/>
      <c r="C48" s="624"/>
      <c r="D48" s="624"/>
      <c r="E48" s="624"/>
      <c r="F48" s="624"/>
      <c r="G48" s="624"/>
      <c r="H48" s="624"/>
      <c r="I48" s="614"/>
      <c r="J48" s="614"/>
      <c r="K48" s="624"/>
      <c r="L48" s="624"/>
    </row>
    <row r="49" spans="1:14" x14ac:dyDescent="0.2">
      <c r="A49" s="1523" t="s">
        <v>871</v>
      </c>
      <c r="B49" s="612">
        <v>2310</v>
      </c>
      <c r="C49" s="478"/>
      <c r="D49" s="478"/>
      <c r="E49" s="478"/>
      <c r="F49" s="478"/>
      <c r="G49" s="478"/>
      <c r="H49" s="478"/>
      <c r="I49" s="464"/>
      <c r="J49" s="464"/>
      <c r="K49" s="1691">
        <f>SUM(C49:J49)</f>
        <v>0</v>
      </c>
      <c r="L49" s="478"/>
    </row>
    <row r="50" spans="1:14" x14ac:dyDescent="0.2">
      <c r="A50" s="1523" t="s">
        <v>872</v>
      </c>
      <c r="B50" s="612">
        <v>2320</v>
      </c>
      <c r="C50" s="463"/>
      <c r="D50" s="463"/>
      <c r="E50" s="463"/>
      <c r="F50" s="463"/>
      <c r="G50" s="463"/>
      <c r="H50" s="463"/>
      <c r="I50" s="464"/>
      <c r="J50" s="464"/>
      <c r="K50" s="1691">
        <f>SUM(C50:J50)</f>
        <v>0</v>
      </c>
      <c r="L50" s="463"/>
    </row>
    <row r="51" spans="1:14" x14ac:dyDescent="0.2">
      <c r="A51" s="1523" t="s">
        <v>44</v>
      </c>
      <c r="B51" s="612">
        <v>2330</v>
      </c>
      <c r="C51" s="463">
        <v>37697</v>
      </c>
      <c r="D51" s="463">
        <f>219+526+6513</f>
        <v>7258</v>
      </c>
      <c r="E51" s="463">
        <f>2417+10799-2340+1975+236</f>
        <v>13087</v>
      </c>
      <c r="F51" s="463">
        <v>4044</v>
      </c>
      <c r="G51" s="463"/>
      <c r="H51" s="463"/>
      <c r="I51" s="464"/>
      <c r="J51" s="464"/>
      <c r="K51" s="1691">
        <f>SUM(C51:J51)</f>
        <v>62086</v>
      </c>
      <c r="L51" s="463">
        <v>67230</v>
      </c>
    </row>
    <row r="52" spans="1:14" ht="22.5" x14ac:dyDescent="0.2">
      <c r="A52" s="1524" t="s">
        <v>316</v>
      </c>
      <c r="B52" s="625" t="s">
        <v>384</v>
      </c>
      <c r="C52" s="471"/>
      <c r="D52" s="471"/>
      <c r="E52" s="471"/>
      <c r="F52" s="471"/>
      <c r="G52" s="471"/>
      <c r="H52" s="471"/>
      <c r="I52" s="471"/>
      <c r="J52" s="471"/>
      <c r="K52" s="1691">
        <f>SUM(C52:J52)</f>
        <v>0</v>
      </c>
      <c r="L52" s="471"/>
    </row>
    <row r="53" spans="1:14" ht="12.75" customHeight="1" thickBot="1" x14ac:dyDescent="0.25">
      <c r="A53" s="1687" t="s">
        <v>741</v>
      </c>
      <c r="B53" s="1688" t="s">
        <v>33</v>
      </c>
      <c r="C53" s="1689">
        <f>SUM(C49:C52)</f>
        <v>37697</v>
      </c>
      <c r="D53" s="1689">
        <f t="shared" ref="D53:L53" si="5">SUM(D49:D52)</f>
        <v>7258</v>
      </c>
      <c r="E53" s="1689">
        <f t="shared" si="5"/>
        <v>13087</v>
      </c>
      <c r="F53" s="1689">
        <f t="shared" si="5"/>
        <v>4044</v>
      </c>
      <c r="G53" s="1689">
        <f t="shared" si="5"/>
        <v>0</v>
      </c>
      <c r="H53" s="1689">
        <f t="shared" si="5"/>
        <v>0</v>
      </c>
      <c r="I53" s="1689">
        <f t="shared" si="5"/>
        <v>0</v>
      </c>
      <c r="J53" s="1689">
        <f t="shared" si="5"/>
        <v>0</v>
      </c>
      <c r="K53" s="1689">
        <f t="shared" si="5"/>
        <v>62086</v>
      </c>
      <c r="L53" s="1689">
        <f t="shared" si="5"/>
        <v>67230</v>
      </c>
    </row>
    <row r="54" spans="1:14" ht="15.75" customHeight="1" thickTop="1" x14ac:dyDescent="0.2">
      <c r="A54" s="622" t="s">
        <v>632</v>
      </c>
      <c r="B54" s="623"/>
      <c r="C54" s="624"/>
      <c r="D54" s="624"/>
      <c r="E54" s="624"/>
      <c r="F54" s="624"/>
      <c r="G54" s="624"/>
      <c r="H54" s="624"/>
      <c r="I54" s="614"/>
      <c r="J54" s="614"/>
      <c r="K54" s="624"/>
      <c r="L54" s="624"/>
    </row>
    <row r="55" spans="1:14" x14ac:dyDescent="0.2">
      <c r="A55" s="1523" t="s">
        <v>1127</v>
      </c>
      <c r="B55" s="612">
        <v>2410</v>
      </c>
      <c r="C55" s="478"/>
      <c r="D55" s="478"/>
      <c r="E55" s="478"/>
      <c r="F55" s="478"/>
      <c r="G55" s="478"/>
      <c r="H55" s="478"/>
      <c r="I55" s="464"/>
      <c r="J55" s="464"/>
      <c r="K55" s="1691">
        <f>SUM(C55:J55)</f>
        <v>0</v>
      </c>
      <c r="L55" s="478"/>
    </row>
    <row r="56" spans="1:14" ht="12.75" customHeight="1" x14ac:dyDescent="0.2">
      <c r="A56" s="1527" t="s">
        <v>394</v>
      </c>
      <c r="B56" s="626">
        <v>2490</v>
      </c>
      <c r="C56" s="463"/>
      <c r="D56" s="463"/>
      <c r="E56" s="463"/>
      <c r="F56" s="463"/>
      <c r="G56" s="463"/>
      <c r="H56" s="463"/>
      <c r="I56" s="464"/>
      <c r="J56" s="464"/>
      <c r="K56" s="1691">
        <f>SUM(C56:J56)</f>
        <v>0</v>
      </c>
      <c r="L56" s="463"/>
    </row>
    <row r="57" spans="1:14" s="340" customFormat="1" ht="12.75" customHeight="1" thickBot="1" x14ac:dyDescent="0.25">
      <c r="A57" s="1687" t="s">
        <v>281</v>
      </c>
      <c r="B57" s="1692" t="s">
        <v>34</v>
      </c>
      <c r="C57" s="1693">
        <f>SUM(C55:C56)</f>
        <v>0</v>
      </c>
      <c r="D57" s="1693">
        <f t="shared" ref="D57:K57" si="6">SUM(D55:D56)</f>
        <v>0</v>
      </c>
      <c r="E57" s="1693">
        <f t="shared" si="6"/>
        <v>0</v>
      </c>
      <c r="F57" s="1693">
        <f t="shared" si="6"/>
        <v>0</v>
      </c>
      <c r="G57" s="1693">
        <f t="shared" si="6"/>
        <v>0</v>
      </c>
      <c r="H57" s="1693">
        <f t="shared" si="6"/>
        <v>0</v>
      </c>
      <c r="I57" s="1693">
        <f t="shared" si="6"/>
        <v>0</v>
      </c>
      <c r="J57" s="1693">
        <f t="shared" si="6"/>
        <v>0</v>
      </c>
      <c r="K57" s="1693">
        <f t="shared" si="6"/>
        <v>0</v>
      </c>
      <c r="L57" s="1689">
        <f>SUM(L55:L56)</f>
        <v>0</v>
      </c>
      <c r="M57" s="607"/>
      <c r="N57" s="607"/>
    </row>
    <row r="58" spans="1:14" s="340" customFormat="1" ht="15.75" customHeight="1" thickTop="1" x14ac:dyDescent="0.2">
      <c r="A58" s="622" t="s">
        <v>633</v>
      </c>
      <c r="B58" s="623"/>
      <c r="C58" s="627"/>
      <c r="D58" s="624"/>
      <c r="E58" s="624"/>
      <c r="F58" s="624"/>
      <c r="G58" s="624"/>
      <c r="H58" s="624"/>
      <c r="I58" s="614"/>
      <c r="J58" s="614"/>
      <c r="K58" s="624"/>
      <c r="L58" s="624"/>
      <c r="M58" s="607"/>
      <c r="N58" s="607"/>
    </row>
    <row r="59" spans="1:14" s="340" customFormat="1" x14ac:dyDescent="0.2">
      <c r="A59" s="1523" t="s">
        <v>1128</v>
      </c>
      <c r="B59" s="612">
        <v>2510</v>
      </c>
      <c r="C59" s="478"/>
      <c r="D59" s="478"/>
      <c r="E59" s="478"/>
      <c r="F59" s="478"/>
      <c r="G59" s="478"/>
      <c r="H59" s="478"/>
      <c r="I59" s="464"/>
      <c r="J59" s="464"/>
      <c r="K59" s="1691">
        <f t="shared" ref="K59:K64" si="7">SUM(C59:J59)</f>
        <v>0</v>
      </c>
      <c r="L59" s="478"/>
      <c r="M59" s="607"/>
      <c r="N59" s="607"/>
    </row>
    <row r="60" spans="1:14" s="340" customFormat="1" x14ac:dyDescent="0.2">
      <c r="A60" s="1523" t="s">
        <v>483</v>
      </c>
      <c r="B60" s="612">
        <v>2520</v>
      </c>
      <c r="C60" s="463"/>
      <c r="D60" s="463"/>
      <c r="E60" s="463"/>
      <c r="F60" s="463"/>
      <c r="G60" s="463"/>
      <c r="H60" s="463"/>
      <c r="I60" s="464"/>
      <c r="J60" s="464"/>
      <c r="K60" s="1691">
        <f t="shared" si="7"/>
        <v>0</v>
      </c>
      <c r="L60" s="463"/>
      <c r="M60" s="607"/>
      <c r="N60" s="607"/>
    </row>
    <row r="61" spans="1:14" s="340" customFormat="1" x14ac:dyDescent="0.2">
      <c r="A61" s="1523" t="s">
        <v>206</v>
      </c>
      <c r="B61" s="612">
        <v>2540</v>
      </c>
      <c r="C61" s="463"/>
      <c r="D61" s="463"/>
      <c r="E61" s="463">
        <f>3527+17000+1000+1800+2000</f>
        <v>25327</v>
      </c>
      <c r="F61" s="463">
        <f>2951+12000+11000+7000</f>
        <v>32951</v>
      </c>
      <c r="G61" s="463"/>
      <c r="H61" s="463"/>
      <c r="I61" s="464"/>
      <c r="J61" s="464"/>
      <c r="K61" s="1691">
        <f t="shared" si="7"/>
        <v>58278</v>
      </c>
      <c r="L61" s="463">
        <v>71300</v>
      </c>
      <c r="M61" s="607"/>
      <c r="N61" s="607"/>
    </row>
    <row r="62" spans="1:14" s="340" customFormat="1" x14ac:dyDescent="0.2">
      <c r="A62" s="1523" t="s">
        <v>1010</v>
      </c>
      <c r="B62" s="612">
        <v>2550</v>
      </c>
      <c r="C62" s="463"/>
      <c r="D62" s="463"/>
      <c r="E62" s="463"/>
      <c r="F62" s="463"/>
      <c r="G62" s="463"/>
      <c r="H62" s="463"/>
      <c r="I62" s="464"/>
      <c r="J62" s="464"/>
      <c r="K62" s="1691">
        <f t="shared" si="7"/>
        <v>0</v>
      </c>
      <c r="L62" s="463"/>
      <c r="M62" s="607"/>
      <c r="N62" s="607"/>
    </row>
    <row r="63" spans="1:14" s="607" customFormat="1" x14ac:dyDescent="0.2">
      <c r="A63" s="1523" t="s">
        <v>102</v>
      </c>
      <c r="B63" s="612">
        <v>2560</v>
      </c>
      <c r="C63" s="463"/>
      <c r="D63" s="463"/>
      <c r="E63" s="463"/>
      <c r="F63" s="463"/>
      <c r="G63" s="463"/>
      <c r="H63" s="463"/>
      <c r="I63" s="464"/>
      <c r="J63" s="464"/>
      <c r="K63" s="1691">
        <f t="shared" si="7"/>
        <v>0</v>
      </c>
      <c r="L63" s="463"/>
    </row>
    <row r="64" spans="1:14" s="607" customFormat="1" x14ac:dyDescent="0.2">
      <c r="A64" s="1528" t="s">
        <v>103</v>
      </c>
      <c r="B64" s="628">
        <v>2570</v>
      </c>
      <c r="C64" s="478"/>
      <c r="D64" s="478"/>
      <c r="E64" s="478"/>
      <c r="F64" s="478"/>
      <c r="G64" s="478"/>
      <c r="H64" s="478"/>
      <c r="I64" s="464"/>
      <c r="J64" s="464"/>
      <c r="K64" s="1691">
        <f t="shared" si="7"/>
        <v>0</v>
      </c>
      <c r="L64" s="478"/>
    </row>
    <row r="65" spans="1:14" s="340" customFormat="1" ht="12.75" customHeight="1" thickBot="1" x14ac:dyDescent="0.25">
      <c r="A65" s="1687" t="s">
        <v>743</v>
      </c>
      <c r="B65" s="1688" t="s">
        <v>35</v>
      </c>
      <c r="C65" s="1689">
        <f>SUM(C59:C64)</f>
        <v>0</v>
      </c>
      <c r="D65" s="1689">
        <f t="shared" ref="D65:L65" si="8">SUM(D59:D64)</f>
        <v>0</v>
      </c>
      <c r="E65" s="1689">
        <f t="shared" si="8"/>
        <v>25327</v>
      </c>
      <c r="F65" s="1689">
        <f t="shared" si="8"/>
        <v>32951</v>
      </c>
      <c r="G65" s="1689">
        <f t="shared" si="8"/>
        <v>0</v>
      </c>
      <c r="H65" s="1689">
        <f t="shared" si="8"/>
        <v>0</v>
      </c>
      <c r="I65" s="1689">
        <f t="shared" si="8"/>
        <v>0</v>
      </c>
      <c r="J65" s="1689">
        <f t="shared" si="8"/>
        <v>0</v>
      </c>
      <c r="K65" s="1689">
        <f t="shared" si="8"/>
        <v>58278</v>
      </c>
      <c r="L65" s="1689">
        <f t="shared" si="8"/>
        <v>71300</v>
      </c>
      <c r="M65" s="607"/>
      <c r="N65" s="607"/>
    </row>
    <row r="66" spans="1:14" s="340" customFormat="1" ht="15.75" customHeight="1" thickTop="1" x14ac:dyDescent="0.2">
      <c r="A66" s="622" t="s">
        <v>634</v>
      </c>
      <c r="B66" s="629"/>
      <c r="C66" s="614"/>
      <c r="D66" s="614"/>
      <c r="E66" s="614"/>
      <c r="F66" s="614"/>
      <c r="G66" s="614"/>
      <c r="H66" s="614"/>
      <c r="I66" s="614"/>
      <c r="J66" s="614"/>
      <c r="K66" s="624"/>
      <c r="L66" s="624"/>
      <c r="M66" s="607"/>
      <c r="N66" s="607"/>
    </row>
    <row r="67" spans="1:14" s="340" customFormat="1" x14ac:dyDescent="0.2">
      <c r="A67" s="1523" t="s">
        <v>1120</v>
      </c>
      <c r="B67" s="612">
        <v>2610</v>
      </c>
      <c r="C67" s="463"/>
      <c r="D67" s="463"/>
      <c r="E67" s="463"/>
      <c r="F67" s="463"/>
      <c r="G67" s="463"/>
      <c r="H67" s="463"/>
      <c r="I67" s="464"/>
      <c r="J67" s="464"/>
      <c r="K67" s="1691">
        <f>SUM(C67:J67)</f>
        <v>0</v>
      </c>
      <c r="L67" s="478"/>
      <c r="M67" s="607"/>
      <c r="N67" s="607"/>
    </row>
    <row r="68" spans="1:14" s="340" customFormat="1" x14ac:dyDescent="0.2">
      <c r="A68" s="1523" t="s">
        <v>628</v>
      </c>
      <c r="B68" s="612">
        <v>2620</v>
      </c>
      <c r="C68" s="463"/>
      <c r="D68" s="463"/>
      <c r="E68" s="463"/>
      <c r="F68" s="463"/>
      <c r="G68" s="463"/>
      <c r="H68" s="463"/>
      <c r="I68" s="464"/>
      <c r="J68" s="464"/>
      <c r="K68" s="1691">
        <f>SUM(C68:J68)</f>
        <v>0</v>
      </c>
      <c r="L68" s="463"/>
      <c r="M68" s="607"/>
      <c r="N68" s="607"/>
    </row>
    <row r="69" spans="1:14" s="340" customFormat="1" x14ac:dyDescent="0.2">
      <c r="A69" s="1523" t="s">
        <v>1121</v>
      </c>
      <c r="B69" s="612">
        <v>2630</v>
      </c>
      <c r="C69" s="463"/>
      <c r="D69" s="463"/>
      <c r="E69" s="463"/>
      <c r="F69" s="463"/>
      <c r="G69" s="463"/>
      <c r="H69" s="463"/>
      <c r="I69" s="464"/>
      <c r="J69" s="464"/>
      <c r="K69" s="1691">
        <f>SUM(C69:J69)</f>
        <v>0</v>
      </c>
      <c r="L69" s="463"/>
      <c r="M69" s="607"/>
      <c r="N69" s="607"/>
    </row>
    <row r="70" spans="1:14" s="340" customFormat="1" x14ac:dyDescent="0.2">
      <c r="A70" s="1523" t="s">
        <v>423</v>
      </c>
      <c r="B70" s="612">
        <v>2640</v>
      </c>
      <c r="C70" s="463"/>
      <c r="D70" s="463"/>
      <c r="E70" s="463"/>
      <c r="F70" s="463"/>
      <c r="G70" s="463"/>
      <c r="H70" s="463"/>
      <c r="I70" s="464"/>
      <c r="J70" s="464"/>
      <c r="K70" s="1691">
        <f>SUM(C70:J70)</f>
        <v>0</v>
      </c>
      <c r="L70" s="463"/>
      <c r="M70" s="607"/>
      <c r="N70" s="607"/>
    </row>
    <row r="71" spans="1:14" s="340" customFormat="1" x14ac:dyDescent="0.2">
      <c r="A71" s="1523" t="s">
        <v>424</v>
      </c>
      <c r="B71" s="612">
        <v>2660</v>
      </c>
      <c r="C71" s="463"/>
      <c r="D71" s="463"/>
      <c r="E71" s="463"/>
      <c r="F71" s="463"/>
      <c r="G71" s="463"/>
      <c r="H71" s="463"/>
      <c r="I71" s="464"/>
      <c r="J71" s="464"/>
      <c r="K71" s="1691">
        <f>SUM(C71:J71)</f>
        <v>0</v>
      </c>
      <c r="L71" s="463"/>
      <c r="M71" s="607"/>
      <c r="N71" s="607"/>
    </row>
    <row r="72" spans="1:14" s="340"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7"/>
      <c r="N72" s="607"/>
    </row>
    <row r="73" spans="1:14" s="340" customFormat="1" ht="14.25" thickTop="1" thickBot="1" x14ac:dyDescent="0.25">
      <c r="A73" s="1529" t="s">
        <v>1037</v>
      </c>
      <c r="B73" s="630" t="s">
        <v>595</v>
      </c>
      <c r="C73" s="570"/>
      <c r="D73" s="570"/>
      <c r="E73" s="570"/>
      <c r="F73" s="570"/>
      <c r="G73" s="570"/>
      <c r="H73" s="570"/>
      <c r="I73" s="528"/>
      <c r="J73" s="528"/>
      <c r="K73" s="1689">
        <f>SUM(C73:J73)</f>
        <v>0</v>
      </c>
      <c r="L73" s="573"/>
      <c r="M73" s="607"/>
      <c r="N73" s="607"/>
    </row>
    <row r="74" spans="1:14" ht="12.75" customHeight="1" thickTop="1" thickBot="1" x14ac:dyDescent="0.25">
      <c r="A74" s="1687" t="s">
        <v>865</v>
      </c>
      <c r="B74" s="1695">
        <v>2000</v>
      </c>
      <c r="C74" s="1696">
        <f>SUM(C42,C47,C53,C57,C65,C72,C73)</f>
        <v>88989</v>
      </c>
      <c r="D74" s="1696">
        <f t="shared" ref="D74:K74" si="10">SUM(D42,D47,D53,D57,D65,D72,D73)</f>
        <v>26076</v>
      </c>
      <c r="E74" s="1696">
        <f t="shared" si="10"/>
        <v>38414</v>
      </c>
      <c r="F74" s="1696">
        <f t="shared" si="10"/>
        <v>36995</v>
      </c>
      <c r="G74" s="1696">
        <f t="shared" si="10"/>
        <v>0</v>
      </c>
      <c r="H74" s="1696">
        <f t="shared" si="10"/>
        <v>0</v>
      </c>
      <c r="I74" s="1696">
        <f t="shared" si="10"/>
        <v>0</v>
      </c>
      <c r="J74" s="1696">
        <f t="shared" si="10"/>
        <v>0</v>
      </c>
      <c r="K74" s="1696">
        <f t="shared" si="10"/>
        <v>190474</v>
      </c>
      <c r="L74" s="1696">
        <f>SUM(L42,L47,L53,L57,L65,L72,L73)</f>
        <v>212380</v>
      </c>
    </row>
    <row r="75" spans="1:14" s="257" customFormat="1" ht="15.75" customHeight="1" thickTop="1" thickBot="1" x14ac:dyDescent="0.25">
      <c r="A75" s="1629" t="s">
        <v>49</v>
      </c>
      <c r="B75" s="1630" t="s">
        <v>596</v>
      </c>
      <c r="C75" s="570"/>
      <c r="D75" s="570"/>
      <c r="E75" s="570"/>
      <c r="F75" s="570"/>
      <c r="G75" s="570"/>
      <c r="H75" s="570"/>
      <c r="I75" s="528"/>
      <c r="J75" s="528"/>
      <c r="K75" s="1689">
        <f>SUM(C75:J75)</f>
        <v>0</v>
      </c>
      <c r="L75" s="573"/>
      <c r="M75" s="611"/>
      <c r="N75" s="611"/>
    </row>
    <row r="76" spans="1:14" s="631" customFormat="1" ht="15.75" customHeight="1" thickTop="1" x14ac:dyDescent="0.2">
      <c r="A76" s="1631" t="s">
        <v>383</v>
      </c>
      <c r="B76" s="1628" t="s">
        <v>915</v>
      </c>
      <c r="C76" s="616"/>
      <c r="D76" s="616"/>
      <c r="E76" s="614"/>
      <c r="F76" s="616"/>
      <c r="G76" s="616"/>
      <c r="H76" s="614"/>
      <c r="I76" s="614"/>
      <c r="J76" s="614"/>
      <c r="K76" s="614"/>
      <c r="L76" s="614"/>
      <c r="M76" s="184"/>
      <c r="N76" s="184"/>
    </row>
    <row r="77" spans="1:14" s="257" customFormat="1" ht="15.75" customHeight="1" x14ac:dyDescent="0.2">
      <c r="A77" s="619" t="s">
        <v>635</v>
      </c>
      <c r="B77" s="620"/>
      <c r="C77" s="614"/>
      <c r="D77" s="614"/>
      <c r="E77" s="621"/>
      <c r="F77" s="614"/>
      <c r="G77" s="614"/>
      <c r="H77" s="621"/>
      <c r="I77" s="614"/>
      <c r="J77" s="614"/>
      <c r="K77" s="621"/>
      <c r="L77" s="621"/>
      <c r="M77" s="611"/>
      <c r="N77" s="611"/>
    </row>
    <row r="78" spans="1:14" x14ac:dyDescent="0.2">
      <c r="A78" s="1523" t="s">
        <v>517</v>
      </c>
      <c r="B78" s="612">
        <v>4110</v>
      </c>
      <c r="C78" s="614"/>
      <c r="D78" s="614"/>
      <c r="E78" s="478"/>
      <c r="F78" s="614"/>
      <c r="G78" s="614"/>
      <c r="H78" s="632"/>
      <c r="I78" s="474"/>
      <c r="J78" s="474"/>
      <c r="K78" s="1690">
        <f t="shared" ref="K78:K83" si="11">SUM(C78:J78)</f>
        <v>0</v>
      </c>
      <c r="L78" s="478"/>
    </row>
    <row r="79" spans="1:14" x14ac:dyDescent="0.2">
      <c r="A79" s="1523" t="s">
        <v>322</v>
      </c>
      <c r="B79" s="612">
        <v>4120</v>
      </c>
      <c r="C79" s="614"/>
      <c r="D79" s="614"/>
      <c r="E79" s="463"/>
      <c r="F79" s="614"/>
      <c r="G79" s="614"/>
      <c r="H79" s="463"/>
      <c r="I79" s="474"/>
      <c r="J79" s="474"/>
      <c r="K79" s="1690">
        <f t="shared" si="11"/>
        <v>0</v>
      </c>
      <c r="L79" s="463"/>
    </row>
    <row r="80" spans="1:14" x14ac:dyDescent="0.2">
      <c r="A80" s="1523" t="s">
        <v>323</v>
      </c>
      <c r="B80" s="612">
        <v>4130</v>
      </c>
      <c r="C80" s="614"/>
      <c r="D80" s="614"/>
      <c r="E80" s="463"/>
      <c r="F80" s="614"/>
      <c r="G80" s="614"/>
      <c r="H80" s="463"/>
      <c r="I80" s="474"/>
      <c r="J80" s="474"/>
      <c r="K80" s="1690">
        <f t="shared" si="11"/>
        <v>0</v>
      </c>
      <c r="L80" s="463"/>
    </row>
    <row r="81" spans="1:12" x14ac:dyDescent="0.2">
      <c r="A81" s="1523" t="s">
        <v>721</v>
      </c>
      <c r="B81" s="612">
        <v>4140</v>
      </c>
      <c r="C81" s="614"/>
      <c r="D81" s="614"/>
      <c r="E81" s="463"/>
      <c r="F81" s="614"/>
      <c r="G81" s="614"/>
      <c r="H81" s="463"/>
      <c r="I81" s="474"/>
      <c r="J81" s="474"/>
      <c r="K81" s="1690">
        <f t="shared" si="11"/>
        <v>0</v>
      </c>
      <c r="L81" s="463"/>
    </row>
    <row r="82" spans="1:12" x14ac:dyDescent="0.2">
      <c r="A82" s="1523" t="s">
        <v>88</v>
      </c>
      <c r="B82" s="612">
        <v>4170</v>
      </c>
      <c r="C82" s="614"/>
      <c r="D82" s="614"/>
      <c r="E82" s="463"/>
      <c r="F82" s="614"/>
      <c r="G82" s="614"/>
      <c r="H82" s="463"/>
      <c r="I82" s="474"/>
      <c r="J82" s="474"/>
      <c r="K82" s="1690">
        <f t="shared" si="11"/>
        <v>0</v>
      </c>
      <c r="L82" s="463"/>
    </row>
    <row r="83" spans="1:12" x14ac:dyDescent="0.2">
      <c r="A83" s="1527" t="s">
        <v>722</v>
      </c>
      <c r="B83" s="626">
        <v>4190</v>
      </c>
      <c r="C83" s="614"/>
      <c r="D83" s="614"/>
      <c r="E83" s="463"/>
      <c r="F83" s="614"/>
      <c r="G83" s="614"/>
      <c r="H83" s="463"/>
      <c r="I83" s="474"/>
      <c r="J83" s="474"/>
      <c r="K83" s="1690">
        <f t="shared" si="11"/>
        <v>0</v>
      </c>
      <c r="L83" s="463"/>
    </row>
    <row r="84" spans="1:12" ht="13.5" thickBot="1" x14ac:dyDescent="0.25">
      <c r="A84" s="1687" t="s">
        <v>1565</v>
      </c>
      <c r="B84" s="1697">
        <v>4100</v>
      </c>
      <c r="C84" s="614"/>
      <c r="D84" s="614"/>
      <c r="E84" s="1689">
        <f>SUM(E78:E83)</f>
        <v>0</v>
      </c>
      <c r="F84" s="614"/>
      <c r="G84" s="614"/>
      <c r="H84" s="1689">
        <f>SUM(H78:H83)</f>
        <v>0</v>
      </c>
      <c r="I84" s="474"/>
      <c r="J84" s="474"/>
      <c r="K84" s="1689">
        <f>SUM(K78:K83)</f>
        <v>0</v>
      </c>
      <c r="L84" s="1689">
        <f>SUM(L78:L83)</f>
        <v>0</v>
      </c>
    </row>
    <row r="85" spans="1:12" ht="12.75" customHeight="1" thickTop="1" thickBot="1" x14ac:dyDescent="0.25">
      <c r="A85" s="1530" t="s">
        <v>273</v>
      </c>
      <c r="B85" s="633">
        <v>4210</v>
      </c>
      <c r="C85" s="614"/>
      <c r="D85" s="614"/>
      <c r="E85" s="634"/>
      <c r="F85" s="614"/>
      <c r="G85" s="614"/>
      <c r="H85" s="532"/>
      <c r="I85" s="474"/>
      <c r="J85" s="474"/>
      <c r="K85" s="1696">
        <f>H85</f>
        <v>0</v>
      </c>
      <c r="L85" s="527"/>
    </row>
    <row r="86" spans="1:12" ht="12.75" customHeight="1" thickTop="1" thickBot="1" x14ac:dyDescent="0.25">
      <c r="A86" s="1531" t="s">
        <v>723</v>
      </c>
      <c r="B86" s="635">
        <v>4220</v>
      </c>
      <c r="C86" s="614"/>
      <c r="D86" s="614"/>
      <c r="E86" s="636"/>
      <c r="F86" s="614"/>
      <c r="G86" s="614"/>
      <c r="H86" s="464"/>
      <c r="I86" s="474"/>
      <c r="J86" s="474"/>
      <c r="K86" s="1696">
        <f t="shared" ref="K86:K98" si="12">H86</f>
        <v>0</v>
      </c>
      <c r="L86" s="527"/>
    </row>
    <row r="87" spans="1:12" ht="14.25" thickTop="1" thickBot="1" x14ac:dyDescent="0.25">
      <c r="A87" s="1532" t="s">
        <v>724</v>
      </c>
      <c r="B87" s="637">
        <v>4230</v>
      </c>
      <c r="C87" s="614"/>
      <c r="D87" s="614"/>
      <c r="E87" s="636"/>
      <c r="F87" s="614"/>
      <c r="G87" s="614"/>
      <c r="H87" s="464"/>
      <c r="I87" s="474"/>
      <c r="J87" s="474"/>
      <c r="K87" s="1696">
        <f t="shared" si="12"/>
        <v>0</v>
      </c>
      <c r="L87" s="527"/>
    </row>
    <row r="88" spans="1:12" ht="12.75" customHeight="1" thickTop="1" thickBot="1" x14ac:dyDescent="0.25">
      <c r="A88" s="1532" t="s">
        <v>789</v>
      </c>
      <c r="B88" s="637">
        <v>4240</v>
      </c>
      <c r="C88" s="614"/>
      <c r="D88" s="614"/>
      <c r="E88" s="636"/>
      <c r="F88" s="614"/>
      <c r="G88" s="614"/>
      <c r="H88" s="464"/>
      <c r="I88" s="474"/>
      <c r="J88" s="474"/>
      <c r="K88" s="1696">
        <f t="shared" si="12"/>
        <v>0</v>
      </c>
      <c r="L88" s="527"/>
    </row>
    <row r="89" spans="1:12" ht="12.75" customHeight="1" thickTop="1" thickBot="1" x14ac:dyDescent="0.25">
      <c r="A89" s="1532" t="s">
        <v>725</v>
      </c>
      <c r="B89" s="637">
        <v>4270</v>
      </c>
      <c r="C89" s="614"/>
      <c r="D89" s="614"/>
      <c r="E89" s="636"/>
      <c r="F89" s="614"/>
      <c r="G89" s="614"/>
      <c r="H89" s="464"/>
      <c r="I89" s="474"/>
      <c r="J89" s="474"/>
      <c r="K89" s="1696">
        <f t="shared" si="12"/>
        <v>0</v>
      </c>
      <c r="L89" s="527"/>
    </row>
    <row r="90" spans="1:12" ht="12.75" customHeight="1" thickTop="1" thickBot="1" x14ac:dyDescent="0.25">
      <c r="A90" s="1532" t="s">
        <v>710</v>
      </c>
      <c r="B90" s="637">
        <v>4280</v>
      </c>
      <c r="C90" s="614"/>
      <c r="D90" s="614"/>
      <c r="E90" s="636"/>
      <c r="F90" s="614"/>
      <c r="G90" s="614"/>
      <c r="H90" s="464"/>
      <c r="I90" s="474"/>
      <c r="J90" s="474"/>
      <c r="K90" s="1696">
        <f t="shared" si="12"/>
        <v>0</v>
      </c>
      <c r="L90" s="527"/>
    </row>
    <row r="91" spans="1:12" ht="12.75" customHeight="1" thickTop="1" thickBot="1" x14ac:dyDescent="0.25">
      <c r="A91" s="1532" t="s">
        <v>711</v>
      </c>
      <c r="B91" s="637">
        <v>4290</v>
      </c>
      <c r="C91" s="614"/>
      <c r="D91" s="614"/>
      <c r="E91" s="636"/>
      <c r="F91" s="614"/>
      <c r="G91" s="614"/>
      <c r="H91" s="464"/>
      <c r="I91" s="474"/>
      <c r="J91" s="474"/>
      <c r="K91" s="1696">
        <f t="shared" si="12"/>
        <v>0</v>
      </c>
      <c r="L91" s="527"/>
    </row>
    <row r="92" spans="1:12" ht="14.25" thickTop="1" thickBot="1" x14ac:dyDescent="0.25">
      <c r="A92" s="1699" t="s">
        <v>1641</v>
      </c>
      <c r="B92" s="1697">
        <v>4200</v>
      </c>
      <c r="C92" s="614"/>
      <c r="D92" s="614"/>
      <c r="E92" s="636"/>
      <c r="F92" s="614"/>
      <c r="G92" s="614"/>
      <c r="H92" s="1689">
        <f>SUM(H85:H91)</f>
        <v>0</v>
      </c>
      <c r="I92" s="474"/>
      <c r="J92" s="474"/>
      <c r="K92" s="1696">
        <f t="shared" si="12"/>
        <v>0</v>
      </c>
      <c r="L92" s="1689">
        <f>SUM(L85:L91)</f>
        <v>0</v>
      </c>
    </row>
    <row r="93" spans="1:12" ht="14.25" thickTop="1" thickBot="1" x14ac:dyDescent="0.25">
      <c r="A93" s="1531" t="s">
        <v>712</v>
      </c>
      <c r="B93" s="638">
        <v>4310</v>
      </c>
      <c r="C93" s="614"/>
      <c r="D93" s="614"/>
      <c r="E93" s="636"/>
      <c r="F93" s="614"/>
      <c r="G93" s="614"/>
      <c r="H93" s="639"/>
      <c r="I93" s="474"/>
      <c r="J93" s="474"/>
      <c r="K93" s="1696">
        <f t="shared" si="12"/>
        <v>0</v>
      </c>
      <c r="L93" s="529"/>
    </row>
    <row r="94" spans="1:12" ht="12.75" customHeight="1" thickTop="1" thickBot="1" x14ac:dyDescent="0.25">
      <c r="A94" s="1532" t="s">
        <v>713</v>
      </c>
      <c r="B94" s="637">
        <v>4320</v>
      </c>
      <c r="C94" s="614"/>
      <c r="D94" s="614"/>
      <c r="E94" s="636"/>
      <c r="F94" s="614"/>
      <c r="G94" s="614"/>
      <c r="H94" s="464"/>
      <c r="I94" s="474"/>
      <c r="J94" s="474"/>
      <c r="K94" s="1696">
        <f t="shared" si="12"/>
        <v>0</v>
      </c>
      <c r="L94" s="527"/>
    </row>
    <row r="95" spans="1:12" ht="15" customHeight="1" thickTop="1" thickBot="1" x14ac:dyDescent="0.25">
      <c r="A95" s="1532" t="s">
        <v>1568</v>
      </c>
      <c r="B95" s="637">
        <v>4330</v>
      </c>
      <c r="C95" s="614"/>
      <c r="D95" s="614"/>
      <c r="E95" s="636"/>
      <c r="F95" s="614"/>
      <c r="G95" s="614"/>
      <c r="H95" s="464"/>
      <c r="I95" s="474"/>
      <c r="J95" s="474"/>
      <c r="K95" s="1696">
        <f t="shared" si="12"/>
        <v>0</v>
      </c>
      <c r="L95" s="527"/>
    </row>
    <row r="96" spans="1:12" ht="14.25" thickTop="1" thickBot="1" x14ac:dyDescent="0.25">
      <c r="A96" s="1532" t="s">
        <v>714</v>
      </c>
      <c r="B96" s="637">
        <v>4340</v>
      </c>
      <c r="C96" s="614"/>
      <c r="D96" s="614"/>
      <c r="E96" s="636"/>
      <c r="F96" s="614"/>
      <c r="G96" s="614"/>
      <c r="H96" s="464"/>
      <c r="I96" s="474"/>
      <c r="J96" s="474"/>
      <c r="K96" s="1696">
        <f t="shared" si="12"/>
        <v>0</v>
      </c>
      <c r="L96" s="527"/>
    </row>
    <row r="97" spans="1:14" ht="12.75" customHeight="1" thickTop="1" thickBot="1" x14ac:dyDescent="0.25">
      <c r="A97" s="1532" t="s">
        <v>787</v>
      </c>
      <c r="B97" s="637">
        <v>4370</v>
      </c>
      <c r="C97" s="614"/>
      <c r="D97" s="614"/>
      <c r="E97" s="636"/>
      <c r="F97" s="614"/>
      <c r="G97" s="614"/>
      <c r="H97" s="464"/>
      <c r="I97" s="474"/>
      <c r="J97" s="474"/>
      <c r="K97" s="1696">
        <f t="shared" si="12"/>
        <v>0</v>
      </c>
      <c r="L97" s="527"/>
    </row>
    <row r="98" spans="1:14" ht="14.25" thickTop="1" thickBot="1" x14ac:dyDescent="0.25">
      <c r="A98" s="1532" t="s">
        <v>788</v>
      </c>
      <c r="B98" s="637">
        <v>4380</v>
      </c>
      <c r="C98" s="614"/>
      <c r="D98" s="614"/>
      <c r="E98" s="640"/>
      <c r="F98" s="614"/>
      <c r="G98" s="614"/>
      <c r="H98" s="464"/>
      <c r="I98" s="474"/>
      <c r="J98" s="474"/>
      <c r="K98" s="1696">
        <f t="shared" si="12"/>
        <v>0</v>
      </c>
      <c r="L98" s="527"/>
    </row>
    <row r="99" spans="1:14" ht="14.25" thickTop="1" thickBot="1" x14ac:dyDescent="0.25">
      <c r="A99" s="1532" t="s">
        <v>385</v>
      </c>
      <c r="B99" s="637">
        <v>4390</v>
      </c>
      <c r="C99" s="614"/>
      <c r="D99" s="614"/>
      <c r="E99" s="529"/>
      <c r="F99" s="614"/>
      <c r="G99" s="614"/>
      <c r="H99" s="464"/>
      <c r="I99" s="474"/>
      <c r="J99" s="474"/>
      <c r="K99" s="1696">
        <f>SUM(E99,H99)</f>
        <v>0</v>
      </c>
      <c r="L99" s="527"/>
    </row>
    <row r="100" spans="1:14" ht="14.25" thickTop="1" thickBot="1" x14ac:dyDescent="0.25">
      <c r="A100" s="1699" t="s">
        <v>1566</v>
      </c>
      <c r="B100" s="1700">
        <v>4300</v>
      </c>
      <c r="C100" s="614"/>
      <c r="D100" s="614"/>
      <c r="E100" s="1696">
        <f>SUM(E93:E99)</f>
        <v>0</v>
      </c>
      <c r="F100" s="614"/>
      <c r="G100" s="614"/>
      <c r="H100" s="1696">
        <f>SUM(H93:H99)</f>
        <v>0</v>
      </c>
      <c r="I100" s="474"/>
      <c r="J100" s="474"/>
      <c r="K100" s="1696">
        <f>SUM(K93:K99)</f>
        <v>0</v>
      </c>
      <c r="L100" s="1696">
        <f>SUM(L93:L99)</f>
        <v>0</v>
      </c>
    </row>
    <row r="101" spans="1:14" ht="12.75" customHeight="1" thickTop="1" thickBot="1" x14ac:dyDescent="0.25">
      <c r="A101" s="1529" t="s">
        <v>1569</v>
      </c>
      <c r="B101" s="641" t="s">
        <v>988</v>
      </c>
      <c r="C101" s="614"/>
      <c r="D101" s="614"/>
      <c r="E101" s="528"/>
      <c r="F101" s="614"/>
      <c r="G101" s="614"/>
      <c r="H101" s="528"/>
      <c r="I101" s="474"/>
      <c r="J101" s="474"/>
      <c r="K101" s="1698">
        <f>SUM(C101:J101)</f>
        <v>0</v>
      </c>
      <c r="L101" s="527"/>
    </row>
    <row r="102" spans="1:14" ht="12.75" customHeight="1" thickTop="1" thickBot="1" x14ac:dyDescent="0.25">
      <c r="A102" s="1687" t="s">
        <v>1567</v>
      </c>
      <c r="B102" s="1697">
        <v>4000</v>
      </c>
      <c r="C102" s="614"/>
      <c r="D102" s="614"/>
      <c r="E102" s="1696">
        <f>SUM(E84,E92,E100,E101)</f>
        <v>0</v>
      </c>
      <c r="F102" s="614"/>
      <c r="G102" s="614"/>
      <c r="H102" s="1696">
        <f>SUM(H84,H92,H100,H101)</f>
        <v>0</v>
      </c>
      <c r="I102" s="474"/>
      <c r="J102" s="474"/>
      <c r="K102" s="1696">
        <f>SUM(K84,K92,K100,K101)</f>
        <v>0</v>
      </c>
      <c r="L102" s="1696">
        <f>SUM(L84,L92,L100,L101)</f>
        <v>0</v>
      </c>
    </row>
    <row r="103" spans="1:14" s="631" customFormat="1" ht="15.75" customHeight="1" thickTop="1" x14ac:dyDescent="0.2">
      <c r="A103" s="1631" t="s">
        <v>534</v>
      </c>
      <c r="B103" s="1628" t="s">
        <v>513</v>
      </c>
      <c r="C103" s="614"/>
      <c r="D103" s="614"/>
      <c r="E103" s="614"/>
      <c r="F103" s="614"/>
      <c r="G103" s="614"/>
      <c r="H103" s="616"/>
      <c r="I103" s="465"/>
      <c r="J103" s="465"/>
      <c r="K103" s="616"/>
      <c r="L103" s="616"/>
      <c r="M103" s="184"/>
      <c r="N103" s="184"/>
    </row>
    <row r="104" spans="1:14" s="644" customFormat="1" ht="15.75" customHeight="1" x14ac:dyDescent="0.2">
      <c r="A104" s="642" t="s">
        <v>636</v>
      </c>
      <c r="B104" s="643"/>
      <c r="C104" s="614"/>
      <c r="D104" s="614"/>
      <c r="E104" s="614"/>
      <c r="F104" s="614"/>
      <c r="G104" s="614"/>
      <c r="H104" s="621"/>
      <c r="I104" s="465"/>
      <c r="J104" s="465"/>
      <c r="K104" s="621"/>
      <c r="L104" s="621"/>
      <c r="M104" s="611"/>
      <c r="N104" s="611"/>
    </row>
    <row r="105" spans="1:14" s="595" customFormat="1" x14ac:dyDescent="0.2">
      <c r="A105" s="1523" t="s">
        <v>89</v>
      </c>
      <c r="B105" s="612">
        <v>5110</v>
      </c>
      <c r="C105" s="614"/>
      <c r="D105" s="614"/>
      <c r="E105" s="614"/>
      <c r="F105" s="614"/>
      <c r="G105" s="614"/>
      <c r="H105" s="478"/>
      <c r="I105" s="465"/>
      <c r="J105" s="465"/>
      <c r="K105" s="1690">
        <f>H105</f>
        <v>0</v>
      </c>
      <c r="L105" s="478"/>
      <c r="M105" s="210"/>
      <c r="N105" s="210"/>
    </row>
    <row r="106" spans="1:14" s="595" customFormat="1" x14ac:dyDescent="0.2">
      <c r="A106" s="1523" t="s">
        <v>90</v>
      </c>
      <c r="B106" s="612">
        <v>5120</v>
      </c>
      <c r="C106" s="614"/>
      <c r="D106" s="614"/>
      <c r="E106" s="614"/>
      <c r="F106" s="614"/>
      <c r="G106" s="614"/>
      <c r="H106" s="463"/>
      <c r="I106" s="465"/>
      <c r="J106" s="465"/>
      <c r="K106" s="1690">
        <f>H106</f>
        <v>0</v>
      </c>
      <c r="L106" s="463"/>
      <c r="M106" s="210"/>
      <c r="N106" s="210"/>
    </row>
    <row r="107" spans="1:14" s="595" customFormat="1" ht="12.75" customHeight="1" x14ac:dyDescent="0.2">
      <c r="A107" s="1523" t="s">
        <v>1232</v>
      </c>
      <c r="B107" s="612">
        <v>5130</v>
      </c>
      <c r="C107" s="614"/>
      <c r="D107" s="614"/>
      <c r="E107" s="614"/>
      <c r="F107" s="614"/>
      <c r="G107" s="614"/>
      <c r="H107" s="463"/>
      <c r="I107" s="465"/>
      <c r="J107" s="465"/>
      <c r="K107" s="1690">
        <f>H107</f>
        <v>0</v>
      </c>
      <c r="L107" s="463"/>
      <c r="M107" s="210"/>
      <c r="N107" s="210"/>
    </row>
    <row r="108" spans="1:14" s="595" customFormat="1" x14ac:dyDescent="0.2">
      <c r="A108" s="1523" t="s">
        <v>91</v>
      </c>
      <c r="B108" s="612" t="s">
        <v>610</v>
      </c>
      <c r="C108" s="614"/>
      <c r="D108" s="614"/>
      <c r="E108" s="614"/>
      <c r="F108" s="614"/>
      <c r="G108" s="614"/>
      <c r="H108" s="463"/>
      <c r="I108" s="465"/>
      <c r="J108" s="465"/>
      <c r="K108" s="1690">
        <f>H108</f>
        <v>0</v>
      </c>
      <c r="L108" s="463"/>
      <c r="M108" s="210"/>
      <c r="N108" s="210"/>
    </row>
    <row r="109" spans="1:14" s="595" customFormat="1" x14ac:dyDescent="0.2">
      <c r="A109" s="1523" t="s">
        <v>272</v>
      </c>
      <c r="B109" s="626">
        <v>5150</v>
      </c>
      <c r="C109" s="614"/>
      <c r="D109" s="614"/>
      <c r="E109" s="614"/>
      <c r="F109" s="614"/>
      <c r="G109" s="614"/>
      <c r="H109" s="463"/>
      <c r="I109" s="465"/>
      <c r="J109" s="465"/>
      <c r="K109" s="1690">
        <f>H109</f>
        <v>0</v>
      </c>
      <c r="L109" s="463"/>
      <c r="M109" s="210"/>
      <c r="N109" s="210"/>
    </row>
    <row r="110" spans="1:14" s="595" customFormat="1" ht="12.75" customHeight="1" thickBot="1" x14ac:dyDescent="0.25">
      <c r="A110" s="1687" t="s">
        <v>1164</v>
      </c>
      <c r="B110" s="1694" t="s">
        <v>742</v>
      </c>
      <c r="C110" s="614"/>
      <c r="D110" s="614"/>
      <c r="E110" s="614"/>
      <c r="F110" s="614"/>
      <c r="G110" s="614"/>
      <c r="H110" s="1689">
        <f>SUM(H105:H109)</f>
        <v>0</v>
      </c>
      <c r="I110" s="465"/>
      <c r="J110" s="465"/>
      <c r="K110" s="1689">
        <f>SUM(K105:K109)</f>
        <v>0</v>
      </c>
      <c r="L110" s="1689">
        <f>SUM(L105:L109)</f>
        <v>0</v>
      </c>
      <c r="M110" s="210"/>
      <c r="N110" s="210"/>
    </row>
    <row r="111" spans="1:14" s="595" customFormat="1" ht="12.75" customHeight="1" thickTop="1" thickBot="1" x14ac:dyDescent="0.25">
      <c r="A111" s="1533" t="s">
        <v>386</v>
      </c>
      <c r="B111" s="645" t="s">
        <v>38</v>
      </c>
      <c r="C111" s="614"/>
      <c r="D111" s="614"/>
      <c r="E111" s="614"/>
      <c r="F111" s="614"/>
      <c r="G111" s="614"/>
      <c r="H111" s="532"/>
      <c r="I111" s="465"/>
      <c r="J111" s="465"/>
      <c r="K111" s="1702">
        <f>H111</f>
        <v>0</v>
      </c>
      <c r="L111" s="529"/>
      <c r="M111" s="210"/>
      <c r="N111" s="210"/>
    </row>
    <row r="112" spans="1:14" s="595" customFormat="1" ht="12.75" customHeight="1" thickTop="1" thickBot="1" x14ac:dyDescent="0.25">
      <c r="A112" s="1687" t="s">
        <v>659</v>
      </c>
      <c r="B112" s="1688" t="s">
        <v>513</v>
      </c>
      <c r="C112" s="614"/>
      <c r="D112" s="614"/>
      <c r="E112" s="614"/>
      <c r="F112" s="614"/>
      <c r="G112" s="614"/>
      <c r="H112" s="1689">
        <f>SUM(H110:H111)</f>
        <v>0</v>
      </c>
      <c r="I112" s="465"/>
      <c r="J112" s="465"/>
      <c r="K112" s="1689">
        <f>SUM(K110:K111)</f>
        <v>0</v>
      </c>
      <c r="L112" s="1696">
        <f>SUM(L110,L111)</f>
        <v>0</v>
      </c>
      <c r="M112" s="210"/>
      <c r="N112" s="210"/>
    </row>
    <row r="113" spans="1:14" s="257" customFormat="1" ht="15.75" customHeight="1" thickTop="1" thickBot="1" x14ac:dyDescent="0.25">
      <c r="A113" s="1625" t="s">
        <v>535</v>
      </c>
      <c r="B113" s="1632" t="s">
        <v>916</v>
      </c>
      <c r="C113" s="621"/>
      <c r="D113" s="621"/>
      <c r="E113" s="614"/>
      <c r="F113" s="614"/>
      <c r="G113" s="614"/>
      <c r="H113" s="621"/>
      <c r="I113" s="465"/>
      <c r="J113" s="465"/>
      <c r="K113" s="621"/>
      <c r="L113" s="528">
        <v>3000</v>
      </c>
      <c r="M113" s="611"/>
      <c r="N113" s="611"/>
    </row>
    <row r="114" spans="1:14" ht="12.75" customHeight="1" thickTop="1" thickBot="1" x14ac:dyDescent="0.25">
      <c r="A114" s="1687" t="s">
        <v>50</v>
      </c>
      <c r="B114" s="1701"/>
      <c r="C114" s="1689">
        <f>SUM(C33,C74,C75,C102,C112,C113)</f>
        <v>522803</v>
      </c>
      <c r="D114" s="1689">
        <f t="shared" ref="D114:K114" si="13">SUM(D33,D74,D75,D102,D112,D113)</f>
        <v>75405</v>
      </c>
      <c r="E114" s="1689">
        <f t="shared" si="13"/>
        <v>63068</v>
      </c>
      <c r="F114" s="1689">
        <f t="shared" si="13"/>
        <v>46924</v>
      </c>
      <c r="G114" s="1689">
        <f t="shared" si="13"/>
        <v>2692</v>
      </c>
      <c r="H114" s="1689">
        <f>SUM(H33,H74,H75,H102,H112,H113)</f>
        <v>0</v>
      </c>
      <c r="I114" s="1689">
        <f t="shared" si="13"/>
        <v>0</v>
      </c>
      <c r="J114" s="1689">
        <f t="shared" si="13"/>
        <v>0</v>
      </c>
      <c r="K114" s="1689">
        <f t="shared" si="13"/>
        <v>710892</v>
      </c>
      <c r="L114" s="1689">
        <f>SUM(L33,L74,L75,L102,L112,L113)</f>
        <v>758480</v>
      </c>
    </row>
    <row r="115" spans="1:14" ht="13.5" thickTop="1" x14ac:dyDescent="0.2">
      <c r="A115" s="2173" t="s">
        <v>1053</v>
      </c>
      <c r="B115" s="2174"/>
      <c r="C115" s="616"/>
      <c r="D115" s="616"/>
      <c r="E115" s="616"/>
      <c r="F115" s="616"/>
      <c r="G115" s="616"/>
      <c r="H115" s="616"/>
      <c r="I115" s="616"/>
      <c r="J115" s="616"/>
      <c r="K115" s="1703">
        <f>'Revenues 9-14'!C275-'Expenditures 15-22'!K114</f>
        <v>170632</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78" t="s">
        <v>314</v>
      </c>
      <c r="B117" s="2179"/>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4"/>
      <c r="D118" s="614"/>
      <c r="E118" s="614"/>
      <c r="F118" s="614"/>
      <c r="G118" s="614"/>
      <c r="H118" s="614"/>
      <c r="I118" s="614"/>
      <c r="J118" s="614"/>
      <c r="K118" s="614"/>
      <c r="L118" s="614"/>
    </row>
    <row r="119" spans="1:14" ht="15.75" customHeight="1" x14ac:dyDescent="0.2">
      <c r="A119" s="650" t="s">
        <v>612</v>
      </c>
      <c r="B119" s="620"/>
      <c r="C119" s="621"/>
      <c r="D119" s="621"/>
      <c r="E119" s="621"/>
      <c r="F119" s="614"/>
      <c r="G119" s="614"/>
      <c r="H119" s="621"/>
      <c r="I119" s="614"/>
      <c r="J119" s="614"/>
      <c r="K119" s="621"/>
      <c r="L119" s="621"/>
    </row>
    <row r="120" spans="1:14" ht="12.75" customHeight="1" x14ac:dyDescent="0.2">
      <c r="A120" s="1527" t="s">
        <v>167</v>
      </c>
      <c r="B120" s="626">
        <v>2190</v>
      </c>
      <c r="C120" s="463"/>
      <c r="D120" s="463"/>
      <c r="E120" s="463"/>
      <c r="F120" s="463"/>
      <c r="G120" s="463"/>
      <c r="H120" s="463"/>
      <c r="I120" s="464"/>
      <c r="J120" s="464"/>
      <c r="K120" s="1690">
        <f>SUM(C120:J120)</f>
        <v>0</v>
      </c>
      <c r="L120" s="463"/>
    </row>
    <row r="121" spans="1:14" ht="15.75" customHeight="1" x14ac:dyDescent="0.2">
      <c r="A121" s="651" t="s">
        <v>633</v>
      </c>
      <c r="B121" s="620"/>
      <c r="C121" s="518"/>
      <c r="D121" s="518"/>
      <c r="E121" s="518"/>
      <c r="F121" s="518"/>
      <c r="G121" s="518"/>
      <c r="H121" s="518"/>
      <c r="I121" s="614"/>
      <c r="J121" s="614"/>
      <c r="K121" s="621"/>
      <c r="L121" s="518"/>
    </row>
    <row r="122" spans="1:14" ht="13.5" thickBot="1" x14ac:dyDescent="0.25">
      <c r="A122" s="1523" t="s">
        <v>1128</v>
      </c>
      <c r="B122" s="612">
        <v>2510</v>
      </c>
      <c r="C122" s="463"/>
      <c r="D122" s="463"/>
      <c r="E122" s="463"/>
      <c r="F122" s="463"/>
      <c r="G122" s="463"/>
      <c r="H122" s="463"/>
      <c r="I122" s="464"/>
      <c r="J122" s="464"/>
      <c r="K122" s="1689">
        <f>SUM(C122:J122)</f>
        <v>0</v>
      </c>
      <c r="L122" s="463"/>
    </row>
    <row r="123" spans="1:14" ht="14.25" thickTop="1" thickBot="1" x14ac:dyDescent="0.25">
      <c r="A123" s="1523" t="s">
        <v>4</v>
      </c>
      <c r="B123" s="612">
        <v>2530</v>
      </c>
      <c r="C123" s="463"/>
      <c r="D123" s="463"/>
      <c r="E123" s="463"/>
      <c r="F123" s="463"/>
      <c r="G123" s="463"/>
      <c r="H123" s="463"/>
      <c r="I123" s="464"/>
      <c r="J123" s="464"/>
      <c r="K123" s="1689">
        <f>SUM(C123:J123)</f>
        <v>0</v>
      </c>
      <c r="L123" s="463"/>
    </row>
    <row r="124" spans="1:14" ht="14.25" thickTop="1" thickBot="1" x14ac:dyDescent="0.25">
      <c r="A124" s="1523" t="s">
        <v>206</v>
      </c>
      <c r="B124" s="612">
        <v>2540</v>
      </c>
      <c r="C124" s="463"/>
      <c r="D124" s="463"/>
      <c r="E124" s="463"/>
      <c r="F124" s="463"/>
      <c r="G124" s="463"/>
      <c r="H124" s="463"/>
      <c r="I124" s="464"/>
      <c r="J124" s="464"/>
      <c r="K124" s="1689">
        <f>SUM(C124:J124)</f>
        <v>0</v>
      </c>
      <c r="L124" s="463"/>
    </row>
    <row r="125" spans="1:14" ht="14.25" thickTop="1" thickBot="1" x14ac:dyDescent="0.25">
      <c r="A125" s="1523" t="s">
        <v>1010</v>
      </c>
      <c r="B125" s="612">
        <v>2550</v>
      </c>
      <c r="C125" s="463"/>
      <c r="D125" s="463"/>
      <c r="E125" s="463"/>
      <c r="F125" s="463"/>
      <c r="G125" s="463"/>
      <c r="H125" s="463"/>
      <c r="I125" s="464"/>
      <c r="J125" s="464"/>
      <c r="K125" s="1689">
        <f>SUM(C125:J125)</f>
        <v>0</v>
      </c>
      <c r="L125" s="463"/>
    </row>
    <row r="126" spans="1:14" ht="14.25" thickTop="1" thickBot="1" x14ac:dyDescent="0.25">
      <c r="A126" s="1523" t="s">
        <v>102</v>
      </c>
      <c r="B126" s="612">
        <v>2560</v>
      </c>
      <c r="C126" s="652"/>
      <c r="D126" s="652"/>
      <c r="E126" s="652"/>
      <c r="F126" s="652"/>
      <c r="G126" s="463"/>
      <c r="H126" s="652"/>
      <c r="I126" s="471"/>
      <c r="J126" s="614"/>
      <c r="K126" s="1689">
        <f>SUM(C126:J126)</f>
        <v>0</v>
      </c>
      <c r="L126" s="463"/>
    </row>
    <row r="127" spans="1:14" ht="12.75" customHeight="1" thickTop="1" thickBot="1" x14ac:dyDescent="0.25">
      <c r="A127" s="1687" t="s">
        <v>743</v>
      </c>
      <c r="B127" s="1688" t="s">
        <v>35</v>
      </c>
      <c r="C127" s="1689">
        <f>SUM(C122:C126)</f>
        <v>0</v>
      </c>
      <c r="D127" s="1689">
        <f t="shared" ref="D127:L127" si="14">SUM(D122:D126)</f>
        <v>0</v>
      </c>
      <c r="E127" s="1689">
        <f t="shared" si="14"/>
        <v>0</v>
      </c>
      <c r="F127" s="1689">
        <f t="shared" si="14"/>
        <v>0</v>
      </c>
      <c r="G127" s="1689">
        <f t="shared" si="14"/>
        <v>0</v>
      </c>
      <c r="H127" s="1689">
        <f t="shared" si="14"/>
        <v>0</v>
      </c>
      <c r="I127" s="1689">
        <f t="shared" si="14"/>
        <v>0</v>
      </c>
      <c r="J127" s="1689">
        <f t="shared" si="14"/>
        <v>0</v>
      </c>
      <c r="K127" s="1689">
        <f t="shared" si="14"/>
        <v>0</v>
      </c>
      <c r="L127" s="1689">
        <f t="shared" si="14"/>
        <v>0</v>
      </c>
    </row>
    <row r="128" spans="1:14" ht="12.75" customHeight="1" thickTop="1" x14ac:dyDescent="0.2">
      <c r="A128" s="1530" t="s">
        <v>1037</v>
      </c>
      <c r="B128" s="653" t="s">
        <v>595</v>
      </c>
      <c r="C128" s="654"/>
      <c r="D128" s="654"/>
      <c r="E128" s="654"/>
      <c r="F128" s="654"/>
      <c r="G128" s="654"/>
      <c r="H128" s="654"/>
      <c r="I128" s="532"/>
      <c r="J128" s="532"/>
      <c r="K128" s="1704">
        <f>SUM(C128:J128)</f>
        <v>0</v>
      </c>
      <c r="L128" s="654"/>
    </row>
    <row r="129" spans="1:14" ht="12.75" customHeight="1" thickBot="1" x14ac:dyDescent="0.25">
      <c r="A129" s="1705" t="s">
        <v>865</v>
      </c>
      <c r="B129" s="1706" t="s">
        <v>590</v>
      </c>
      <c r="C129" s="1696">
        <f>SUM(C120,C127,C128)</f>
        <v>0</v>
      </c>
      <c r="D129" s="1696">
        <f t="shared" ref="D129:L129" si="15">SUM(D120,D127,D128)</f>
        <v>0</v>
      </c>
      <c r="E129" s="1696">
        <f t="shared" si="15"/>
        <v>0</v>
      </c>
      <c r="F129" s="1696">
        <f t="shared" si="15"/>
        <v>0</v>
      </c>
      <c r="G129" s="1696">
        <f t="shared" si="15"/>
        <v>0</v>
      </c>
      <c r="H129" s="1696">
        <f t="shared" si="15"/>
        <v>0</v>
      </c>
      <c r="I129" s="1696">
        <f t="shared" si="15"/>
        <v>0</v>
      </c>
      <c r="J129" s="1696">
        <f t="shared" si="15"/>
        <v>0</v>
      </c>
      <c r="K129" s="1696">
        <f t="shared" si="15"/>
        <v>0</v>
      </c>
      <c r="L129" s="1696">
        <f t="shared" si="15"/>
        <v>0</v>
      </c>
    </row>
    <row r="130" spans="1:14" ht="15.75" customHeight="1" thickTop="1" thickBot="1" x14ac:dyDescent="0.25">
      <c r="A130" s="1629" t="s">
        <v>1096</v>
      </c>
      <c r="B130" s="1630" t="s">
        <v>596</v>
      </c>
      <c r="C130" s="573"/>
      <c r="D130" s="573"/>
      <c r="E130" s="573"/>
      <c r="F130" s="573"/>
      <c r="G130" s="573"/>
      <c r="H130" s="573"/>
      <c r="I130" s="528"/>
      <c r="J130" s="528"/>
      <c r="K130" s="1689">
        <f>SUM(C130:J130)</f>
        <v>0</v>
      </c>
      <c r="L130" s="573"/>
    </row>
    <row r="131" spans="1:14" ht="15.75" customHeight="1" thickTop="1" x14ac:dyDescent="0.2">
      <c r="A131" s="1635" t="s">
        <v>637</v>
      </c>
      <c r="B131" s="1628" t="s">
        <v>915</v>
      </c>
      <c r="C131" s="465"/>
      <c r="D131" s="465"/>
      <c r="E131" s="563"/>
      <c r="F131" s="465"/>
      <c r="G131" s="465"/>
      <c r="H131" s="563"/>
      <c r="I131" s="465"/>
      <c r="J131" s="465"/>
      <c r="K131" s="563"/>
      <c r="L131" s="563"/>
    </row>
    <row r="132" spans="1:14" s="381" customFormat="1" ht="13.5" customHeight="1" x14ac:dyDescent="0.2">
      <c r="A132" s="655" t="s">
        <v>635</v>
      </c>
      <c r="B132" s="656"/>
      <c r="C132" s="465"/>
      <c r="D132" s="465"/>
      <c r="E132" s="518"/>
      <c r="F132" s="465"/>
      <c r="G132" s="465"/>
      <c r="H132" s="518"/>
      <c r="I132" s="465"/>
      <c r="J132" s="465"/>
      <c r="K132" s="518"/>
      <c r="L132" s="518"/>
      <c r="M132" s="206"/>
      <c r="N132" s="206"/>
    </row>
    <row r="133" spans="1:14" s="381" customFormat="1" ht="13.5" customHeight="1" x14ac:dyDescent="0.2">
      <c r="A133" s="1509" t="s">
        <v>517</v>
      </c>
      <c r="B133" s="1861" t="s">
        <v>1942</v>
      </c>
      <c r="C133" s="465"/>
      <c r="D133" s="465"/>
      <c r="E133" s="639"/>
      <c r="F133" s="465"/>
      <c r="G133" s="465"/>
      <c r="H133" s="639"/>
      <c r="I133" s="465"/>
      <c r="J133" s="465"/>
      <c r="K133" s="1841">
        <f>SUM(E133,H133)</f>
        <v>0</v>
      </c>
      <c r="L133" s="639"/>
      <c r="M133" s="206"/>
      <c r="N133" s="206"/>
    </row>
    <row r="134" spans="1:14" x14ac:dyDescent="0.2">
      <c r="A134" s="1523" t="s">
        <v>322</v>
      </c>
      <c r="B134" s="612">
        <v>4120</v>
      </c>
      <c r="C134" s="614"/>
      <c r="D134" s="614"/>
      <c r="E134" s="475"/>
      <c r="F134" s="614"/>
      <c r="G134" s="614"/>
      <c r="H134" s="478"/>
      <c r="I134" s="474"/>
      <c r="J134" s="614"/>
      <c r="K134" s="1691">
        <f>SUM(E134,H134)</f>
        <v>0</v>
      </c>
      <c r="L134" s="478"/>
    </row>
    <row r="135" spans="1:14" x14ac:dyDescent="0.2">
      <c r="A135" s="1523" t="s">
        <v>721</v>
      </c>
      <c r="B135" s="612">
        <v>4140</v>
      </c>
      <c r="C135" s="614"/>
      <c r="D135" s="614"/>
      <c r="E135" s="464"/>
      <c r="F135" s="614"/>
      <c r="G135" s="614"/>
      <c r="H135" s="463"/>
      <c r="I135" s="474"/>
      <c r="J135" s="614"/>
      <c r="K135" s="1691">
        <f>SUM(E135,H135)</f>
        <v>0</v>
      </c>
      <c r="L135" s="463"/>
    </row>
    <row r="136" spans="1:14" x14ac:dyDescent="0.2">
      <c r="A136" s="1527" t="s">
        <v>722</v>
      </c>
      <c r="B136" s="626">
        <v>4190</v>
      </c>
      <c r="C136" s="614"/>
      <c r="D136" s="614"/>
      <c r="E136" s="464"/>
      <c r="F136" s="614"/>
      <c r="G136" s="614"/>
      <c r="H136" s="463"/>
      <c r="I136" s="474"/>
      <c r="J136" s="614"/>
      <c r="K136" s="1691">
        <f>SUM(E136,H136)</f>
        <v>0</v>
      </c>
      <c r="L136" s="463"/>
    </row>
    <row r="137" spans="1:14" ht="12.75" customHeight="1" thickBot="1" x14ac:dyDescent="0.25">
      <c r="A137" s="1687" t="s">
        <v>501</v>
      </c>
      <c r="B137" s="1697">
        <v>4100</v>
      </c>
      <c r="C137" s="614"/>
      <c r="D137" s="614"/>
      <c r="E137" s="1689">
        <f>SUM(E133:E136)</f>
        <v>0</v>
      </c>
      <c r="F137" s="614"/>
      <c r="G137" s="614"/>
      <c r="H137" s="1689">
        <f>SUM(H133:H136)</f>
        <v>0</v>
      </c>
      <c r="I137" s="474"/>
      <c r="J137" s="614"/>
      <c r="K137" s="1689">
        <f>SUM(K133:K136)</f>
        <v>0</v>
      </c>
      <c r="L137" s="1689">
        <f>SUM(L133:L136)</f>
        <v>0</v>
      </c>
    </row>
    <row r="138" spans="1:14" ht="12.75" customHeight="1" thickTop="1" thickBot="1" x14ac:dyDescent="0.25">
      <c r="A138" s="1529" t="s">
        <v>98</v>
      </c>
      <c r="B138" s="641" t="s">
        <v>988</v>
      </c>
      <c r="C138" s="614"/>
      <c r="D138" s="614"/>
      <c r="E138" s="476"/>
      <c r="F138" s="614"/>
      <c r="G138" s="614"/>
      <c r="H138" s="573"/>
      <c r="I138" s="474"/>
      <c r="J138" s="614"/>
      <c r="K138" s="1691">
        <f>SUM(E138,H138)</f>
        <v>0</v>
      </c>
      <c r="L138" s="573"/>
    </row>
    <row r="139" spans="1:14" ht="12.75" customHeight="1" thickTop="1" thickBot="1" x14ac:dyDescent="0.25">
      <c r="A139" s="1687" t="s">
        <v>1567</v>
      </c>
      <c r="B139" s="1697">
        <v>4000</v>
      </c>
      <c r="C139" s="614"/>
      <c r="D139" s="614"/>
      <c r="E139" s="1689">
        <f>SUM(E137,E138)</f>
        <v>0</v>
      </c>
      <c r="F139" s="614"/>
      <c r="G139" s="614"/>
      <c r="H139" s="1698">
        <f>SUM(H137:H138)</f>
        <v>0</v>
      </c>
      <c r="I139" s="474"/>
      <c r="J139" s="614"/>
      <c r="K139" s="1691">
        <f>SUM(K137,K138)</f>
        <v>0</v>
      </c>
      <c r="L139" s="1698">
        <f>SUM(L137,L138)</f>
        <v>0</v>
      </c>
    </row>
    <row r="140" spans="1:14" ht="15.75" customHeight="1" thickTop="1" x14ac:dyDescent="0.2">
      <c r="A140" s="1631" t="s">
        <v>1097</v>
      </c>
      <c r="B140" s="1632" t="s">
        <v>513</v>
      </c>
      <c r="C140" s="614"/>
      <c r="D140" s="614"/>
      <c r="E140" s="636"/>
      <c r="F140" s="636"/>
      <c r="G140" s="636"/>
      <c r="H140" s="634"/>
      <c r="I140" s="474"/>
      <c r="J140" s="636"/>
      <c r="K140" s="634"/>
      <c r="L140" s="634"/>
    </row>
    <row r="141" spans="1:14" ht="15.75" customHeight="1" x14ac:dyDescent="0.2">
      <c r="A141" s="651" t="s">
        <v>636</v>
      </c>
      <c r="B141" s="620"/>
      <c r="C141" s="614"/>
      <c r="D141" s="614"/>
      <c r="E141" s="614"/>
      <c r="F141" s="614"/>
      <c r="G141" s="614"/>
      <c r="H141" s="621"/>
      <c r="I141" s="465"/>
      <c r="J141" s="614"/>
      <c r="K141" s="621"/>
      <c r="L141" s="621"/>
    </row>
    <row r="142" spans="1:14" x14ac:dyDescent="0.2">
      <c r="A142" s="1523" t="s">
        <v>89</v>
      </c>
      <c r="B142" s="612">
        <v>5110</v>
      </c>
      <c r="C142" s="614"/>
      <c r="D142" s="614"/>
      <c r="E142" s="614"/>
      <c r="F142" s="614"/>
      <c r="G142" s="614"/>
      <c r="H142" s="478"/>
      <c r="I142" s="465"/>
      <c r="J142" s="614"/>
      <c r="K142" s="1691">
        <f>SUM(H142)</f>
        <v>0</v>
      </c>
      <c r="L142" s="478"/>
    </row>
    <row r="143" spans="1:14" x14ac:dyDescent="0.2">
      <c r="A143" s="1523" t="s">
        <v>90</v>
      </c>
      <c r="B143" s="612">
        <v>5120</v>
      </c>
      <c r="C143" s="614"/>
      <c r="D143" s="614"/>
      <c r="E143" s="614"/>
      <c r="F143" s="614"/>
      <c r="G143" s="614"/>
      <c r="H143" s="463"/>
      <c r="I143" s="465"/>
      <c r="J143" s="614"/>
      <c r="K143" s="1691">
        <f>SUM(H143)</f>
        <v>0</v>
      </c>
      <c r="L143" s="463"/>
    </row>
    <row r="144" spans="1:14" ht="12.75" customHeight="1" x14ac:dyDescent="0.2">
      <c r="A144" s="1523" t="s">
        <v>1232</v>
      </c>
      <c r="B144" s="626" t="s">
        <v>638</v>
      </c>
      <c r="C144" s="614"/>
      <c r="D144" s="614"/>
      <c r="E144" s="614"/>
      <c r="F144" s="614"/>
      <c r="G144" s="614"/>
      <c r="H144" s="463"/>
      <c r="I144" s="465"/>
      <c r="J144" s="614"/>
      <c r="K144" s="1691">
        <f>SUM(H144)</f>
        <v>0</v>
      </c>
      <c r="L144" s="463"/>
    </row>
    <row r="145" spans="1:14" x14ac:dyDescent="0.2">
      <c r="A145" s="1523" t="s">
        <v>91</v>
      </c>
      <c r="B145" s="612" t="s">
        <v>610</v>
      </c>
      <c r="C145" s="614"/>
      <c r="D145" s="614"/>
      <c r="E145" s="614"/>
      <c r="F145" s="614"/>
      <c r="G145" s="614"/>
      <c r="H145" s="463"/>
      <c r="I145" s="465"/>
      <c r="J145" s="614"/>
      <c r="K145" s="1691">
        <f>SUM(H145)</f>
        <v>0</v>
      </c>
      <c r="L145" s="463"/>
    </row>
    <row r="146" spans="1:14" ht="12.75" customHeight="1" x14ac:dyDescent="0.2">
      <c r="A146" s="1523" t="s">
        <v>640</v>
      </c>
      <c r="B146" s="612" t="s">
        <v>639</v>
      </c>
      <c r="C146" s="614"/>
      <c r="D146" s="614"/>
      <c r="E146" s="614"/>
      <c r="F146" s="614"/>
      <c r="G146" s="614"/>
      <c r="H146" s="463"/>
      <c r="I146" s="465"/>
      <c r="J146" s="614"/>
      <c r="K146" s="1691">
        <f>SUM(H146)</f>
        <v>0</v>
      </c>
      <c r="L146" s="463"/>
    </row>
    <row r="147" spans="1:14" ht="12.75" customHeight="1" thickBot="1" x14ac:dyDescent="0.25">
      <c r="A147" s="1534" t="s">
        <v>647</v>
      </c>
      <c r="B147" s="657" t="s">
        <v>742</v>
      </c>
      <c r="C147" s="614"/>
      <c r="D147" s="614"/>
      <c r="E147" s="614"/>
      <c r="F147" s="614"/>
      <c r="G147" s="614"/>
      <c r="H147" s="1707">
        <f>SUM(H142:H146)</f>
        <v>0</v>
      </c>
      <c r="I147" s="465"/>
      <c r="J147" s="614"/>
      <c r="K147" s="1689">
        <f>SUM(K142:K146)</f>
        <v>0</v>
      </c>
      <c r="L147" s="1707">
        <f>SUM(L142:L146)</f>
        <v>0</v>
      </c>
    </row>
    <row r="148" spans="1:14" ht="15.75" customHeight="1" thickTop="1" x14ac:dyDescent="0.2">
      <c r="A148" s="658" t="s">
        <v>1165</v>
      </c>
      <c r="B148" s="659" t="s">
        <v>38</v>
      </c>
      <c r="C148" s="614"/>
      <c r="D148" s="614"/>
      <c r="E148" s="614"/>
      <c r="F148" s="614"/>
      <c r="G148" s="614"/>
      <c r="H148" s="476"/>
      <c r="I148" s="465"/>
      <c r="J148" s="614"/>
      <c r="K148" s="1691">
        <f>SUM(H148)</f>
        <v>0</v>
      </c>
      <c r="L148" s="489"/>
    </row>
    <row r="149" spans="1:14" ht="12.75" customHeight="1" thickBot="1" x14ac:dyDescent="0.25">
      <c r="A149" s="1526" t="s">
        <v>659</v>
      </c>
      <c r="B149" s="615" t="s">
        <v>513</v>
      </c>
      <c r="C149" s="614"/>
      <c r="D149" s="614"/>
      <c r="E149" s="614"/>
      <c r="F149" s="614"/>
      <c r="G149" s="614"/>
      <c r="H149" s="1689">
        <f>SUM(H147,H148)</f>
        <v>0</v>
      </c>
      <c r="I149" s="465"/>
      <c r="J149" s="614"/>
      <c r="K149" s="1689">
        <f>SUM(K147:K148)</f>
        <v>0</v>
      </c>
      <c r="L149" s="1689">
        <f>SUM(L142:L146,L148)</f>
        <v>0</v>
      </c>
    </row>
    <row r="150" spans="1:14" ht="15.75" customHeight="1" thickTop="1" thickBot="1" x14ac:dyDescent="0.25">
      <c r="A150" s="1625" t="s">
        <v>1098</v>
      </c>
      <c r="B150" s="1632" t="s">
        <v>916</v>
      </c>
      <c r="C150" s="614"/>
      <c r="D150" s="614"/>
      <c r="E150" s="614"/>
      <c r="F150" s="614"/>
      <c r="G150" s="614"/>
      <c r="H150" s="660"/>
      <c r="I150" s="518"/>
      <c r="J150" s="614"/>
      <c r="K150" s="621"/>
      <c r="L150" s="570"/>
    </row>
    <row r="151" spans="1:14" ht="12.75" customHeight="1" thickTop="1" thickBot="1" x14ac:dyDescent="0.25">
      <c r="A151" s="2190" t="s">
        <v>641</v>
      </c>
      <c r="B151" s="2170"/>
      <c r="C151" s="1689">
        <f>SUM(C129,C130,C139,C149,C150)</f>
        <v>0</v>
      </c>
      <c r="D151" s="1689">
        <f t="shared" ref="D151:K151" si="16">SUM(D129,D130,D139,D149,D150)</f>
        <v>0</v>
      </c>
      <c r="E151" s="1689">
        <f t="shared" si="16"/>
        <v>0</v>
      </c>
      <c r="F151" s="1689">
        <f t="shared" si="16"/>
        <v>0</v>
      </c>
      <c r="G151" s="1689">
        <f t="shared" si="16"/>
        <v>0</v>
      </c>
      <c r="H151" s="1689">
        <f t="shared" si="16"/>
        <v>0</v>
      </c>
      <c r="I151" s="1689">
        <f t="shared" si="16"/>
        <v>0</v>
      </c>
      <c r="J151" s="1689">
        <f t="shared" si="16"/>
        <v>0</v>
      </c>
      <c r="K151" s="1689">
        <f t="shared" si="16"/>
        <v>0</v>
      </c>
      <c r="L151" s="1689">
        <f>SUM(L129,L130,L139,L149,L150)</f>
        <v>0</v>
      </c>
    </row>
    <row r="152" spans="1:14" ht="12.75" customHeight="1" thickTop="1" x14ac:dyDescent="0.2">
      <c r="A152" s="2193" t="s">
        <v>1240</v>
      </c>
      <c r="B152" s="2194"/>
      <c r="C152" s="616"/>
      <c r="D152" s="616"/>
      <c r="E152" s="616"/>
      <c r="F152" s="616"/>
      <c r="G152" s="616"/>
      <c r="H152" s="616"/>
      <c r="I152" s="616"/>
      <c r="J152" s="614"/>
      <c r="K152" s="1703">
        <f>'Revenues 9-14'!D275-'Expenditures 15-22'!K151</f>
        <v>0</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78" t="s">
        <v>642</v>
      </c>
      <c r="B154" s="2180"/>
      <c r="C154" s="1645"/>
      <c r="D154" s="1646"/>
      <c r="E154" s="1646"/>
      <c r="F154" s="1646"/>
      <c r="G154" s="1646"/>
      <c r="H154" s="1646"/>
      <c r="I154" s="1646"/>
      <c r="J154" s="1646"/>
      <c r="K154" s="1646"/>
      <c r="L154" s="1647"/>
      <c r="M154" s="665"/>
      <c r="N154" s="665"/>
    </row>
    <row r="155" spans="1:14" s="618" customFormat="1" ht="15.75" customHeight="1" thickBot="1" x14ac:dyDescent="0.25">
      <c r="A155" s="1636" t="s">
        <v>83</v>
      </c>
      <c r="B155" s="1637" t="s">
        <v>915</v>
      </c>
      <c r="C155" s="614"/>
      <c r="D155" s="614"/>
      <c r="E155" s="614"/>
      <c r="F155" s="614"/>
      <c r="G155" s="614"/>
      <c r="H155" s="1862"/>
      <c r="I155" s="614"/>
      <c r="J155" s="614"/>
      <c r="K155" s="1845"/>
      <c r="L155" s="1862"/>
      <c r="M155" s="617"/>
      <c r="N155" s="617"/>
    </row>
    <row r="156" spans="1:14" s="618" customFormat="1" ht="15.75" customHeight="1" thickTop="1" x14ac:dyDescent="0.2">
      <c r="A156" s="1842" t="s">
        <v>1943</v>
      </c>
      <c r="B156" s="1843"/>
      <c r="C156" s="614"/>
      <c r="D156" s="614"/>
      <c r="E156" s="614"/>
      <c r="F156" s="614"/>
      <c r="G156" s="614"/>
      <c r="H156" s="1863"/>
      <c r="I156" s="614"/>
      <c r="J156" s="614"/>
      <c r="K156" s="1844"/>
      <c r="L156" s="1863"/>
      <c r="M156" s="617"/>
      <c r="N156" s="617"/>
    </row>
    <row r="157" spans="1:14" s="618" customFormat="1" ht="12" x14ac:dyDescent="0.2">
      <c r="A157" s="1846" t="s">
        <v>517</v>
      </c>
      <c r="B157" s="1847" t="s">
        <v>1942</v>
      </c>
      <c r="C157" s="614"/>
      <c r="D157" s="614"/>
      <c r="E157" s="614"/>
      <c r="F157" s="614"/>
      <c r="G157" s="614"/>
      <c r="H157" s="639"/>
      <c r="I157" s="614"/>
      <c r="J157" s="614"/>
      <c r="K157" s="1690">
        <f>H157</f>
        <v>0</v>
      </c>
      <c r="L157" s="464"/>
      <c r="M157" s="617"/>
      <c r="N157" s="617"/>
    </row>
    <row r="158" spans="1:14" s="618" customFormat="1" ht="12" x14ac:dyDescent="0.2">
      <c r="A158" s="1846" t="s">
        <v>322</v>
      </c>
      <c r="B158" s="1847" t="s">
        <v>1944</v>
      </c>
      <c r="C158" s="614"/>
      <c r="D158" s="614"/>
      <c r="E158" s="614"/>
      <c r="F158" s="614"/>
      <c r="G158" s="614"/>
      <c r="H158" s="464"/>
      <c r="I158" s="614"/>
      <c r="J158" s="614"/>
      <c r="K158" s="1690">
        <f>H158</f>
        <v>0</v>
      </c>
      <c r="L158" s="464"/>
      <c r="M158" s="617"/>
      <c r="N158" s="617"/>
    </row>
    <row r="159" spans="1:14" s="618" customFormat="1" ht="12" x14ac:dyDescent="0.2">
      <c r="A159" s="1846" t="s">
        <v>1945</v>
      </c>
      <c r="B159" s="1847" t="s">
        <v>579</v>
      </c>
      <c r="C159" s="614"/>
      <c r="D159" s="614"/>
      <c r="E159" s="614"/>
      <c r="F159" s="614"/>
      <c r="G159" s="614"/>
      <c r="H159" s="464"/>
      <c r="I159" s="614"/>
      <c r="J159" s="614"/>
      <c r="K159" s="1690">
        <f>H159</f>
        <v>0</v>
      </c>
      <c r="L159" s="464"/>
      <c r="M159" s="617"/>
      <c r="N159" s="617"/>
    </row>
    <row r="160" spans="1:14" s="618" customFormat="1" ht="15.75" customHeight="1" thickBot="1" x14ac:dyDescent="0.25">
      <c r="A160" s="1848" t="s">
        <v>1946</v>
      </c>
      <c r="B160" s="1849" t="s">
        <v>915</v>
      </c>
      <c r="C160" s="614"/>
      <c r="D160" s="614"/>
      <c r="E160" s="614"/>
      <c r="F160" s="614"/>
      <c r="G160" s="614"/>
      <c r="H160" s="1707">
        <f>SUM(H157:H159)</f>
        <v>0</v>
      </c>
      <c r="I160" s="614"/>
      <c r="J160" s="614"/>
      <c r="K160" s="1689">
        <f>SUM(K157:K159)</f>
        <v>0</v>
      </c>
      <c r="L160" s="1707">
        <f>SUM(L157:L159)</f>
        <v>0</v>
      </c>
      <c r="M160" s="617"/>
      <c r="N160" s="617"/>
    </row>
    <row r="161" spans="1:14" s="257" customFormat="1" ht="15.75" customHeight="1" thickTop="1" x14ac:dyDescent="0.2">
      <c r="A161" s="1631" t="s">
        <v>84</v>
      </c>
      <c r="B161" s="1632" t="s">
        <v>513</v>
      </c>
      <c r="C161" s="614"/>
      <c r="D161" s="614"/>
      <c r="E161" s="614"/>
      <c r="F161" s="614"/>
      <c r="G161" s="614"/>
      <c r="H161" s="614"/>
      <c r="I161" s="614"/>
      <c r="J161" s="614"/>
      <c r="K161" s="614"/>
      <c r="L161" s="614"/>
      <c r="M161" s="611"/>
      <c r="N161" s="611"/>
    </row>
    <row r="162" spans="1:14" s="257" customFormat="1" ht="15.75" customHeight="1" x14ac:dyDescent="0.2">
      <c r="A162" s="651" t="s">
        <v>636</v>
      </c>
      <c r="B162" s="620"/>
      <c r="C162" s="614"/>
      <c r="D162" s="614"/>
      <c r="E162" s="614"/>
      <c r="F162" s="614"/>
      <c r="G162" s="614"/>
      <c r="H162" s="614"/>
      <c r="I162" s="614"/>
      <c r="J162" s="614"/>
      <c r="K162" s="621"/>
      <c r="L162" s="621"/>
      <c r="M162" s="611"/>
      <c r="N162" s="611"/>
    </row>
    <row r="163" spans="1:14" x14ac:dyDescent="0.2">
      <c r="A163" s="1523" t="s">
        <v>89</v>
      </c>
      <c r="B163" s="612">
        <v>5110</v>
      </c>
      <c r="C163" s="614"/>
      <c r="D163" s="614"/>
      <c r="E163" s="614"/>
      <c r="F163" s="614"/>
      <c r="G163" s="614"/>
      <c r="H163" s="463"/>
      <c r="I163" s="614"/>
      <c r="J163" s="614"/>
      <c r="K163" s="1690">
        <f>SUM(C163:J163)</f>
        <v>0</v>
      </c>
      <c r="L163" s="463"/>
    </row>
    <row r="164" spans="1:14" x14ac:dyDescent="0.2">
      <c r="A164" s="1523" t="s">
        <v>90</v>
      </c>
      <c r="B164" s="612">
        <v>5120</v>
      </c>
      <c r="C164" s="614"/>
      <c r="D164" s="614"/>
      <c r="E164" s="614"/>
      <c r="F164" s="614"/>
      <c r="G164" s="614"/>
      <c r="H164" s="463"/>
      <c r="I164" s="614"/>
      <c r="J164" s="614"/>
      <c r="K164" s="1690">
        <f>SUM(C164:J164)</f>
        <v>0</v>
      </c>
      <c r="L164" s="463"/>
    </row>
    <row r="165" spans="1:14" ht="12.75" customHeight="1" x14ac:dyDescent="0.2">
      <c r="A165" s="1523" t="s">
        <v>1232</v>
      </c>
      <c r="B165" s="612" t="s">
        <v>638</v>
      </c>
      <c r="C165" s="614"/>
      <c r="D165" s="614"/>
      <c r="E165" s="614"/>
      <c r="F165" s="614"/>
      <c r="G165" s="614"/>
      <c r="H165" s="463"/>
      <c r="I165" s="614"/>
      <c r="J165" s="614"/>
      <c r="K165" s="1690">
        <f>SUM(C165:J165)</f>
        <v>0</v>
      </c>
      <c r="L165" s="463"/>
    </row>
    <row r="166" spans="1:14" x14ac:dyDescent="0.2">
      <c r="A166" s="1523" t="s">
        <v>91</v>
      </c>
      <c r="B166" s="626" t="s">
        <v>610</v>
      </c>
      <c r="C166" s="614"/>
      <c r="D166" s="614"/>
      <c r="E166" s="614"/>
      <c r="F166" s="614"/>
      <c r="G166" s="614"/>
      <c r="H166" s="463"/>
      <c r="I166" s="614"/>
      <c r="J166" s="614"/>
      <c r="K166" s="1690">
        <f>SUM(C166:J166)</f>
        <v>0</v>
      </c>
      <c r="L166" s="463"/>
    </row>
    <row r="167" spans="1:14" ht="12.75" customHeight="1" x14ac:dyDescent="0.2">
      <c r="A167" s="1523" t="s">
        <v>640</v>
      </c>
      <c r="B167" s="612" t="s">
        <v>639</v>
      </c>
      <c r="C167" s="614"/>
      <c r="D167" s="614"/>
      <c r="E167" s="614"/>
      <c r="F167" s="614"/>
      <c r="G167" s="614"/>
      <c r="H167" s="463"/>
      <c r="I167" s="614"/>
      <c r="J167" s="614"/>
      <c r="K167" s="1690">
        <f>SUM(C167:J167)</f>
        <v>0</v>
      </c>
      <c r="L167" s="463"/>
    </row>
    <row r="168" spans="1:14" ht="13.5" thickBot="1" x14ac:dyDescent="0.25">
      <c r="A168" s="1687" t="s">
        <v>294</v>
      </c>
      <c r="B168" s="1694" t="s">
        <v>742</v>
      </c>
      <c r="C168" s="614"/>
      <c r="D168" s="614"/>
      <c r="E168" s="614"/>
      <c r="F168" s="614"/>
      <c r="G168" s="614"/>
      <c r="H168" s="1689">
        <f>SUM(H163:H167)</f>
        <v>0</v>
      </c>
      <c r="I168" s="614"/>
      <c r="J168" s="614"/>
      <c r="K168" s="1689">
        <f>SUM(K163:K167)</f>
        <v>0</v>
      </c>
      <c r="L168" s="1689">
        <f>SUM(L163:L167)</f>
        <v>0</v>
      </c>
    </row>
    <row r="169" spans="1:14" ht="15.75" customHeight="1" thickTop="1" x14ac:dyDescent="0.2">
      <c r="A169" s="667" t="s">
        <v>85</v>
      </c>
      <c r="B169" s="668" t="s">
        <v>38</v>
      </c>
      <c r="C169" s="614"/>
      <c r="D169" s="614"/>
      <c r="E169" s="614"/>
      <c r="F169" s="614"/>
      <c r="G169" s="614"/>
      <c r="H169" s="654"/>
      <c r="I169" s="614"/>
      <c r="J169" s="614"/>
      <c r="K169" s="1690">
        <f>SUM(C169:H169)</f>
        <v>0</v>
      </c>
      <c r="L169" s="654"/>
    </row>
    <row r="170" spans="1:14" ht="33.75" customHeight="1" x14ac:dyDescent="0.2">
      <c r="A170" s="667" t="s">
        <v>1755</v>
      </c>
      <c r="B170" s="669" t="s">
        <v>31</v>
      </c>
      <c r="C170" s="614"/>
      <c r="D170" s="614"/>
      <c r="E170" s="614"/>
      <c r="F170" s="614"/>
      <c r="G170" s="614"/>
      <c r="H170" s="566"/>
      <c r="I170" s="614"/>
      <c r="J170" s="614"/>
      <c r="K170" s="1690">
        <f>SUM(C170:J170)</f>
        <v>0</v>
      </c>
      <c r="L170" s="566"/>
    </row>
    <row r="171" spans="1:14" ht="15.75" customHeight="1" x14ac:dyDescent="0.2">
      <c r="A171" s="619" t="s">
        <v>790</v>
      </c>
      <c r="B171" s="670" t="s">
        <v>86</v>
      </c>
      <c r="C171" s="614"/>
      <c r="D171" s="614"/>
      <c r="E171" s="463"/>
      <c r="F171" s="614"/>
      <c r="G171" s="614"/>
      <c r="H171" s="566"/>
      <c r="I171" s="474"/>
      <c r="J171" s="614"/>
      <c r="K171" s="1690">
        <f>SUM(C171:J171)</f>
        <v>0</v>
      </c>
      <c r="L171" s="566"/>
    </row>
    <row r="172" spans="1:14" ht="12.75" customHeight="1" thickBot="1" x14ac:dyDescent="0.25">
      <c r="A172" s="1687" t="s">
        <v>659</v>
      </c>
      <c r="B172" s="1688" t="s">
        <v>513</v>
      </c>
      <c r="C172" s="614"/>
      <c r="D172" s="614"/>
      <c r="E172" s="1696">
        <f>SUM(E168,E169,E170,E171)</f>
        <v>0</v>
      </c>
      <c r="F172" s="614"/>
      <c r="G172" s="614"/>
      <c r="H172" s="1696">
        <f>SUM(H168,H169,H170,H171)</f>
        <v>0</v>
      </c>
      <c r="I172" s="636"/>
      <c r="J172" s="614"/>
      <c r="K172" s="1696">
        <f>SUM(K168,K169,K170,K171)</f>
        <v>0</v>
      </c>
      <c r="L172" s="1696">
        <f>SUM(L168,L169,L170,L171)</f>
        <v>0</v>
      </c>
    </row>
    <row r="173" spans="1:14" ht="15.75" customHeight="1" thickTop="1" thickBot="1" x14ac:dyDescent="0.25">
      <c r="A173" s="1638" t="s">
        <v>87</v>
      </c>
      <c r="B173" s="1630" t="s">
        <v>916</v>
      </c>
      <c r="C173" s="614"/>
      <c r="D173" s="614"/>
      <c r="E173" s="621"/>
      <c r="F173" s="614"/>
      <c r="G173" s="614"/>
      <c r="H173" s="624"/>
      <c r="I173" s="636"/>
      <c r="J173" s="614"/>
      <c r="K173" s="621"/>
      <c r="L173" s="573"/>
    </row>
    <row r="174" spans="1:14" ht="12.75" customHeight="1" thickTop="1" thickBot="1" x14ac:dyDescent="0.25">
      <c r="A174" s="1708" t="s">
        <v>92</v>
      </c>
      <c r="B174" s="1709"/>
      <c r="C174" s="614"/>
      <c r="D174" s="614"/>
      <c r="E174" s="1696">
        <f>SUM(E155,E172,E173)</f>
        <v>0</v>
      </c>
      <c r="F174" s="614"/>
      <c r="G174" s="614"/>
      <c r="H174" s="1696">
        <f>SUM(H160,H172,H173)</f>
        <v>0</v>
      </c>
      <c r="I174" s="636"/>
      <c r="J174" s="614"/>
      <c r="K174" s="1696">
        <f>SUM(K160,K172,K173)</f>
        <v>0</v>
      </c>
      <c r="L174" s="1696">
        <f>SUM(L160,L172,L173)</f>
        <v>0</v>
      </c>
    </row>
    <row r="175" spans="1:14" ht="13.5" thickTop="1" x14ac:dyDescent="0.2">
      <c r="A175" s="2173" t="s">
        <v>1053</v>
      </c>
      <c r="B175" s="2174"/>
      <c r="C175" s="614"/>
      <c r="D175" s="614"/>
      <c r="E175" s="614"/>
      <c r="F175" s="614"/>
      <c r="G175" s="614"/>
      <c r="H175" s="616"/>
      <c r="I175" s="614"/>
      <c r="J175" s="614"/>
      <c r="K175" s="1703">
        <f>'Revenues 9-14'!E275-'Expenditures 15-22'!K174</f>
        <v>0</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0" customFormat="1" ht="16.7" customHeight="1" x14ac:dyDescent="0.2">
      <c r="A177" s="1573" t="s">
        <v>994</v>
      </c>
      <c r="B177" s="1574"/>
      <c r="C177" s="1570"/>
      <c r="D177" s="1571"/>
      <c r="E177" s="1571"/>
      <c r="F177" s="1571"/>
      <c r="G177" s="1571"/>
      <c r="H177" s="1571"/>
      <c r="I177" s="1571"/>
      <c r="J177" s="1571"/>
      <c r="K177" s="1571"/>
      <c r="L177" s="1572"/>
      <c r="M177" s="607"/>
      <c r="N177" s="607"/>
    </row>
    <row r="178" spans="1:14" s="672" customFormat="1" ht="15.75" customHeight="1" x14ac:dyDescent="0.2">
      <c r="A178" s="1639" t="s">
        <v>995</v>
      </c>
      <c r="B178" s="1640"/>
      <c r="C178" s="614"/>
      <c r="D178" s="614"/>
      <c r="E178" s="614"/>
      <c r="F178" s="614"/>
      <c r="G178" s="614"/>
      <c r="H178" s="614"/>
      <c r="I178" s="614"/>
      <c r="J178" s="614"/>
      <c r="K178" s="614"/>
      <c r="L178" s="614"/>
      <c r="M178" s="663"/>
      <c r="N178" s="663"/>
    </row>
    <row r="179" spans="1:14" s="672" customFormat="1" ht="15.75" customHeight="1" x14ac:dyDescent="0.2">
      <c r="A179" s="673" t="s">
        <v>612</v>
      </c>
      <c r="B179" s="620"/>
      <c r="C179" s="621"/>
      <c r="D179" s="621"/>
      <c r="E179" s="621"/>
      <c r="F179" s="614"/>
      <c r="G179" s="614"/>
      <c r="H179" s="621"/>
      <c r="I179" s="614"/>
      <c r="J179" s="614"/>
      <c r="K179" s="621"/>
      <c r="L179" s="621"/>
      <c r="M179" s="663"/>
      <c r="N179" s="663"/>
    </row>
    <row r="180" spans="1:14" ht="12.75" customHeight="1" x14ac:dyDescent="0.2">
      <c r="A180" s="1523" t="s">
        <v>167</v>
      </c>
      <c r="B180" s="612">
        <v>2190</v>
      </c>
      <c r="C180" s="463"/>
      <c r="D180" s="463"/>
      <c r="E180" s="463"/>
      <c r="F180" s="463"/>
      <c r="G180" s="463"/>
      <c r="H180" s="463"/>
      <c r="I180" s="464"/>
      <c r="J180" s="464"/>
      <c r="K180" s="1690">
        <f>SUM(C180:J180)</f>
        <v>0</v>
      </c>
      <c r="L180" s="463"/>
    </row>
    <row r="181" spans="1:14" ht="15.75" customHeight="1" x14ac:dyDescent="0.2">
      <c r="A181" s="622" t="s">
        <v>633</v>
      </c>
      <c r="B181" s="674"/>
      <c r="C181" s="567"/>
      <c r="D181" s="567"/>
      <c r="E181" s="567"/>
      <c r="F181" s="567"/>
      <c r="G181" s="567"/>
      <c r="H181" s="567"/>
      <c r="I181" s="465"/>
      <c r="J181" s="465"/>
      <c r="K181" s="567"/>
      <c r="L181" s="567"/>
    </row>
    <row r="182" spans="1:14" ht="12.75" customHeight="1" x14ac:dyDescent="0.2">
      <c r="A182" s="1523" t="s">
        <v>1010</v>
      </c>
      <c r="B182" s="612">
        <v>2550</v>
      </c>
      <c r="C182" s="463"/>
      <c r="D182" s="463"/>
      <c r="E182" s="463"/>
      <c r="F182" s="463"/>
      <c r="G182" s="463"/>
      <c r="H182" s="463"/>
      <c r="I182" s="464"/>
      <c r="J182" s="464"/>
      <c r="K182" s="1690">
        <f>SUM(C182:J182)</f>
        <v>0</v>
      </c>
      <c r="L182" s="463"/>
    </row>
    <row r="183" spans="1:14" ht="12.75" customHeight="1" thickBot="1" x14ac:dyDescent="0.25">
      <c r="A183" s="1528" t="s">
        <v>1037</v>
      </c>
      <c r="B183" s="675">
        <v>2900</v>
      </c>
      <c r="C183" s="570"/>
      <c r="D183" s="570"/>
      <c r="E183" s="570"/>
      <c r="F183" s="570"/>
      <c r="G183" s="570"/>
      <c r="H183" s="570"/>
      <c r="I183" s="529"/>
      <c r="J183" s="529"/>
      <c r="K183" s="1696">
        <f>SUM(C183:J183)</f>
        <v>0</v>
      </c>
      <c r="L183" s="570"/>
    </row>
    <row r="184" spans="1:14" ht="12.75" customHeight="1" thickTop="1" thickBot="1" x14ac:dyDescent="0.25">
      <c r="A184" s="1710" t="s">
        <v>865</v>
      </c>
      <c r="B184" s="1688" t="s">
        <v>590</v>
      </c>
      <c r="C184" s="1696">
        <f>SUM(C180,C182,C183)</f>
        <v>0</v>
      </c>
      <c r="D184" s="1696">
        <f t="shared" ref="D184:J184" si="17">SUM(D180,D182,D183)</f>
        <v>0</v>
      </c>
      <c r="E184" s="1696">
        <f t="shared" si="17"/>
        <v>0</v>
      </c>
      <c r="F184" s="1696">
        <f t="shared" si="17"/>
        <v>0</v>
      </c>
      <c r="G184" s="1696">
        <f t="shared" si="17"/>
        <v>0</v>
      </c>
      <c r="H184" s="1696">
        <f t="shared" si="17"/>
        <v>0</v>
      </c>
      <c r="I184" s="1696">
        <f t="shared" si="17"/>
        <v>0</v>
      </c>
      <c r="J184" s="1696">
        <f t="shared" si="17"/>
        <v>0</v>
      </c>
      <c r="K184" s="1696">
        <f>SUM(K180,K182,K183)</f>
        <v>0</v>
      </c>
      <c r="L184" s="1696">
        <f>SUM(L180, L182:L183)</f>
        <v>0</v>
      </c>
    </row>
    <row r="185" spans="1:14" ht="15.75" customHeight="1" thickTop="1" thickBot="1" x14ac:dyDescent="0.25">
      <c r="A185" s="1641" t="s">
        <v>996</v>
      </c>
      <c r="B185" s="1630">
        <v>3000</v>
      </c>
      <c r="C185" s="573"/>
      <c r="D185" s="573"/>
      <c r="E185" s="573"/>
      <c r="F185" s="573"/>
      <c r="G185" s="573"/>
      <c r="H185" s="573"/>
      <c r="I185" s="528"/>
      <c r="J185" s="528"/>
      <c r="K185" s="1689">
        <f>SUM(C185:J185)</f>
        <v>0</v>
      </c>
      <c r="L185" s="573"/>
    </row>
    <row r="186" spans="1:14" s="672" customFormat="1" ht="15.75" customHeight="1" thickTop="1" x14ac:dyDescent="0.2">
      <c r="A186" s="1625" t="s">
        <v>93</v>
      </c>
      <c r="B186" s="1628" t="s">
        <v>915</v>
      </c>
      <c r="C186" s="614"/>
      <c r="D186" s="614"/>
      <c r="E186" s="614"/>
      <c r="F186" s="614"/>
      <c r="G186" s="614"/>
      <c r="H186" s="614"/>
      <c r="I186" s="614"/>
      <c r="J186" s="614"/>
      <c r="K186" s="614"/>
      <c r="L186" s="614"/>
      <c r="M186" s="663"/>
      <c r="N186" s="663"/>
    </row>
    <row r="187" spans="1:14" s="672" customFormat="1" ht="15.75" customHeight="1" x14ac:dyDescent="0.2">
      <c r="A187" s="619" t="s">
        <v>1193</v>
      </c>
      <c r="B187" s="620"/>
      <c r="C187" s="614"/>
      <c r="D187" s="614"/>
      <c r="E187" s="614"/>
      <c r="F187" s="614"/>
      <c r="G187" s="614"/>
      <c r="H187" s="614"/>
      <c r="I187" s="614"/>
      <c r="J187" s="614"/>
      <c r="K187" s="614"/>
      <c r="L187" s="614"/>
      <c r="M187" s="663"/>
      <c r="N187" s="663"/>
    </row>
    <row r="188" spans="1:14" x14ac:dyDescent="0.2">
      <c r="A188" s="1523" t="s">
        <v>517</v>
      </c>
      <c r="B188" s="612">
        <v>4110</v>
      </c>
      <c r="C188" s="614"/>
      <c r="D188" s="614"/>
      <c r="E188" s="463"/>
      <c r="F188" s="614"/>
      <c r="G188" s="614"/>
      <c r="H188" s="463"/>
      <c r="I188" s="474"/>
      <c r="J188" s="614"/>
      <c r="K188" s="1690">
        <f t="shared" ref="K188:K193" si="18">SUM(E188,H188)</f>
        <v>0</v>
      </c>
      <c r="L188" s="463"/>
    </row>
    <row r="189" spans="1:14" x14ac:dyDescent="0.2">
      <c r="A189" s="1523" t="s">
        <v>322</v>
      </c>
      <c r="B189" s="612">
        <v>4120</v>
      </c>
      <c r="C189" s="614"/>
      <c r="D189" s="614"/>
      <c r="E189" s="463"/>
      <c r="F189" s="614"/>
      <c r="G189" s="614"/>
      <c r="H189" s="463"/>
      <c r="I189" s="474"/>
      <c r="J189" s="614"/>
      <c r="K189" s="1690">
        <f t="shared" si="18"/>
        <v>0</v>
      </c>
      <c r="L189" s="463"/>
    </row>
    <row r="190" spans="1:14" x14ac:dyDescent="0.2">
      <c r="A190" s="1523" t="s">
        <v>323</v>
      </c>
      <c r="B190" s="626">
        <v>4130</v>
      </c>
      <c r="C190" s="614"/>
      <c r="D190" s="614"/>
      <c r="E190" s="463"/>
      <c r="F190" s="614"/>
      <c r="G190" s="614"/>
      <c r="H190" s="463"/>
      <c r="I190" s="474"/>
      <c r="J190" s="614"/>
      <c r="K190" s="1690">
        <f t="shared" si="18"/>
        <v>0</v>
      </c>
      <c r="L190" s="463"/>
    </row>
    <row r="191" spans="1:14" x14ac:dyDescent="0.2">
      <c r="A191" s="1523" t="s">
        <v>721</v>
      </c>
      <c r="B191" s="612">
        <v>4140</v>
      </c>
      <c r="C191" s="614"/>
      <c r="D191" s="614"/>
      <c r="E191" s="463"/>
      <c r="F191" s="614"/>
      <c r="G191" s="614"/>
      <c r="H191" s="463"/>
      <c r="I191" s="474"/>
      <c r="J191" s="614"/>
      <c r="K191" s="1690">
        <f t="shared" si="18"/>
        <v>0</v>
      </c>
      <c r="L191" s="463"/>
    </row>
    <row r="192" spans="1:14" x14ac:dyDescent="0.2">
      <c r="A192" s="1523" t="s">
        <v>88</v>
      </c>
      <c r="B192" s="612">
        <v>4170</v>
      </c>
      <c r="C192" s="614"/>
      <c r="D192" s="614"/>
      <c r="E192" s="463"/>
      <c r="F192" s="614"/>
      <c r="G192" s="614"/>
      <c r="H192" s="463"/>
      <c r="I192" s="474"/>
      <c r="J192" s="614"/>
      <c r="K192" s="1690">
        <f t="shared" si="18"/>
        <v>0</v>
      </c>
      <c r="L192" s="463"/>
    </row>
    <row r="193" spans="1:14" x14ac:dyDescent="0.2">
      <c r="A193" s="1527" t="s">
        <v>722</v>
      </c>
      <c r="B193" s="626">
        <v>4190</v>
      </c>
      <c r="C193" s="614"/>
      <c r="D193" s="614"/>
      <c r="E193" s="463"/>
      <c r="F193" s="614"/>
      <c r="G193" s="614"/>
      <c r="H193" s="463"/>
      <c r="I193" s="474"/>
      <c r="J193" s="614"/>
      <c r="K193" s="1690">
        <f t="shared" si="18"/>
        <v>0</v>
      </c>
      <c r="L193" s="463"/>
    </row>
    <row r="194" spans="1:14" ht="12.75" customHeight="1" thickBot="1" x14ac:dyDescent="0.25">
      <c r="A194" s="1687" t="s">
        <v>1202</v>
      </c>
      <c r="B194" s="1688" t="s">
        <v>580</v>
      </c>
      <c r="C194" s="614"/>
      <c r="D194" s="614"/>
      <c r="E194" s="1689">
        <f>SUM(E188:E193)</f>
        <v>0</v>
      </c>
      <c r="F194" s="614"/>
      <c r="G194" s="614"/>
      <c r="H194" s="1689">
        <f>SUM(H188:H193)</f>
        <v>0</v>
      </c>
      <c r="I194" s="474"/>
      <c r="J194" s="614"/>
      <c r="K194" s="1689">
        <f>SUM(K188:K193)</f>
        <v>0</v>
      </c>
      <c r="L194" s="1689">
        <f>SUM(L188:L193)</f>
        <v>0</v>
      </c>
    </row>
    <row r="195" spans="1:14" ht="15.75" customHeight="1" thickTop="1" x14ac:dyDescent="0.2">
      <c r="A195" s="667" t="s">
        <v>94</v>
      </c>
      <c r="B195" s="676" t="s">
        <v>988</v>
      </c>
      <c r="C195" s="614"/>
      <c r="D195" s="614"/>
      <c r="E195" s="654"/>
      <c r="F195" s="614"/>
      <c r="G195" s="614"/>
      <c r="H195" s="654"/>
      <c r="I195" s="474"/>
      <c r="J195" s="614"/>
      <c r="K195" s="1704">
        <f>SUM(E195,H195)</f>
        <v>0</v>
      </c>
      <c r="L195" s="654"/>
    </row>
    <row r="196" spans="1:14" ht="12.75" customHeight="1" thickBot="1" x14ac:dyDescent="0.25">
      <c r="A196" s="1687" t="s">
        <v>1567</v>
      </c>
      <c r="B196" s="1688" t="s">
        <v>915</v>
      </c>
      <c r="C196" s="614"/>
      <c r="D196" s="614"/>
      <c r="E196" s="1696">
        <f>SUM(E194,E195)</f>
        <v>0</v>
      </c>
      <c r="F196" s="614"/>
      <c r="G196" s="614"/>
      <c r="H196" s="1696">
        <f>SUM(H194,H195)</f>
        <v>0</v>
      </c>
      <c r="I196" s="474"/>
      <c r="J196" s="614"/>
      <c r="K196" s="1696">
        <f>SUM(K194,K195)</f>
        <v>0</v>
      </c>
      <c r="L196" s="1696">
        <f>SUM(L194,L195)</f>
        <v>0</v>
      </c>
    </row>
    <row r="197" spans="1:14" s="672" customFormat="1" ht="15.75" customHeight="1" thickTop="1" x14ac:dyDescent="0.2">
      <c r="A197" s="1631" t="s">
        <v>997</v>
      </c>
      <c r="B197" s="1628" t="s">
        <v>513</v>
      </c>
      <c r="C197" s="614"/>
      <c r="D197" s="614"/>
      <c r="E197" s="614"/>
      <c r="F197" s="614"/>
      <c r="G197" s="614"/>
      <c r="H197" s="614"/>
      <c r="I197" s="614"/>
      <c r="J197" s="614"/>
      <c r="K197" s="614"/>
      <c r="L197" s="614"/>
      <c r="M197" s="663"/>
      <c r="N197" s="663"/>
    </row>
    <row r="198" spans="1:14" s="672" customFormat="1" ht="15.75" customHeight="1" x14ac:dyDescent="0.2">
      <c r="A198" s="651" t="s">
        <v>95</v>
      </c>
      <c r="B198" s="620"/>
      <c r="C198" s="614"/>
      <c r="D198" s="614"/>
      <c r="E198" s="614"/>
      <c r="F198" s="614"/>
      <c r="G198" s="614"/>
      <c r="H198" s="614"/>
      <c r="I198" s="614"/>
      <c r="J198" s="614"/>
      <c r="K198" s="614"/>
      <c r="L198" s="614"/>
      <c r="M198" s="663"/>
      <c r="N198" s="663"/>
    </row>
    <row r="199" spans="1:14" x14ac:dyDescent="0.2">
      <c r="A199" s="1523" t="s">
        <v>89</v>
      </c>
      <c r="B199" s="612">
        <v>5110</v>
      </c>
      <c r="C199" s="614"/>
      <c r="D199" s="614"/>
      <c r="E199" s="614"/>
      <c r="F199" s="614"/>
      <c r="G199" s="614"/>
      <c r="H199" s="463"/>
      <c r="I199" s="614"/>
      <c r="J199" s="614"/>
      <c r="K199" s="1690">
        <f>SUM(H199)</f>
        <v>0</v>
      </c>
      <c r="L199" s="463"/>
    </row>
    <row r="200" spans="1:14" x14ac:dyDescent="0.2">
      <c r="A200" s="1523" t="s">
        <v>90</v>
      </c>
      <c r="B200" s="612">
        <v>5120</v>
      </c>
      <c r="C200" s="614"/>
      <c r="D200" s="614"/>
      <c r="E200" s="614"/>
      <c r="F200" s="614"/>
      <c r="G200" s="614"/>
      <c r="H200" s="463"/>
      <c r="I200" s="614"/>
      <c r="J200" s="614"/>
      <c r="K200" s="1690">
        <f>SUM(H200)</f>
        <v>0</v>
      </c>
      <c r="L200" s="463"/>
    </row>
    <row r="201" spans="1:14" ht="12.75" customHeight="1" x14ac:dyDescent="0.2">
      <c r="A201" s="1523" t="s">
        <v>1232</v>
      </c>
      <c r="B201" s="626" t="s">
        <v>638</v>
      </c>
      <c r="C201" s="614"/>
      <c r="D201" s="614"/>
      <c r="E201" s="614"/>
      <c r="F201" s="614"/>
      <c r="G201" s="614"/>
      <c r="H201" s="463"/>
      <c r="I201" s="614"/>
      <c r="J201" s="614"/>
      <c r="K201" s="1690">
        <f>SUM(H201)</f>
        <v>0</v>
      </c>
      <c r="L201" s="463"/>
    </row>
    <row r="202" spans="1:14" x14ac:dyDescent="0.2">
      <c r="A202" s="1523" t="s">
        <v>91</v>
      </c>
      <c r="B202" s="612" t="s">
        <v>610</v>
      </c>
      <c r="C202" s="614"/>
      <c r="D202" s="614"/>
      <c r="E202" s="614"/>
      <c r="F202" s="614"/>
      <c r="G202" s="614"/>
      <c r="H202" s="463"/>
      <c r="I202" s="614"/>
      <c r="J202" s="614"/>
      <c r="K202" s="1690">
        <f>SUM(H202)</f>
        <v>0</v>
      </c>
      <c r="L202" s="463"/>
    </row>
    <row r="203" spans="1:14" x14ac:dyDescent="0.2">
      <c r="A203" s="1535" t="s">
        <v>640</v>
      </c>
      <c r="B203" s="612" t="s">
        <v>639</v>
      </c>
      <c r="C203" s="614"/>
      <c r="D203" s="614"/>
      <c r="E203" s="614"/>
      <c r="F203" s="614"/>
      <c r="G203" s="614"/>
      <c r="H203" s="468"/>
      <c r="I203" s="614"/>
      <c r="J203" s="614"/>
      <c r="K203" s="1690">
        <f>SUM(H203)</f>
        <v>0</v>
      </c>
      <c r="L203" s="468"/>
    </row>
    <row r="204" spans="1:14" ht="13.5" thickBot="1" x14ac:dyDescent="0.25">
      <c r="A204" s="1687" t="s">
        <v>294</v>
      </c>
      <c r="B204" s="1688" t="s">
        <v>742</v>
      </c>
      <c r="C204" s="614"/>
      <c r="D204" s="614"/>
      <c r="E204" s="614"/>
      <c r="F204" s="614"/>
      <c r="G204" s="614"/>
      <c r="H204" s="1689">
        <f>SUM(H199:H203)</f>
        <v>0</v>
      </c>
      <c r="I204" s="614"/>
      <c r="J204" s="614"/>
      <c r="K204" s="1689">
        <f>SUM(K199:K203)</f>
        <v>0</v>
      </c>
      <c r="L204" s="1689">
        <f>SUM(L199:L203)</f>
        <v>0</v>
      </c>
    </row>
    <row r="205" spans="1:14" ht="15.75" customHeight="1" thickTop="1" x14ac:dyDescent="0.2">
      <c r="A205" s="677" t="s">
        <v>85</v>
      </c>
      <c r="B205" s="678" t="s">
        <v>38</v>
      </c>
      <c r="C205" s="614"/>
      <c r="D205" s="614"/>
      <c r="E205" s="614"/>
      <c r="F205" s="614"/>
      <c r="G205" s="614"/>
      <c r="H205" s="532"/>
      <c r="I205" s="614"/>
      <c r="J205" s="614"/>
      <c r="K205" s="1704">
        <f>SUM(H205)</f>
        <v>0</v>
      </c>
      <c r="L205" s="532"/>
    </row>
    <row r="206" spans="1:14" ht="30" customHeight="1" x14ac:dyDescent="0.2">
      <c r="A206" s="679" t="s">
        <v>1756</v>
      </c>
      <c r="B206" s="670" t="s">
        <v>31</v>
      </c>
      <c r="C206" s="614"/>
      <c r="D206" s="614"/>
      <c r="E206" s="614"/>
      <c r="F206" s="614"/>
      <c r="G206" s="614"/>
      <c r="H206" s="463"/>
      <c r="I206" s="614"/>
      <c r="J206" s="614"/>
      <c r="K206" s="1690">
        <f>SUM(H206)</f>
        <v>0</v>
      </c>
      <c r="L206" s="463"/>
    </row>
    <row r="207" spans="1:14" ht="15.75" customHeight="1" x14ac:dyDescent="0.2">
      <c r="A207" s="619" t="s">
        <v>790</v>
      </c>
      <c r="B207" s="670" t="s">
        <v>86</v>
      </c>
      <c r="C207" s="614"/>
      <c r="D207" s="614"/>
      <c r="E207" s="614"/>
      <c r="F207" s="614"/>
      <c r="G207" s="614"/>
      <c r="H207" s="464"/>
      <c r="I207" s="614"/>
      <c r="J207" s="614"/>
      <c r="K207" s="1690">
        <f>H207</f>
        <v>0</v>
      </c>
      <c r="L207" s="463"/>
    </row>
    <row r="208" spans="1:14" ht="12.75" customHeight="1" thickBot="1" x14ac:dyDescent="0.25">
      <c r="A208" s="1705" t="s">
        <v>659</v>
      </c>
      <c r="B208" s="1706" t="s">
        <v>513</v>
      </c>
      <c r="C208" s="614"/>
      <c r="D208" s="614"/>
      <c r="E208" s="614"/>
      <c r="F208" s="614"/>
      <c r="G208" s="614"/>
      <c r="H208" s="1696">
        <f>SUM(H204,H205,H206,H207)</f>
        <v>0</v>
      </c>
      <c r="I208" s="614"/>
      <c r="J208" s="614"/>
      <c r="K208" s="1696">
        <f>SUM(K204,K205,K206,K207)</f>
        <v>0</v>
      </c>
      <c r="L208" s="1696">
        <f>SUM(L204,L205,L206,L207)</f>
        <v>0</v>
      </c>
    </row>
    <row r="209" spans="1:14" ht="15.75" customHeight="1" thickTop="1" thickBot="1" x14ac:dyDescent="0.25">
      <c r="A209" s="1625" t="s">
        <v>927</v>
      </c>
      <c r="B209" s="1632" t="s">
        <v>916</v>
      </c>
      <c r="C209" s="621"/>
      <c r="D209" s="621"/>
      <c r="E209" s="621"/>
      <c r="F209" s="621"/>
      <c r="G209" s="621"/>
      <c r="H209" s="621"/>
      <c r="I209" s="614"/>
      <c r="J209" s="614"/>
      <c r="K209" s="621"/>
      <c r="L209" s="573"/>
    </row>
    <row r="210" spans="1:14" ht="12.75" customHeight="1" thickTop="1" thickBot="1" x14ac:dyDescent="0.25">
      <c r="A210" s="1711" t="s">
        <v>295</v>
      </c>
      <c r="B210" s="1712"/>
      <c r="C210" s="1689">
        <f>SUM(C184,C185)</f>
        <v>0</v>
      </c>
      <c r="D210" s="1689">
        <f>SUM(D184,D185)</f>
        <v>0</v>
      </c>
      <c r="E210" s="1689">
        <f>SUM(E184,E185,E196)</f>
        <v>0</v>
      </c>
      <c r="F210" s="1689">
        <f>SUM(F184,F185)</f>
        <v>0</v>
      </c>
      <c r="G210" s="1689">
        <f>SUM(G184,G185)</f>
        <v>0</v>
      </c>
      <c r="H210" s="1689">
        <f>SUM(H184,H185,H196,H208,H209)</f>
        <v>0</v>
      </c>
      <c r="I210" s="1689">
        <f>SUM(I184,I185)</f>
        <v>0</v>
      </c>
      <c r="J210" s="1689">
        <f>SUM(J184,J185)</f>
        <v>0</v>
      </c>
      <c r="K210" s="1690">
        <f>SUM(K184,K185,K196,K208,K209)</f>
        <v>0</v>
      </c>
      <c r="L210" s="1689">
        <f>SUM(L184,L185,L196,L208,L209)</f>
        <v>0</v>
      </c>
    </row>
    <row r="211" spans="1:14" ht="13.5" thickTop="1" x14ac:dyDescent="0.2">
      <c r="A211" s="2173" t="s">
        <v>1053</v>
      </c>
      <c r="B211" s="2174"/>
      <c r="C211" s="616"/>
      <c r="D211" s="616"/>
      <c r="E211" s="616"/>
      <c r="F211" s="616"/>
      <c r="G211" s="616"/>
      <c r="H211" s="616"/>
      <c r="I211" s="614"/>
      <c r="J211" s="614"/>
      <c r="K211" s="1703">
        <f>'Revenues 9-14'!F275-'Expenditures 15-22'!K210</f>
        <v>0</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0" customFormat="1" ht="16.7" customHeight="1" x14ac:dyDescent="0.2">
      <c r="A213" s="2195" t="s">
        <v>1022</v>
      </c>
      <c r="B213" s="2196"/>
      <c r="C213" s="1570"/>
      <c r="D213" s="1571"/>
      <c r="E213" s="1571"/>
      <c r="F213" s="1571"/>
      <c r="G213" s="1571"/>
      <c r="H213" s="1571"/>
      <c r="I213" s="1571"/>
      <c r="J213" s="1571"/>
      <c r="K213" s="1571"/>
      <c r="L213" s="1572"/>
      <c r="M213" s="607"/>
      <c r="N213" s="607"/>
    </row>
    <row r="214" spans="1:14" s="672" customFormat="1" ht="15.75" customHeight="1" x14ac:dyDescent="0.2">
      <c r="A214" s="1642" t="s">
        <v>928</v>
      </c>
      <c r="B214" s="1634" t="s">
        <v>591</v>
      </c>
      <c r="C214" s="614"/>
      <c r="D214" s="621"/>
      <c r="E214" s="614"/>
      <c r="F214" s="614"/>
      <c r="G214" s="614"/>
      <c r="H214" s="614"/>
      <c r="I214" s="614"/>
      <c r="J214" s="614"/>
      <c r="K214" s="621"/>
      <c r="L214" s="621"/>
      <c r="M214" s="663"/>
      <c r="N214" s="663"/>
    </row>
    <row r="215" spans="1:14" x14ac:dyDescent="0.2">
      <c r="A215" s="1523" t="s">
        <v>1018</v>
      </c>
      <c r="B215" s="612">
        <v>1100</v>
      </c>
      <c r="C215" s="614"/>
      <c r="D215" s="463"/>
      <c r="E215" s="614"/>
      <c r="F215" s="614"/>
      <c r="G215" s="614"/>
      <c r="H215" s="614"/>
      <c r="I215" s="614"/>
      <c r="J215" s="614"/>
      <c r="K215" s="1690">
        <f>D215</f>
        <v>0</v>
      </c>
      <c r="L215" s="463"/>
    </row>
    <row r="216" spans="1:14" x14ac:dyDescent="0.2">
      <c r="A216" s="1523" t="s">
        <v>165</v>
      </c>
      <c r="B216" s="612" t="s">
        <v>1024</v>
      </c>
      <c r="C216" s="614"/>
      <c r="D216" s="464"/>
      <c r="E216" s="614"/>
      <c r="F216" s="614"/>
      <c r="G216" s="614"/>
      <c r="H216" s="614"/>
      <c r="I216" s="614"/>
      <c r="J216" s="614"/>
      <c r="K216" s="1690">
        <f t="shared" ref="K216:K228" si="19">D216</f>
        <v>0</v>
      </c>
      <c r="L216" s="463"/>
    </row>
    <row r="217" spans="1:14" x14ac:dyDescent="0.2">
      <c r="A217" s="1523" t="s">
        <v>166</v>
      </c>
      <c r="B217" s="612">
        <v>1200</v>
      </c>
      <c r="C217" s="614"/>
      <c r="D217" s="463"/>
      <c r="E217" s="614"/>
      <c r="F217" s="614"/>
      <c r="G217" s="614"/>
      <c r="H217" s="614"/>
      <c r="I217" s="614"/>
      <c r="J217" s="614"/>
      <c r="K217" s="1690">
        <f t="shared" si="19"/>
        <v>0</v>
      </c>
      <c r="L217" s="463"/>
    </row>
    <row r="218" spans="1:14" x14ac:dyDescent="0.2">
      <c r="A218" s="1523" t="s">
        <v>296</v>
      </c>
      <c r="B218" s="612" t="s">
        <v>1025</v>
      </c>
      <c r="C218" s="614"/>
      <c r="D218" s="464"/>
      <c r="E218" s="614"/>
      <c r="F218" s="614"/>
      <c r="G218" s="614"/>
      <c r="H218" s="614"/>
      <c r="I218" s="614"/>
      <c r="J218" s="614"/>
      <c r="K218" s="1690">
        <f t="shared" si="19"/>
        <v>0</v>
      </c>
      <c r="L218" s="463"/>
    </row>
    <row r="219" spans="1:14" x14ac:dyDescent="0.2">
      <c r="A219" s="1523" t="s">
        <v>297</v>
      </c>
      <c r="B219" s="612">
        <v>1250</v>
      </c>
      <c r="C219" s="614"/>
      <c r="D219" s="463"/>
      <c r="E219" s="614"/>
      <c r="F219" s="614"/>
      <c r="G219" s="614"/>
      <c r="H219" s="614"/>
      <c r="I219" s="614"/>
      <c r="J219" s="614"/>
      <c r="K219" s="1690">
        <f t="shared" si="19"/>
        <v>0</v>
      </c>
      <c r="L219" s="463"/>
    </row>
    <row r="220" spans="1:14" x14ac:dyDescent="0.2">
      <c r="A220" s="1523" t="s">
        <v>298</v>
      </c>
      <c r="B220" s="612" t="s">
        <v>163</v>
      </c>
      <c r="C220" s="614"/>
      <c r="D220" s="464"/>
      <c r="E220" s="614"/>
      <c r="F220" s="614"/>
      <c r="G220" s="614"/>
      <c r="H220" s="614"/>
      <c r="I220" s="614"/>
      <c r="J220" s="614"/>
      <c r="K220" s="1690">
        <f t="shared" si="19"/>
        <v>0</v>
      </c>
      <c r="L220" s="463"/>
    </row>
    <row r="221" spans="1:14" x14ac:dyDescent="0.2">
      <c r="A221" s="1523" t="s">
        <v>1019</v>
      </c>
      <c r="B221" s="612">
        <v>1300</v>
      </c>
      <c r="C221" s="614"/>
      <c r="D221" s="463"/>
      <c r="E221" s="614"/>
      <c r="F221" s="614"/>
      <c r="G221" s="614"/>
      <c r="H221" s="614"/>
      <c r="I221" s="614"/>
      <c r="J221" s="614"/>
      <c r="K221" s="1690">
        <f t="shared" si="19"/>
        <v>0</v>
      </c>
      <c r="L221" s="463"/>
    </row>
    <row r="222" spans="1:14" x14ac:dyDescent="0.2">
      <c r="A222" s="1523" t="s">
        <v>747</v>
      </c>
      <c r="B222" s="612">
        <v>1400</v>
      </c>
      <c r="C222" s="614"/>
      <c r="D222" s="463"/>
      <c r="E222" s="614"/>
      <c r="F222" s="614"/>
      <c r="G222" s="614"/>
      <c r="H222" s="614"/>
      <c r="I222" s="614"/>
      <c r="J222" s="614"/>
      <c r="K222" s="1690">
        <f t="shared" si="19"/>
        <v>0</v>
      </c>
      <c r="L222" s="463"/>
    </row>
    <row r="223" spans="1:14" x14ac:dyDescent="0.2">
      <c r="A223" s="1523" t="s">
        <v>1020</v>
      </c>
      <c r="B223" s="612">
        <v>1500</v>
      </c>
      <c r="C223" s="614"/>
      <c r="D223" s="463"/>
      <c r="E223" s="614"/>
      <c r="F223" s="614"/>
      <c r="G223" s="614"/>
      <c r="H223" s="614"/>
      <c r="I223" s="614"/>
      <c r="J223" s="614"/>
      <c r="K223" s="1690">
        <f t="shared" si="19"/>
        <v>0</v>
      </c>
      <c r="L223" s="463"/>
    </row>
    <row r="224" spans="1:14" x14ac:dyDescent="0.2">
      <c r="A224" s="1523" t="s">
        <v>1021</v>
      </c>
      <c r="B224" s="612">
        <v>1600</v>
      </c>
      <c r="C224" s="614"/>
      <c r="D224" s="463"/>
      <c r="E224" s="614"/>
      <c r="F224" s="614"/>
      <c r="G224" s="614"/>
      <c r="H224" s="614"/>
      <c r="I224" s="614"/>
      <c r="J224" s="614"/>
      <c r="K224" s="1690">
        <f t="shared" si="19"/>
        <v>0</v>
      </c>
      <c r="L224" s="463"/>
    </row>
    <row r="225" spans="1:12" x14ac:dyDescent="0.2">
      <c r="A225" s="1523" t="s">
        <v>1044</v>
      </c>
      <c r="B225" s="612">
        <v>1650</v>
      </c>
      <c r="C225" s="614"/>
      <c r="D225" s="463"/>
      <c r="E225" s="614"/>
      <c r="F225" s="614"/>
      <c r="G225" s="614"/>
      <c r="H225" s="614"/>
      <c r="I225" s="614"/>
      <c r="J225" s="614"/>
      <c r="K225" s="1690">
        <f t="shared" si="19"/>
        <v>0</v>
      </c>
      <c r="L225" s="463"/>
    </row>
    <row r="226" spans="1:12" x14ac:dyDescent="0.2">
      <c r="A226" s="1523" t="s">
        <v>748</v>
      </c>
      <c r="B226" s="612" t="s">
        <v>164</v>
      </c>
      <c r="C226" s="614"/>
      <c r="D226" s="464"/>
      <c r="E226" s="614"/>
      <c r="F226" s="614"/>
      <c r="G226" s="614"/>
      <c r="H226" s="614"/>
      <c r="I226" s="614"/>
      <c r="J226" s="614"/>
      <c r="K226" s="1690">
        <f t="shared" si="19"/>
        <v>0</v>
      </c>
      <c r="L226" s="463"/>
    </row>
    <row r="227" spans="1:12" x14ac:dyDescent="0.2">
      <c r="A227" s="1523" t="s">
        <v>1148</v>
      </c>
      <c r="B227" s="612">
        <v>1800</v>
      </c>
      <c r="C227" s="614"/>
      <c r="D227" s="463"/>
      <c r="E227" s="614"/>
      <c r="F227" s="614"/>
      <c r="G227" s="614"/>
      <c r="H227" s="614"/>
      <c r="I227" s="614"/>
      <c r="J227" s="614"/>
      <c r="K227" s="1690">
        <f t="shared" si="19"/>
        <v>0</v>
      </c>
      <c r="L227" s="463"/>
    </row>
    <row r="228" spans="1:12" x14ac:dyDescent="0.2">
      <c r="A228" s="1523" t="s">
        <v>1149</v>
      </c>
      <c r="B228" s="612">
        <v>1900</v>
      </c>
      <c r="C228" s="614"/>
      <c r="D228" s="463"/>
      <c r="E228" s="614"/>
      <c r="F228" s="614"/>
      <c r="G228" s="614"/>
      <c r="H228" s="614"/>
      <c r="I228" s="614"/>
      <c r="J228" s="614"/>
      <c r="K228" s="1690">
        <f t="shared" si="19"/>
        <v>0</v>
      </c>
      <c r="L228" s="463"/>
    </row>
    <row r="229" spans="1:12" ht="12.75" customHeight="1" thickBot="1" x14ac:dyDescent="0.25">
      <c r="A229" s="1687" t="s">
        <v>739</v>
      </c>
      <c r="B229" s="1694" t="s">
        <v>591</v>
      </c>
      <c r="C229" s="614"/>
      <c r="D229" s="1689">
        <f>SUM(D215:D228)</f>
        <v>0</v>
      </c>
      <c r="E229" s="614"/>
      <c r="F229" s="614"/>
      <c r="G229" s="614"/>
      <c r="H229" s="614"/>
      <c r="I229" s="614"/>
      <c r="J229" s="614"/>
      <c r="K229" s="1689">
        <f>SUM(K215:K228)</f>
        <v>0</v>
      </c>
      <c r="L229" s="1689">
        <f>SUM(L215:L228)</f>
        <v>0</v>
      </c>
    </row>
    <row r="230" spans="1:12" ht="15.75" customHeight="1" thickTop="1" x14ac:dyDescent="0.2">
      <c r="A230" s="1631" t="s">
        <v>929</v>
      </c>
      <c r="B230" s="1632" t="s">
        <v>590</v>
      </c>
      <c r="C230" s="614"/>
      <c r="D230" s="614"/>
      <c r="E230" s="614"/>
      <c r="F230" s="614"/>
      <c r="G230" s="614"/>
      <c r="H230" s="614"/>
      <c r="I230" s="614"/>
      <c r="J230" s="614"/>
      <c r="K230" s="614"/>
      <c r="L230" s="614"/>
    </row>
    <row r="231" spans="1:12" ht="15.75" customHeight="1" x14ac:dyDescent="0.2">
      <c r="A231" s="651" t="s">
        <v>612</v>
      </c>
      <c r="B231" s="620"/>
      <c r="C231" s="614"/>
      <c r="D231" s="614"/>
      <c r="E231" s="614"/>
      <c r="F231" s="614"/>
      <c r="G231" s="614"/>
      <c r="H231" s="614"/>
      <c r="I231" s="614"/>
      <c r="J231" s="614"/>
      <c r="K231" s="614"/>
      <c r="L231" s="614"/>
    </row>
    <row r="232" spans="1:12" x14ac:dyDescent="0.2">
      <c r="A232" s="1523" t="s">
        <v>1150</v>
      </c>
      <c r="B232" s="612">
        <v>2110</v>
      </c>
      <c r="C232" s="614"/>
      <c r="D232" s="463"/>
      <c r="E232" s="614"/>
      <c r="F232" s="614"/>
      <c r="G232" s="614"/>
      <c r="H232" s="614"/>
      <c r="I232" s="614"/>
      <c r="J232" s="614"/>
      <c r="K232" s="1690">
        <f t="shared" ref="K232:K237" si="20">D232</f>
        <v>0</v>
      </c>
      <c r="L232" s="463"/>
    </row>
    <row r="233" spans="1:12" x14ac:dyDescent="0.2">
      <c r="A233" s="1523" t="s">
        <v>1151</v>
      </c>
      <c r="B233" s="612">
        <v>2120</v>
      </c>
      <c r="C233" s="614"/>
      <c r="D233" s="463"/>
      <c r="E233" s="614"/>
      <c r="F233" s="614"/>
      <c r="G233" s="614"/>
      <c r="H233" s="614"/>
      <c r="I233" s="614"/>
      <c r="J233" s="614"/>
      <c r="K233" s="1690">
        <f t="shared" si="20"/>
        <v>0</v>
      </c>
      <c r="L233" s="463"/>
    </row>
    <row r="234" spans="1:12" x14ac:dyDescent="0.2">
      <c r="A234" s="1523" t="s">
        <v>207</v>
      </c>
      <c r="B234" s="612">
        <v>2130</v>
      </c>
      <c r="C234" s="614"/>
      <c r="D234" s="463"/>
      <c r="E234" s="614"/>
      <c r="F234" s="614"/>
      <c r="G234" s="614"/>
      <c r="H234" s="614"/>
      <c r="I234" s="614"/>
      <c r="J234" s="614"/>
      <c r="K234" s="1690">
        <f t="shared" si="20"/>
        <v>0</v>
      </c>
      <c r="L234" s="463"/>
    </row>
    <row r="235" spans="1:12" x14ac:dyDescent="0.2">
      <c r="A235" s="1523" t="s">
        <v>208</v>
      </c>
      <c r="B235" s="612">
        <v>2140</v>
      </c>
      <c r="C235" s="614"/>
      <c r="D235" s="463"/>
      <c r="E235" s="614"/>
      <c r="F235" s="614"/>
      <c r="G235" s="614"/>
      <c r="H235" s="614"/>
      <c r="I235" s="614"/>
      <c r="J235" s="614"/>
      <c r="K235" s="1690">
        <f t="shared" si="20"/>
        <v>0</v>
      </c>
      <c r="L235" s="463"/>
    </row>
    <row r="236" spans="1:12" x14ac:dyDescent="0.2">
      <c r="A236" s="1523" t="s">
        <v>209</v>
      </c>
      <c r="B236" s="612">
        <v>2150</v>
      </c>
      <c r="C236" s="614"/>
      <c r="D236" s="463"/>
      <c r="E236" s="614"/>
      <c r="F236" s="614"/>
      <c r="G236" s="614"/>
      <c r="H236" s="614"/>
      <c r="I236" s="614"/>
      <c r="J236" s="614"/>
      <c r="K236" s="1690">
        <f t="shared" si="20"/>
        <v>0</v>
      </c>
      <c r="L236" s="463"/>
    </row>
    <row r="237" spans="1:12" x14ac:dyDescent="0.2">
      <c r="A237" s="1523" t="s">
        <v>167</v>
      </c>
      <c r="B237" s="612">
        <v>2190</v>
      </c>
      <c r="C237" s="614"/>
      <c r="D237" s="463"/>
      <c r="E237" s="614"/>
      <c r="F237" s="614"/>
      <c r="G237" s="614"/>
      <c r="H237" s="614"/>
      <c r="I237" s="614"/>
      <c r="J237" s="614"/>
      <c r="K237" s="1690">
        <f t="shared" si="20"/>
        <v>0</v>
      </c>
      <c r="L237" s="463"/>
    </row>
    <row r="238" spans="1:12" ht="12.75" customHeight="1" thickBot="1" x14ac:dyDescent="0.25">
      <c r="A238" s="1687" t="s">
        <v>581</v>
      </c>
      <c r="B238" s="1694" t="s">
        <v>740</v>
      </c>
      <c r="C238" s="614"/>
      <c r="D238" s="1689">
        <f>SUM(D232:D237)</f>
        <v>0</v>
      </c>
      <c r="E238" s="614"/>
      <c r="F238" s="614"/>
      <c r="G238" s="614"/>
      <c r="H238" s="614"/>
      <c r="I238" s="614"/>
      <c r="J238" s="614"/>
      <c r="K238" s="1689">
        <f>SUM(K232:K237)</f>
        <v>0</v>
      </c>
      <c r="L238" s="1689">
        <f>SUM(L232:L237)</f>
        <v>0</v>
      </c>
    </row>
    <row r="239" spans="1:12" ht="15.75" customHeight="1" thickTop="1" x14ac:dyDescent="0.2">
      <c r="A239" s="622" t="s">
        <v>613</v>
      </c>
      <c r="B239" s="629"/>
      <c r="C239" s="614"/>
      <c r="D239" s="624"/>
      <c r="E239" s="614"/>
      <c r="F239" s="614"/>
      <c r="G239" s="614"/>
      <c r="H239" s="614"/>
      <c r="I239" s="614"/>
      <c r="J239" s="614"/>
      <c r="K239" s="624"/>
      <c r="L239" s="624"/>
    </row>
    <row r="240" spans="1:12" x14ac:dyDescent="0.2">
      <c r="A240" s="1523" t="s">
        <v>868</v>
      </c>
      <c r="B240" s="612">
        <v>2210</v>
      </c>
      <c r="C240" s="614"/>
      <c r="D240" s="478"/>
      <c r="E240" s="614"/>
      <c r="F240" s="614"/>
      <c r="G240" s="614"/>
      <c r="H240" s="614"/>
      <c r="I240" s="614"/>
      <c r="J240" s="614"/>
      <c r="K240" s="1691">
        <f>D240</f>
        <v>0</v>
      </c>
      <c r="L240" s="478"/>
    </row>
    <row r="241" spans="1:12" x14ac:dyDescent="0.2">
      <c r="A241" s="1523" t="s">
        <v>869</v>
      </c>
      <c r="B241" s="612">
        <v>2220</v>
      </c>
      <c r="C241" s="614"/>
      <c r="D241" s="463"/>
      <c r="E241" s="614"/>
      <c r="F241" s="614"/>
      <c r="G241" s="614"/>
      <c r="H241" s="614"/>
      <c r="I241" s="614"/>
      <c r="J241" s="614"/>
      <c r="K241" s="1691">
        <f>D241</f>
        <v>0</v>
      </c>
      <c r="L241" s="463"/>
    </row>
    <row r="242" spans="1:12" x14ac:dyDescent="0.2">
      <c r="A242" s="1523" t="s">
        <v>870</v>
      </c>
      <c r="B242" s="612">
        <v>2230</v>
      </c>
      <c r="C242" s="614"/>
      <c r="D242" s="463"/>
      <c r="E242" s="614"/>
      <c r="F242" s="614"/>
      <c r="G242" s="614"/>
      <c r="H242" s="614"/>
      <c r="I242" s="614"/>
      <c r="J242" s="614"/>
      <c r="K242" s="1691">
        <f>D242</f>
        <v>0</v>
      </c>
      <c r="L242" s="463"/>
    </row>
    <row r="243" spans="1:12" ht="12.75" customHeight="1" thickBot="1" x14ac:dyDescent="0.25">
      <c r="A243" s="1713" t="s">
        <v>582</v>
      </c>
      <c r="B243" s="1714">
        <v>2200</v>
      </c>
      <c r="C243" s="614"/>
      <c r="D243" s="1689">
        <f>SUM(D240:D242)</f>
        <v>0</v>
      </c>
      <c r="E243" s="614"/>
      <c r="F243" s="614"/>
      <c r="G243" s="614"/>
      <c r="H243" s="614"/>
      <c r="I243" s="614"/>
      <c r="J243" s="614"/>
      <c r="K243" s="1689">
        <f>SUM(K240:K242)</f>
        <v>0</v>
      </c>
      <c r="L243" s="1689">
        <f>SUM(L240:L242)</f>
        <v>0</v>
      </c>
    </row>
    <row r="244" spans="1:12" ht="15.75" customHeight="1" thickTop="1" x14ac:dyDescent="0.2">
      <c r="A244" s="622" t="s">
        <v>631</v>
      </c>
      <c r="B244" s="680"/>
      <c r="C244" s="614"/>
      <c r="D244" s="624"/>
      <c r="E244" s="614"/>
      <c r="F244" s="614"/>
      <c r="G244" s="614"/>
      <c r="H244" s="614"/>
      <c r="I244" s="614"/>
      <c r="J244" s="614"/>
      <c r="K244" s="624"/>
      <c r="L244" s="624"/>
    </row>
    <row r="245" spans="1:12" x14ac:dyDescent="0.2">
      <c r="A245" s="1523" t="s">
        <v>871</v>
      </c>
      <c r="B245" s="612">
        <v>2310</v>
      </c>
      <c r="C245" s="614"/>
      <c r="D245" s="478"/>
      <c r="E245" s="614"/>
      <c r="F245" s="614"/>
      <c r="G245" s="614"/>
      <c r="H245" s="614"/>
      <c r="I245" s="614"/>
      <c r="J245" s="614"/>
      <c r="K245" s="1691">
        <f>D245</f>
        <v>0</v>
      </c>
      <c r="L245" s="478"/>
    </row>
    <row r="246" spans="1:12" x14ac:dyDescent="0.2">
      <c r="A246" s="1523" t="s">
        <v>872</v>
      </c>
      <c r="B246" s="612">
        <v>2320</v>
      </c>
      <c r="C246" s="614"/>
      <c r="D246" s="463"/>
      <c r="E246" s="614"/>
      <c r="F246" s="614"/>
      <c r="G246" s="614"/>
      <c r="H246" s="614"/>
      <c r="I246" s="614"/>
      <c r="J246" s="614"/>
      <c r="K246" s="1691">
        <f t="shared" ref="K246:K256" si="21">D246</f>
        <v>0</v>
      </c>
      <c r="L246" s="463"/>
    </row>
    <row r="247" spans="1:12" x14ac:dyDescent="0.2">
      <c r="A247" s="1523" t="s">
        <v>873</v>
      </c>
      <c r="B247" s="612">
        <v>2330</v>
      </c>
      <c r="C247" s="614"/>
      <c r="D247" s="463"/>
      <c r="E247" s="614"/>
      <c r="F247" s="614"/>
      <c r="G247" s="614"/>
      <c r="H247" s="614"/>
      <c r="I247" s="614"/>
      <c r="J247" s="614"/>
      <c r="K247" s="1691">
        <f t="shared" si="21"/>
        <v>0</v>
      </c>
      <c r="L247" s="463"/>
    </row>
    <row r="248" spans="1:12" x14ac:dyDescent="0.2">
      <c r="A248" s="1524" t="s">
        <v>317</v>
      </c>
      <c r="B248" s="600" t="s">
        <v>299</v>
      </c>
      <c r="C248" s="614"/>
      <c r="D248" s="471"/>
      <c r="E248" s="614"/>
      <c r="F248" s="614"/>
      <c r="G248" s="614"/>
      <c r="H248" s="614"/>
      <c r="I248" s="614"/>
      <c r="J248" s="614"/>
      <c r="K248" s="1691">
        <f t="shared" si="21"/>
        <v>0</v>
      </c>
      <c r="L248" s="463"/>
    </row>
    <row r="249" spans="1:12" x14ac:dyDescent="0.2">
      <c r="A249" s="1525" t="s">
        <v>1893</v>
      </c>
      <c r="B249" s="681" t="s">
        <v>300</v>
      </c>
      <c r="C249" s="614"/>
      <c r="D249" s="471"/>
      <c r="E249" s="614"/>
      <c r="F249" s="614"/>
      <c r="G249" s="614"/>
      <c r="H249" s="614"/>
      <c r="I249" s="614"/>
      <c r="J249" s="614"/>
      <c r="K249" s="1691">
        <f t="shared" si="21"/>
        <v>0</v>
      </c>
      <c r="L249" s="463"/>
    </row>
    <row r="250" spans="1:12" x14ac:dyDescent="0.2">
      <c r="A250" s="1524" t="s">
        <v>1894</v>
      </c>
      <c r="B250" s="600" t="s">
        <v>301</v>
      </c>
      <c r="C250" s="614"/>
      <c r="D250" s="471"/>
      <c r="E250" s="614"/>
      <c r="F250" s="614"/>
      <c r="G250" s="614"/>
      <c r="H250" s="614"/>
      <c r="I250" s="614"/>
      <c r="J250" s="614"/>
      <c r="K250" s="1691">
        <f t="shared" si="21"/>
        <v>0</v>
      </c>
      <c r="L250" s="463"/>
    </row>
    <row r="251" spans="1:12" x14ac:dyDescent="0.2">
      <c r="A251" s="1524" t="s">
        <v>256</v>
      </c>
      <c r="B251" s="600" t="s">
        <v>302</v>
      </c>
      <c r="C251" s="614"/>
      <c r="D251" s="471"/>
      <c r="E251" s="614"/>
      <c r="F251" s="614"/>
      <c r="G251" s="614"/>
      <c r="H251" s="614"/>
      <c r="I251" s="614"/>
      <c r="J251" s="614"/>
      <c r="K251" s="1691">
        <f t="shared" si="21"/>
        <v>0</v>
      </c>
      <c r="L251" s="463"/>
    </row>
    <row r="252" spans="1:12" x14ac:dyDescent="0.2">
      <c r="A252" s="1524" t="s">
        <v>726</v>
      </c>
      <c r="B252" s="600" t="s">
        <v>303</v>
      </c>
      <c r="C252" s="614"/>
      <c r="D252" s="471"/>
      <c r="E252" s="614"/>
      <c r="F252" s="614"/>
      <c r="G252" s="614"/>
      <c r="H252" s="614"/>
      <c r="I252" s="614"/>
      <c r="J252" s="614"/>
      <c r="K252" s="1691">
        <f t="shared" si="21"/>
        <v>0</v>
      </c>
      <c r="L252" s="463"/>
    </row>
    <row r="253" spans="1:12" x14ac:dyDescent="0.2">
      <c r="A253" s="1524" t="s">
        <v>257</v>
      </c>
      <c r="B253" s="600" t="s">
        <v>304</v>
      </c>
      <c r="C253" s="614"/>
      <c r="D253" s="471"/>
      <c r="E253" s="614"/>
      <c r="F253" s="614"/>
      <c r="G253" s="614"/>
      <c r="H253" s="614"/>
      <c r="I253" s="614"/>
      <c r="J253" s="614"/>
      <c r="K253" s="1691">
        <f t="shared" si="21"/>
        <v>0</v>
      </c>
      <c r="L253" s="463"/>
    </row>
    <row r="254" spans="1:12" ht="22.5" x14ac:dyDescent="0.2">
      <c r="A254" s="1524" t="s">
        <v>1087</v>
      </c>
      <c r="B254" s="681" t="s">
        <v>305</v>
      </c>
      <c r="C254" s="614"/>
      <c r="D254" s="471"/>
      <c r="E254" s="614"/>
      <c r="F254" s="614"/>
      <c r="G254" s="614"/>
      <c r="H254" s="614"/>
      <c r="I254" s="614"/>
      <c r="J254" s="614"/>
      <c r="K254" s="1691">
        <f t="shared" si="21"/>
        <v>0</v>
      </c>
      <c r="L254" s="463"/>
    </row>
    <row r="255" spans="1:12" x14ac:dyDescent="0.2">
      <c r="A255" s="1524" t="s">
        <v>1088</v>
      </c>
      <c r="B255" s="600" t="s">
        <v>306</v>
      </c>
      <c r="C255" s="614"/>
      <c r="D255" s="471"/>
      <c r="E255" s="614"/>
      <c r="F255" s="614"/>
      <c r="G255" s="614"/>
      <c r="H255" s="614"/>
      <c r="I255" s="614"/>
      <c r="J255" s="614"/>
      <c r="K255" s="1691">
        <f t="shared" si="21"/>
        <v>0</v>
      </c>
      <c r="L255" s="463"/>
    </row>
    <row r="256" spans="1:12" x14ac:dyDescent="0.2">
      <c r="A256" s="1524" t="s">
        <v>1028</v>
      </c>
      <c r="B256" s="612" t="s">
        <v>307</v>
      </c>
      <c r="C256" s="614"/>
      <c r="D256" s="471"/>
      <c r="E256" s="614"/>
      <c r="F256" s="614"/>
      <c r="G256" s="614"/>
      <c r="H256" s="614"/>
      <c r="I256" s="614"/>
      <c r="J256" s="614"/>
      <c r="K256" s="1691">
        <f t="shared" si="21"/>
        <v>0</v>
      </c>
      <c r="L256" s="463"/>
    </row>
    <row r="257" spans="1:14" ht="12.75" customHeight="1" thickBot="1" x14ac:dyDescent="0.25">
      <c r="A257" s="1687" t="s">
        <v>741</v>
      </c>
      <c r="B257" s="1715">
        <v>2300</v>
      </c>
      <c r="C257" s="614"/>
      <c r="D257" s="1689">
        <f>SUM(D245:D256)</f>
        <v>0</v>
      </c>
      <c r="E257" s="614"/>
      <c r="F257" s="614"/>
      <c r="G257" s="614"/>
      <c r="H257" s="614"/>
      <c r="I257" s="614"/>
      <c r="J257" s="614"/>
      <c r="K257" s="1689">
        <f>SUM(K245:K256)</f>
        <v>0</v>
      </c>
      <c r="L257" s="1689">
        <f>SUM(L245:L256)</f>
        <v>0</v>
      </c>
    </row>
    <row r="258" spans="1:14" ht="15.75" customHeight="1" thickTop="1" x14ac:dyDescent="0.2">
      <c r="A258" s="622" t="s">
        <v>632</v>
      </c>
      <c r="B258" s="682"/>
      <c r="C258" s="614"/>
      <c r="D258" s="624"/>
      <c r="E258" s="614"/>
      <c r="F258" s="614"/>
      <c r="G258" s="614"/>
      <c r="H258" s="614"/>
      <c r="I258" s="614"/>
      <c r="J258" s="614"/>
      <c r="K258" s="624"/>
      <c r="L258" s="624"/>
    </row>
    <row r="259" spans="1:14" x14ac:dyDescent="0.2">
      <c r="A259" s="1523" t="s">
        <v>1127</v>
      </c>
      <c r="B259" s="683">
        <v>2410</v>
      </c>
      <c r="C259" s="614"/>
      <c r="D259" s="478"/>
      <c r="E259" s="614"/>
      <c r="F259" s="614"/>
      <c r="G259" s="614"/>
      <c r="H259" s="614"/>
      <c r="I259" s="614"/>
      <c r="J259" s="614"/>
      <c r="K259" s="1691">
        <f>D259</f>
        <v>0</v>
      </c>
      <c r="L259" s="478"/>
    </row>
    <row r="260" spans="1:14" s="595" customFormat="1" x14ac:dyDescent="0.2">
      <c r="A260" s="1541" t="s">
        <v>1892</v>
      </c>
      <c r="B260" s="626">
        <v>2490</v>
      </c>
      <c r="C260" s="614"/>
      <c r="D260" s="463"/>
      <c r="E260" s="614"/>
      <c r="F260" s="614"/>
      <c r="G260" s="614"/>
      <c r="H260" s="614"/>
      <c r="I260" s="614"/>
      <c r="J260" s="614"/>
      <c r="K260" s="1691">
        <f>D260</f>
        <v>0</v>
      </c>
      <c r="L260" s="463"/>
      <c r="M260" s="210"/>
      <c r="N260" s="210"/>
    </row>
    <row r="261" spans="1:14" ht="12.75" customHeight="1" thickBot="1" x14ac:dyDescent="0.25">
      <c r="A261" s="1711" t="s">
        <v>281</v>
      </c>
      <c r="B261" s="1716" t="s">
        <v>34</v>
      </c>
      <c r="C261" s="614"/>
      <c r="D261" s="1689">
        <f>SUM(D259:D260)</f>
        <v>0</v>
      </c>
      <c r="E261" s="614"/>
      <c r="F261" s="614"/>
      <c r="G261" s="614"/>
      <c r="H261" s="614"/>
      <c r="I261" s="614"/>
      <c r="J261" s="614"/>
      <c r="K261" s="1689">
        <f>SUM(K259:K260)</f>
        <v>0</v>
      </c>
      <c r="L261" s="1689">
        <f>SUM(L259:L260)</f>
        <v>0</v>
      </c>
    </row>
    <row r="262" spans="1:14" ht="15.75" customHeight="1" thickTop="1" x14ac:dyDescent="0.2">
      <c r="A262" s="622" t="s">
        <v>633</v>
      </c>
      <c r="B262" s="682"/>
      <c r="C262" s="614"/>
      <c r="D262" s="614"/>
      <c r="E262" s="614"/>
      <c r="F262" s="614"/>
      <c r="G262" s="614"/>
      <c r="H262" s="614"/>
      <c r="I262" s="614"/>
      <c r="J262" s="614"/>
      <c r="K262" s="624"/>
      <c r="L262" s="624"/>
    </row>
    <row r="263" spans="1:14" x14ac:dyDescent="0.2">
      <c r="A263" s="1523" t="s">
        <v>1128</v>
      </c>
      <c r="B263" s="683">
        <v>2510</v>
      </c>
      <c r="C263" s="614"/>
      <c r="D263" s="463"/>
      <c r="E263" s="614"/>
      <c r="F263" s="614"/>
      <c r="G263" s="614"/>
      <c r="H263" s="614"/>
      <c r="I263" s="614"/>
      <c r="J263" s="614"/>
      <c r="K263" s="1691">
        <f>D263</f>
        <v>0</v>
      </c>
      <c r="L263" s="478"/>
    </row>
    <row r="264" spans="1:14" x14ac:dyDescent="0.2">
      <c r="A264" s="1523" t="s">
        <v>483</v>
      </c>
      <c r="B264" s="683">
        <v>2520</v>
      </c>
      <c r="C264" s="614"/>
      <c r="D264" s="463"/>
      <c r="E264" s="614"/>
      <c r="F264" s="614"/>
      <c r="G264" s="614"/>
      <c r="H264" s="614"/>
      <c r="I264" s="614"/>
      <c r="J264" s="614"/>
      <c r="K264" s="1691">
        <f t="shared" ref="K264:K269" si="22">D264</f>
        <v>0</v>
      </c>
      <c r="L264" s="463"/>
    </row>
    <row r="265" spans="1:14" x14ac:dyDescent="0.2">
      <c r="A265" s="1523" t="s">
        <v>4</v>
      </c>
      <c r="B265" s="612">
        <v>2530</v>
      </c>
      <c r="C265" s="614"/>
      <c r="D265" s="463"/>
      <c r="E265" s="614"/>
      <c r="F265" s="614"/>
      <c r="G265" s="614"/>
      <c r="H265" s="614"/>
      <c r="I265" s="614"/>
      <c r="J265" s="614"/>
      <c r="K265" s="1691">
        <f t="shared" si="22"/>
        <v>0</v>
      </c>
      <c r="L265" s="463"/>
    </row>
    <row r="266" spans="1:14" x14ac:dyDescent="0.2">
      <c r="A266" s="1523" t="s">
        <v>206</v>
      </c>
      <c r="B266" s="612">
        <v>2540</v>
      </c>
      <c r="C266" s="614"/>
      <c r="D266" s="463"/>
      <c r="E266" s="614"/>
      <c r="F266" s="614"/>
      <c r="G266" s="614"/>
      <c r="H266" s="614"/>
      <c r="I266" s="614"/>
      <c r="J266" s="614"/>
      <c r="K266" s="1691">
        <f t="shared" si="22"/>
        <v>0</v>
      </c>
      <c r="L266" s="463"/>
    </row>
    <row r="267" spans="1:14" x14ac:dyDescent="0.2">
      <c r="A267" s="1523" t="s">
        <v>1010</v>
      </c>
      <c r="B267" s="612">
        <v>2550</v>
      </c>
      <c r="C267" s="614"/>
      <c r="D267" s="463"/>
      <c r="E267" s="614"/>
      <c r="F267" s="614"/>
      <c r="G267" s="614"/>
      <c r="H267" s="614"/>
      <c r="I267" s="614"/>
      <c r="J267" s="614"/>
      <c r="K267" s="1691">
        <f t="shared" si="22"/>
        <v>0</v>
      </c>
      <c r="L267" s="463"/>
    </row>
    <row r="268" spans="1:14" x14ac:dyDescent="0.2">
      <c r="A268" s="1523" t="s">
        <v>102</v>
      </c>
      <c r="B268" s="612">
        <v>2560</v>
      </c>
      <c r="C268" s="614"/>
      <c r="D268" s="463"/>
      <c r="E268" s="614"/>
      <c r="F268" s="614"/>
      <c r="G268" s="614"/>
      <c r="H268" s="614"/>
      <c r="I268" s="614"/>
      <c r="J268" s="614"/>
      <c r="K268" s="1691">
        <f t="shared" si="22"/>
        <v>0</v>
      </c>
      <c r="L268" s="463"/>
    </row>
    <row r="269" spans="1:14" x14ac:dyDescent="0.2">
      <c r="A269" s="1523" t="s">
        <v>103</v>
      </c>
      <c r="B269" s="612">
        <v>2570</v>
      </c>
      <c r="C269" s="614"/>
      <c r="D269" s="463"/>
      <c r="E269" s="614"/>
      <c r="F269" s="614"/>
      <c r="G269" s="614"/>
      <c r="H269" s="614"/>
      <c r="I269" s="614"/>
      <c r="J269" s="614"/>
      <c r="K269" s="1691">
        <f t="shared" si="22"/>
        <v>0</v>
      </c>
      <c r="L269" s="463"/>
    </row>
    <row r="270" spans="1:14" ht="12.75" customHeight="1" thickBot="1" x14ac:dyDescent="0.25">
      <c r="A270" s="1687" t="s">
        <v>743</v>
      </c>
      <c r="B270" s="1694" t="s">
        <v>35</v>
      </c>
      <c r="C270" s="614"/>
      <c r="D270" s="1689">
        <f>SUM(D263:D269)</f>
        <v>0</v>
      </c>
      <c r="E270" s="614"/>
      <c r="F270" s="614"/>
      <c r="G270" s="614"/>
      <c r="H270" s="614"/>
      <c r="I270" s="614"/>
      <c r="J270" s="614"/>
      <c r="K270" s="1689">
        <f>SUM(K263:K269)</f>
        <v>0</v>
      </c>
      <c r="L270" s="1689">
        <f>SUM(L263:L269)</f>
        <v>0</v>
      </c>
    </row>
    <row r="271" spans="1:14" ht="15.75" customHeight="1" thickTop="1" x14ac:dyDescent="0.2">
      <c r="A271" s="667" t="s">
        <v>634</v>
      </c>
      <c r="B271" s="623"/>
      <c r="C271" s="614"/>
      <c r="D271" s="624"/>
      <c r="E271" s="614"/>
      <c r="F271" s="614"/>
      <c r="G271" s="614"/>
      <c r="H271" s="614"/>
      <c r="I271" s="614"/>
      <c r="J271" s="614"/>
      <c r="K271" s="624"/>
      <c r="L271" s="624"/>
    </row>
    <row r="272" spans="1:14" x14ac:dyDescent="0.2">
      <c r="A272" s="1523" t="s">
        <v>1120</v>
      </c>
      <c r="B272" s="612">
        <v>2610</v>
      </c>
      <c r="C272" s="614"/>
      <c r="D272" s="478"/>
      <c r="E272" s="614"/>
      <c r="F272" s="614"/>
      <c r="G272" s="614"/>
      <c r="H272" s="614"/>
      <c r="I272" s="614"/>
      <c r="J272" s="614"/>
      <c r="K272" s="1691">
        <f>D272</f>
        <v>0</v>
      </c>
      <c r="L272" s="478"/>
    </row>
    <row r="273" spans="1:12" x14ac:dyDescent="0.2">
      <c r="A273" s="1523" t="s">
        <v>628</v>
      </c>
      <c r="B273" s="626">
        <v>2620</v>
      </c>
      <c r="C273" s="614"/>
      <c r="D273" s="463"/>
      <c r="E273" s="614"/>
      <c r="F273" s="614"/>
      <c r="G273" s="614"/>
      <c r="H273" s="614"/>
      <c r="I273" s="614"/>
      <c r="J273" s="614"/>
      <c r="K273" s="1691">
        <f>D273</f>
        <v>0</v>
      </c>
      <c r="L273" s="463"/>
    </row>
    <row r="274" spans="1:12" ht="12" customHeight="1" x14ac:dyDescent="0.2">
      <c r="A274" s="1523" t="s">
        <v>1121</v>
      </c>
      <c r="B274" s="612">
        <v>2630</v>
      </c>
      <c r="C274" s="614"/>
      <c r="D274" s="463"/>
      <c r="E274" s="614"/>
      <c r="F274" s="614"/>
      <c r="G274" s="614"/>
      <c r="H274" s="614"/>
      <c r="I274" s="614"/>
      <c r="J274" s="614"/>
      <c r="K274" s="1691">
        <f>D274</f>
        <v>0</v>
      </c>
      <c r="L274" s="463"/>
    </row>
    <row r="275" spans="1:12" x14ac:dyDescent="0.2">
      <c r="A275" s="1523" t="s">
        <v>423</v>
      </c>
      <c r="B275" s="612">
        <v>2640</v>
      </c>
      <c r="C275" s="614"/>
      <c r="D275" s="463"/>
      <c r="E275" s="614"/>
      <c r="F275" s="614"/>
      <c r="G275" s="614"/>
      <c r="H275" s="614"/>
      <c r="I275" s="614"/>
      <c r="J275" s="614"/>
      <c r="K275" s="1691">
        <f>D275</f>
        <v>0</v>
      </c>
      <c r="L275" s="463"/>
    </row>
    <row r="276" spans="1:12" x14ac:dyDescent="0.2">
      <c r="A276" s="1523" t="s">
        <v>424</v>
      </c>
      <c r="B276" s="612">
        <v>2660</v>
      </c>
      <c r="C276" s="614"/>
      <c r="D276" s="463"/>
      <c r="E276" s="614"/>
      <c r="F276" s="614"/>
      <c r="G276" s="614"/>
      <c r="H276" s="614"/>
      <c r="I276" s="614"/>
      <c r="J276" s="614"/>
      <c r="K276" s="1691">
        <f>D276</f>
        <v>0</v>
      </c>
      <c r="L276" s="463"/>
    </row>
    <row r="277" spans="1:12" ht="12.75" customHeight="1" thickBot="1" x14ac:dyDescent="0.25">
      <c r="A277" s="1710" t="s">
        <v>37</v>
      </c>
      <c r="B277" s="1688" t="s">
        <v>36</v>
      </c>
      <c r="C277" s="614"/>
      <c r="D277" s="1689">
        <f>SUM(D272:D276)</f>
        <v>0</v>
      </c>
      <c r="E277" s="614"/>
      <c r="F277" s="614"/>
      <c r="G277" s="614"/>
      <c r="H277" s="614"/>
      <c r="I277" s="614"/>
      <c r="J277" s="614"/>
      <c r="K277" s="1689">
        <f>SUM(K272:K276)</f>
        <v>0</v>
      </c>
      <c r="L277" s="1689">
        <f>SUM(L272:L276)</f>
        <v>0</v>
      </c>
    </row>
    <row r="278" spans="1:12" ht="13.5" customHeight="1" thickTop="1" x14ac:dyDescent="0.2">
      <c r="A278" s="1529" t="s">
        <v>1037</v>
      </c>
      <c r="B278" s="653" t="s">
        <v>595</v>
      </c>
      <c r="C278" s="614"/>
      <c r="D278" s="654"/>
      <c r="E278" s="614"/>
      <c r="F278" s="614"/>
      <c r="G278" s="614"/>
      <c r="H278" s="614"/>
      <c r="I278" s="614"/>
      <c r="J278" s="614"/>
      <c r="K278" s="1704">
        <f>D278</f>
        <v>0</v>
      </c>
      <c r="L278" s="654"/>
    </row>
    <row r="279" spans="1:12" ht="12.75" customHeight="1" thickBot="1" x14ac:dyDescent="0.25">
      <c r="A279" s="1717" t="s">
        <v>865</v>
      </c>
      <c r="B279" s="1700">
        <v>2000</v>
      </c>
      <c r="C279" s="614"/>
      <c r="D279" s="1696">
        <f>SUM(D238,D243,D257,D261,D270,D277,D278)</f>
        <v>0</v>
      </c>
      <c r="E279" s="614"/>
      <c r="F279" s="614"/>
      <c r="G279" s="614"/>
      <c r="H279" s="614"/>
      <c r="I279" s="614"/>
      <c r="J279" s="614"/>
      <c r="K279" s="1696">
        <f>SUM(K238,K243,K257,K261,K270,K277,K278)</f>
        <v>0</v>
      </c>
      <c r="L279" s="1696">
        <f>SUM(L238,L243,L257,L261,L270,L277,L278)</f>
        <v>0</v>
      </c>
    </row>
    <row r="280" spans="1:12" ht="15.75" customHeight="1" thickTop="1" thickBot="1" x14ac:dyDescent="0.25">
      <c r="A280" s="1643" t="s">
        <v>930</v>
      </c>
      <c r="B280" s="1632">
        <v>3000</v>
      </c>
      <c r="C280" s="614"/>
      <c r="D280" s="573"/>
      <c r="E280" s="614"/>
      <c r="F280" s="614"/>
      <c r="G280" s="614"/>
      <c r="H280" s="614"/>
      <c r="I280" s="614"/>
      <c r="J280" s="614"/>
      <c r="K280" s="1698">
        <f>D280</f>
        <v>0</v>
      </c>
      <c r="L280" s="573"/>
    </row>
    <row r="281" spans="1:12" ht="15.75" customHeight="1" thickTop="1" x14ac:dyDescent="0.2">
      <c r="A281" s="1633" t="s">
        <v>144</v>
      </c>
      <c r="B281" s="1634" t="s">
        <v>915</v>
      </c>
      <c r="C281" s="614"/>
      <c r="D281" s="563"/>
      <c r="E281" s="614"/>
      <c r="F281" s="614"/>
      <c r="G281" s="614"/>
      <c r="H281" s="614"/>
      <c r="I281" s="614"/>
      <c r="J281" s="614"/>
      <c r="K281" s="614"/>
      <c r="L281" s="614"/>
    </row>
    <row r="282" spans="1:12" ht="15.75" customHeight="1" x14ac:dyDescent="0.2">
      <c r="A282" s="1850" t="s">
        <v>517</v>
      </c>
      <c r="B282" s="688" t="s">
        <v>1942</v>
      </c>
      <c r="C282" s="614"/>
      <c r="D282" s="464"/>
      <c r="E282" s="614"/>
      <c r="F282" s="614"/>
      <c r="G282" s="614"/>
      <c r="H282" s="614"/>
      <c r="I282" s="614"/>
      <c r="J282" s="614"/>
      <c r="K282" s="1690">
        <f>D282</f>
        <v>0</v>
      </c>
      <c r="L282" s="464"/>
    </row>
    <row r="283" spans="1:12" x14ac:dyDescent="0.2">
      <c r="A283" s="1523" t="s">
        <v>322</v>
      </c>
      <c r="B283" s="612">
        <v>4120</v>
      </c>
      <c r="C283" s="614"/>
      <c r="D283" s="463"/>
      <c r="E283" s="614"/>
      <c r="F283" s="614"/>
      <c r="G283" s="614"/>
      <c r="H283" s="614"/>
      <c r="I283" s="614"/>
      <c r="J283" s="614"/>
      <c r="K283" s="1690">
        <f>D283</f>
        <v>0</v>
      </c>
      <c r="L283" s="463"/>
    </row>
    <row r="284" spans="1:12" x14ac:dyDescent="0.2">
      <c r="A284" s="1523" t="s">
        <v>721</v>
      </c>
      <c r="B284" s="612">
        <v>4140</v>
      </c>
      <c r="C284" s="614"/>
      <c r="D284" s="464"/>
      <c r="E284" s="614"/>
      <c r="F284" s="614"/>
      <c r="G284" s="614"/>
      <c r="H284" s="614"/>
      <c r="I284" s="614"/>
      <c r="J284" s="614"/>
      <c r="K284" s="1690">
        <f>D284</f>
        <v>0</v>
      </c>
      <c r="L284" s="463"/>
    </row>
    <row r="285" spans="1:12" ht="12.75" customHeight="1" thickBot="1" x14ac:dyDescent="0.25">
      <c r="A285" s="1687" t="s">
        <v>1567</v>
      </c>
      <c r="B285" s="1688" t="s">
        <v>915</v>
      </c>
      <c r="C285" s="614"/>
      <c r="D285" s="1689">
        <f>SUM(D282:D284)</f>
        <v>0</v>
      </c>
      <c r="E285" s="614"/>
      <c r="F285" s="614"/>
      <c r="G285" s="614"/>
      <c r="H285" s="614"/>
      <c r="I285" s="614"/>
      <c r="J285" s="614"/>
      <c r="K285" s="1689">
        <f>SUM(K282:K284)</f>
        <v>0</v>
      </c>
      <c r="L285" s="1689">
        <f>SUM(L282:L284)</f>
        <v>0</v>
      </c>
    </row>
    <row r="286" spans="1:12" ht="15.75" customHeight="1" thickTop="1" x14ac:dyDescent="0.2">
      <c r="A286" s="1631" t="s">
        <v>931</v>
      </c>
      <c r="B286" s="1628" t="s">
        <v>513</v>
      </c>
      <c r="C286" s="614"/>
      <c r="D286" s="614"/>
      <c r="E286" s="614"/>
      <c r="F286" s="614"/>
      <c r="G286" s="614"/>
      <c r="H286" s="614"/>
      <c r="I286" s="614"/>
      <c r="J286" s="614"/>
      <c r="K286" s="614"/>
      <c r="L286" s="614"/>
    </row>
    <row r="287" spans="1:12" ht="15.75" customHeight="1" x14ac:dyDescent="0.2">
      <c r="A287" s="651" t="s">
        <v>95</v>
      </c>
      <c r="B287" s="620"/>
      <c r="C287" s="614"/>
      <c r="D287" s="614"/>
      <c r="E287" s="614"/>
      <c r="F287" s="614"/>
      <c r="G287" s="614"/>
      <c r="H287" s="621"/>
      <c r="I287" s="614"/>
      <c r="J287" s="614"/>
      <c r="K287" s="614"/>
      <c r="L287" s="614"/>
    </row>
    <row r="288" spans="1:12" x14ac:dyDescent="0.2">
      <c r="A288" s="1523" t="s">
        <v>89</v>
      </c>
      <c r="B288" s="612">
        <v>5110</v>
      </c>
      <c r="C288" s="614"/>
      <c r="D288" s="614"/>
      <c r="E288" s="614"/>
      <c r="F288" s="614"/>
      <c r="G288" s="614"/>
      <c r="H288" s="463"/>
      <c r="I288" s="614"/>
      <c r="J288" s="614"/>
      <c r="K288" s="1690">
        <f>H288</f>
        <v>0</v>
      </c>
      <c r="L288" s="463"/>
    </row>
    <row r="289" spans="1:14" x14ac:dyDescent="0.2">
      <c r="A289" s="1523" t="s">
        <v>90</v>
      </c>
      <c r="B289" s="612">
        <v>5120</v>
      </c>
      <c r="C289" s="614"/>
      <c r="D289" s="614"/>
      <c r="E289" s="614"/>
      <c r="F289" s="614"/>
      <c r="G289" s="614"/>
      <c r="H289" s="463"/>
      <c r="I289" s="614"/>
      <c r="J289" s="614"/>
      <c r="K289" s="1690">
        <f>H289</f>
        <v>0</v>
      </c>
      <c r="L289" s="463"/>
    </row>
    <row r="290" spans="1:14" ht="12.75" customHeight="1" x14ac:dyDescent="0.2">
      <c r="A290" s="1523" t="s">
        <v>1232</v>
      </c>
      <c r="B290" s="626" t="s">
        <v>638</v>
      </c>
      <c r="C290" s="614"/>
      <c r="D290" s="614"/>
      <c r="E290" s="614"/>
      <c r="F290" s="614"/>
      <c r="G290" s="614"/>
      <c r="H290" s="463"/>
      <c r="I290" s="614"/>
      <c r="J290" s="614"/>
      <c r="K290" s="1690">
        <f>H290</f>
        <v>0</v>
      </c>
      <c r="L290" s="463"/>
    </row>
    <row r="291" spans="1:14" x14ac:dyDescent="0.2">
      <c r="A291" s="1523" t="s">
        <v>91</v>
      </c>
      <c r="B291" s="612" t="s">
        <v>610</v>
      </c>
      <c r="C291" s="614"/>
      <c r="D291" s="614"/>
      <c r="E291" s="614"/>
      <c r="F291" s="614"/>
      <c r="G291" s="614"/>
      <c r="H291" s="463"/>
      <c r="I291" s="614"/>
      <c r="J291" s="614"/>
      <c r="K291" s="1690">
        <f>H291</f>
        <v>0</v>
      </c>
      <c r="L291" s="463"/>
    </row>
    <row r="292" spans="1:14" x14ac:dyDescent="0.2">
      <c r="A292" s="1523" t="s">
        <v>786</v>
      </c>
      <c r="B292" s="612" t="s">
        <v>639</v>
      </c>
      <c r="C292" s="614"/>
      <c r="D292" s="614"/>
      <c r="E292" s="614"/>
      <c r="F292" s="614"/>
      <c r="G292" s="614"/>
      <c r="H292" s="463"/>
      <c r="I292" s="614"/>
      <c r="J292" s="614"/>
      <c r="K292" s="1690">
        <f>H292</f>
        <v>0</v>
      </c>
      <c r="L292" s="463"/>
    </row>
    <row r="293" spans="1:14" ht="12.75" customHeight="1" thickBot="1" x14ac:dyDescent="0.25">
      <c r="A293" s="1687" t="s">
        <v>505</v>
      </c>
      <c r="B293" s="1688" t="s">
        <v>513</v>
      </c>
      <c r="C293" s="614"/>
      <c r="D293" s="614"/>
      <c r="E293" s="614"/>
      <c r="F293" s="614"/>
      <c r="G293" s="614"/>
      <c r="H293" s="1689">
        <f>SUM(H288:H292)</f>
        <v>0</v>
      </c>
      <c r="I293" s="614"/>
      <c r="J293" s="614"/>
      <c r="K293" s="1689">
        <f>SUM(K288:K292)</f>
        <v>0</v>
      </c>
      <c r="L293" s="1689">
        <f>SUM(L288:L292)</f>
        <v>0</v>
      </c>
    </row>
    <row r="294" spans="1:14" ht="15.75" customHeight="1" thickTop="1" thickBot="1" x14ac:dyDescent="0.25">
      <c r="A294" s="1644" t="s">
        <v>932</v>
      </c>
      <c r="B294" s="1632" t="s">
        <v>916</v>
      </c>
      <c r="C294" s="614"/>
      <c r="D294" s="621"/>
      <c r="E294" s="614"/>
      <c r="F294" s="614"/>
      <c r="G294" s="614"/>
      <c r="H294" s="684"/>
      <c r="I294" s="614"/>
      <c r="J294" s="614"/>
      <c r="K294" s="684"/>
      <c r="L294" s="575"/>
    </row>
    <row r="295" spans="1:14" ht="12.75" customHeight="1" thickTop="1" thickBot="1" x14ac:dyDescent="0.25">
      <c r="A295" s="2191" t="s">
        <v>526</v>
      </c>
      <c r="B295" s="2192"/>
      <c r="C295" s="614"/>
      <c r="D295" s="1689">
        <f>SUM(D229,D279,D280,D285)</f>
        <v>0</v>
      </c>
      <c r="E295" s="614"/>
      <c r="F295" s="614"/>
      <c r="G295" s="614"/>
      <c r="H295" s="1689">
        <f>H293</f>
        <v>0</v>
      </c>
      <c r="I295" s="614"/>
      <c r="J295" s="614"/>
      <c r="K295" s="1689">
        <f>SUM(K229,K279,K280,K285,K293,K294)</f>
        <v>0</v>
      </c>
      <c r="L295" s="1689">
        <f>SUM(L229,L279,L280,L285,L293,L294)</f>
        <v>0</v>
      </c>
    </row>
    <row r="296" spans="1:14" ht="13.5" thickTop="1" x14ac:dyDescent="0.2">
      <c r="A296" s="2173" t="s">
        <v>1053</v>
      </c>
      <c r="B296" s="2174"/>
      <c r="C296" s="614"/>
      <c r="D296" s="616"/>
      <c r="E296" s="614"/>
      <c r="F296" s="614"/>
      <c r="G296" s="614"/>
      <c r="H296" s="685"/>
      <c r="I296" s="614"/>
      <c r="J296" s="614"/>
      <c r="K296" s="1703">
        <f>'Revenues 9-14'!G275-'Expenditures 15-22'!K295</f>
        <v>0</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3" t="s">
        <v>145</v>
      </c>
      <c r="B298" s="2177"/>
      <c r="C298" s="1570"/>
      <c r="D298" s="1571"/>
      <c r="E298" s="1571"/>
      <c r="F298" s="1571"/>
      <c r="G298" s="1571"/>
      <c r="H298" s="1571"/>
      <c r="I298" s="1571"/>
      <c r="J298" s="1571"/>
      <c r="K298" s="1571"/>
      <c r="L298" s="1572"/>
    </row>
    <row r="299" spans="1:14" ht="15.75" customHeight="1" x14ac:dyDescent="0.2">
      <c r="A299" s="1631" t="s">
        <v>146</v>
      </c>
      <c r="B299" s="1634" t="s">
        <v>590</v>
      </c>
      <c r="C299" s="614"/>
      <c r="D299" s="614"/>
      <c r="E299" s="614"/>
      <c r="F299" s="614"/>
      <c r="G299" s="614"/>
      <c r="H299" s="614"/>
      <c r="I299" s="614"/>
      <c r="J299" s="614"/>
      <c r="K299" s="614"/>
      <c r="L299" s="614"/>
    </row>
    <row r="300" spans="1:14" ht="15.75" customHeight="1" x14ac:dyDescent="0.2">
      <c r="A300" s="686" t="s">
        <v>633</v>
      </c>
      <c r="B300" s="629"/>
      <c r="C300" s="621"/>
      <c r="D300" s="621"/>
      <c r="E300" s="621"/>
      <c r="F300" s="621"/>
      <c r="G300" s="621"/>
      <c r="H300" s="621"/>
      <c r="I300" s="614"/>
      <c r="J300" s="614"/>
      <c r="K300" s="621"/>
      <c r="L300" s="621"/>
    </row>
    <row r="301" spans="1:14" x14ac:dyDescent="0.2">
      <c r="A301" s="1536" t="s">
        <v>629</v>
      </c>
      <c r="B301" s="687">
        <v>2530</v>
      </c>
      <c r="C301" s="463"/>
      <c r="D301" s="463"/>
      <c r="E301" s="463"/>
      <c r="F301" s="463"/>
      <c r="G301" s="463"/>
      <c r="H301" s="463"/>
      <c r="I301" s="464"/>
      <c r="J301" s="464"/>
      <c r="K301" s="1690">
        <f>SUM(C301:J301)</f>
        <v>0</v>
      </c>
      <c r="L301" s="464"/>
    </row>
    <row r="302" spans="1:14" ht="13.5" customHeight="1" x14ac:dyDescent="0.2">
      <c r="A302" s="1536" t="s">
        <v>1037</v>
      </c>
      <c r="B302" s="612" t="s">
        <v>595</v>
      </c>
      <c r="C302" s="463"/>
      <c r="D302" s="463"/>
      <c r="E302" s="463"/>
      <c r="F302" s="463"/>
      <c r="G302" s="463"/>
      <c r="H302" s="463"/>
      <c r="I302" s="464"/>
      <c r="J302" s="464"/>
      <c r="K302" s="1690">
        <f>SUM(C302:J302)</f>
        <v>0</v>
      </c>
      <c r="L302" s="463"/>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1" t="s">
        <v>147</v>
      </c>
      <c r="B304" s="1632" t="s">
        <v>915</v>
      </c>
      <c r="C304" s="614"/>
      <c r="D304" s="614"/>
      <c r="E304" s="614"/>
      <c r="F304" s="614"/>
      <c r="G304" s="614"/>
      <c r="H304" s="614"/>
      <c r="I304" s="614"/>
      <c r="J304" s="614"/>
      <c r="K304" s="614"/>
      <c r="L304" s="614"/>
    </row>
    <row r="305" spans="1:14" ht="15.75" customHeight="1" x14ac:dyDescent="0.2">
      <c r="A305" s="651" t="s">
        <v>953</v>
      </c>
      <c r="B305" s="620"/>
      <c r="C305" s="614"/>
      <c r="D305" s="614"/>
      <c r="E305" s="614"/>
      <c r="F305" s="614"/>
      <c r="G305" s="614"/>
      <c r="H305" s="614"/>
      <c r="I305" s="614"/>
      <c r="J305" s="614"/>
      <c r="K305" s="614"/>
      <c r="L305" s="614"/>
    </row>
    <row r="306" spans="1:14" x14ac:dyDescent="0.2">
      <c r="A306" s="1537" t="s">
        <v>1947</v>
      </c>
      <c r="B306" s="688" t="s">
        <v>1942</v>
      </c>
      <c r="C306" s="614"/>
      <c r="D306" s="614"/>
      <c r="E306" s="464"/>
      <c r="F306" s="614"/>
      <c r="G306" s="614"/>
      <c r="H306" s="464"/>
      <c r="I306" s="614"/>
      <c r="J306" s="614"/>
      <c r="K306" s="1690">
        <f>SUM(E306,H306)</f>
        <v>0</v>
      </c>
      <c r="L306" s="464"/>
    </row>
    <row r="307" spans="1:14" x14ac:dyDescent="0.2">
      <c r="A307" s="1523" t="s">
        <v>322</v>
      </c>
      <c r="B307" s="612">
        <v>4120</v>
      </c>
      <c r="C307" s="614"/>
      <c r="D307" s="614"/>
      <c r="E307" s="464"/>
      <c r="F307" s="614"/>
      <c r="G307" s="614"/>
      <c r="H307" s="464"/>
      <c r="I307" s="474"/>
      <c r="J307" s="614"/>
      <c r="K307" s="1690">
        <f>SUM(E307,H307)</f>
        <v>0</v>
      </c>
      <c r="L307" s="463"/>
    </row>
    <row r="308" spans="1:14" x14ac:dyDescent="0.2">
      <c r="A308" s="1523" t="s">
        <v>721</v>
      </c>
      <c r="B308" s="612">
        <v>4140</v>
      </c>
      <c r="C308" s="614"/>
      <c r="D308" s="614"/>
      <c r="E308" s="464"/>
      <c r="F308" s="614"/>
      <c r="G308" s="614"/>
      <c r="H308" s="464"/>
      <c r="I308" s="474"/>
      <c r="J308" s="614"/>
      <c r="K308" s="1690">
        <f>SUM(E308,H308)</f>
        <v>0</v>
      </c>
      <c r="L308" s="463"/>
    </row>
    <row r="309" spans="1:14" ht="12.75" customHeight="1" x14ac:dyDescent="0.2">
      <c r="A309" s="1527" t="s">
        <v>722</v>
      </c>
      <c r="B309" s="626">
        <v>4190</v>
      </c>
      <c r="C309" s="614"/>
      <c r="D309" s="614"/>
      <c r="E309" s="464"/>
      <c r="F309" s="614"/>
      <c r="G309" s="614"/>
      <c r="H309" s="464"/>
      <c r="I309" s="474"/>
      <c r="J309" s="614"/>
      <c r="K309" s="1690">
        <f>SUM(E309,H309)</f>
        <v>0</v>
      </c>
      <c r="L309" s="463"/>
    </row>
    <row r="310" spans="1:14" ht="12.75" customHeight="1" thickBot="1" x14ac:dyDescent="0.25">
      <c r="A310" s="1687" t="s">
        <v>1567</v>
      </c>
      <c r="B310" s="1694" t="s">
        <v>915</v>
      </c>
      <c r="C310" s="614"/>
      <c r="D310" s="614"/>
      <c r="E310" s="1689">
        <f>SUM(E306:E309)</f>
        <v>0</v>
      </c>
      <c r="F310" s="614"/>
      <c r="G310" s="614"/>
      <c r="H310" s="1689">
        <f>SUM(H306:H309)</f>
        <v>0</v>
      </c>
      <c r="I310" s="474"/>
      <c r="J310" s="614"/>
      <c r="K310" s="1689">
        <f>SUM(K306:K309)</f>
        <v>0</v>
      </c>
      <c r="L310" s="1696">
        <f>SUM(L306:L309)</f>
        <v>0</v>
      </c>
    </row>
    <row r="311" spans="1:14" ht="15.75" customHeight="1" thickTop="1" thickBot="1" x14ac:dyDescent="0.25">
      <c r="A311" s="1638" t="s">
        <v>951</v>
      </c>
      <c r="B311" s="1630" t="s">
        <v>916</v>
      </c>
      <c r="C311" s="621"/>
      <c r="D311" s="621"/>
      <c r="E311" s="621"/>
      <c r="F311" s="621"/>
      <c r="G311" s="621"/>
      <c r="H311" s="621"/>
      <c r="I311" s="621"/>
      <c r="J311" s="614"/>
      <c r="K311" s="621"/>
      <c r="L311" s="573"/>
    </row>
    <row r="312" spans="1:14" s="672" customFormat="1" ht="12.75" customHeight="1" thickTop="1" thickBot="1" x14ac:dyDescent="0.25">
      <c r="A312" s="2188" t="s">
        <v>295</v>
      </c>
      <c r="B312" s="2189"/>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3"/>
      <c r="N312" s="663"/>
    </row>
    <row r="313" spans="1:14" ht="13.5" thickTop="1" x14ac:dyDescent="0.2">
      <c r="A313" s="2184" t="s">
        <v>1053</v>
      </c>
      <c r="B313" s="2185"/>
      <c r="C313" s="624"/>
      <c r="D313" s="624"/>
      <c r="E313" s="624"/>
      <c r="F313" s="624"/>
      <c r="G313" s="624"/>
      <c r="H313" s="624"/>
      <c r="I313" s="624"/>
      <c r="J313" s="624"/>
      <c r="K313" s="1704">
        <f>'Revenues 9-14'!H275-'Expenditures 15-22'!K312</f>
        <v>0</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97" t="s">
        <v>151</v>
      </c>
      <c r="B315" s="2198"/>
      <c r="C315" s="1575"/>
      <c r="D315" s="1576"/>
      <c r="E315" s="1576"/>
      <c r="F315" s="1576"/>
      <c r="G315" s="1576"/>
      <c r="H315" s="1576"/>
      <c r="I315" s="1576"/>
      <c r="J315" s="1576"/>
      <c r="K315" s="1576"/>
      <c r="L315" s="1577"/>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9" t="s">
        <v>954</v>
      </c>
      <c r="B317" s="2198"/>
      <c r="C317" s="1575"/>
      <c r="D317" s="1576"/>
      <c r="E317" s="1576"/>
      <c r="F317" s="1576"/>
      <c r="G317" s="1576"/>
      <c r="H317" s="1576"/>
      <c r="I317" s="1576"/>
      <c r="J317" s="1576"/>
      <c r="K317" s="1576"/>
      <c r="L317" s="1577"/>
    </row>
    <row r="318" spans="1:14" s="672" customFormat="1" ht="15.75" customHeight="1" x14ac:dyDescent="0.2">
      <c r="A318" s="693" t="s">
        <v>631</v>
      </c>
      <c r="B318" s="694"/>
      <c r="C318" s="636"/>
      <c r="D318" s="636"/>
      <c r="E318" s="636"/>
      <c r="F318" s="636"/>
      <c r="G318" s="636"/>
      <c r="H318" s="636"/>
      <c r="I318" s="636"/>
      <c r="J318" s="636"/>
      <c r="K318" s="636"/>
      <c r="L318" s="636"/>
      <c r="M318" s="663"/>
      <c r="N318" s="663"/>
    </row>
    <row r="319" spans="1:14" s="672" customFormat="1" x14ac:dyDescent="0.2">
      <c r="A319" s="1538" t="s">
        <v>317</v>
      </c>
      <c r="B319" s="695" t="s">
        <v>299</v>
      </c>
      <c r="C319" s="464"/>
      <c r="D319" s="464"/>
      <c r="E319" s="464"/>
      <c r="F319" s="464"/>
      <c r="G319" s="464"/>
      <c r="H319" s="464"/>
      <c r="I319" s="464"/>
      <c r="J319" s="464"/>
      <c r="K319" s="1690">
        <f>SUM(C319:J319)</f>
        <v>0</v>
      </c>
      <c r="L319" s="464"/>
      <c r="M319" s="663"/>
      <c r="N319" s="663"/>
    </row>
    <row r="320" spans="1:14" s="672" customFormat="1" x14ac:dyDescent="0.2">
      <c r="A320" s="1542" t="s">
        <v>1893</v>
      </c>
      <c r="B320" s="696" t="s">
        <v>300</v>
      </c>
      <c r="C320" s="464"/>
      <c r="D320" s="464"/>
      <c r="E320" s="464"/>
      <c r="F320" s="464"/>
      <c r="G320" s="464"/>
      <c r="H320" s="464"/>
      <c r="I320" s="464"/>
      <c r="J320" s="464"/>
      <c r="K320" s="1690">
        <f t="shared" ref="K320:K327" si="24">SUM(C320:J320)</f>
        <v>0</v>
      </c>
      <c r="L320" s="464"/>
      <c r="M320" s="663"/>
      <c r="N320" s="663"/>
    </row>
    <row r="321" spans="1:14" s="672" customFormat="1" x14ac:dyDescent="0.2">
      <c r="A321" s="1538" t="s">
        <v>318</v>
      </c>
      <c r="B321" s="695" t="s">
        <v>301</v>
      </c>
      <c r="C321" s="464"/>
      <c r="D321" s="464"/>
      <c r="E321" s="464"/>
      <c r="F321" s="464"/>
      <c r="G321" s="464"/>
      <c r="H321" s="464"/>
      <c r="I321" s="464"/>
      <c r="J321" s="464"/>
      <c r="K321" s="1690">
        <f t="shared" si="24"/>
        <v>0</v>
      </c>
      <c r="L321" s="464"/>
      <c r="M321" s="663"/>
      <c r="N321" s="663"/>
    </row>
    <row r="322" spans="1:14" s="672" customFormat="1" x14ac:dyDescent="0.2">
      <c r="A322" s="1538" t="s">
        <v>256</v>
      </c>
      <c r="B322" s="695" t="s">
        <v>302</v>
      </c>
      <c r="C322" s="464"/>
      <c r="D322" s="464"/>
      <c r="E322" s="464"/>
      <c r="F322" s="464"/>
      <c r="G322" s="464"/>
      <c r="H322" s="464"/>
      <c r="I322" s="464"/>
      <c r="J322" s="464"/>
      <c r="K322" s="1690">
        <f t="shared" si="24"/>
        <v>0</v>
      </c>
      <c r="L322" s="464"/>
      <c r="M322" s="663"/>
      <c r="N322" s="663"/>
    </row>
    <row r="323" spans="1:14" s="672" customFormat="1" x14ac:dyDescent="0.2">
      <c r="A323" s="1538" t="s">
        <v>726</v>
      </c>
      <c r="B323" s="695" t="s">
        <v>303</v>
      </c>
      <c r="C323" s="464"/>
      <c r="D323" s="464"/>
      <c r="E323" s="464"/>
      <c r="F323" s="464"/>
      <c r="G323" s="464"/>
      <c r="H323" s="464"/>
      <c r="I323" s="464"/>
      <c r="J323" s="464"/>
      <c r="K323" s="1690">
        <f t="shared" si="24"/>
        <v>0</v>
      </c>
      <c r="L323" s="464"/>
      <c r="M323" s="663"/>
      <c r="N323" s="663"/>
    </row>
    <row r="324" spans="1:14" s="672" customFormat="1" x14ac:dyDescent="0.2">
      <c r="A324" s="1538" t="s">
        <v>257</v>
      </c>
      <c r="B324" s="695" t="s">
        <v>304</v>
      </c>
      <c r="C324" s="464"/>
      <c r="D324" s="464"/>
      <c r="E324" s="464"/>
      <c r="F324" s="464"/>
      <c r="G324" s="464"/>
      <c r="H324" s="464"/>
      <c r="I324" s="464"/>
      <c r="J324" s="464"/>
      <c r="K324" s="1690">
        <f t="shared" si="24"/>
        <v>0</v>
      </c>
      <c r="L324" s="464"/>
      <c r="M324" s="663"/>
      <c r="N324" s="663"/>
    </row>
    <row r="325" spans="1:14" s="672" customFormat="1" ht="22.5" x14ac:dyDescent="0.2">
      <c r="A325" s="1538" t="s">
        <v>1087</v>
      </c>
      <c r="B325" s="696" t="s">
        <v>305</v>
      </c>
      <c r="C325" s="464"/>
      <c r="D325" s="464"/>
      <c r="E325" s="464"/>
      <c r="F325" s="464"/>
      <c r="G325" s="464"/>
      <c r="H325" s="464"/>
      <c r="I325" s="464"/>
      <c r="J325" s="464"/>
      <c r="K325" s="1690">
        <f t="shared" si="24"/>
        <v>0</v>
      </c>
      <c r="L325" s="464"/>
      <c r="M325" s="663"/>
      <c r="N325" s="663"/>
    </row>
    <row r="326" spans="1:14" s="672" customFormat="1" x14ac:dyDescent="0.2">
      <c r="A326" s="1538" t="s">
        <v>1088</v>
      </c>
      <c r="B326" s="695" t="s">
        <v>306</v>
      </c>
      <c r="C326" s="464"/>
      <c r="D326" s="464"/>
      <c r="E326" s="464"/>
      <c r="F326" s="464"/>
      <c r="G326" s="464"/>
      <c r="H326" s="464"/>
      <c r="I326" s="464"/>
      <c r="J326" s="464"/>
      <c r="K326" s="1690">
        <f t="shared" si="24"/>
        <v>0</v>
      </c>
      <c r="L326" s="464"/>
      <c r="M326" s="663"/>
      <c r="N326" s="663"/>
    </row>
    <row r="327" spans="1:14" s="672" customFormat="1" x14ac:dyDescent="0.2">
      <c r="A327" s="1538" t="s">
        <v>1028</v>
      </c>
      <c r="B327" s="695" t="s">
        <v>307</v>
      </c>
      <c r="C327" s="464"/>
      <c r="D327" s="464"/>
      <c r="E327" s="464"/>
      <c r="F327" s="464"/>
      <c r="G327" s="464"/>
      <c r="H327" s="464"/>
      <c r="I327" s="464"/>
      <c r="J327" s="464"/>
      <c r="K327" s="1690">
        <f t="shared" si="24"/>
        <v>0</v>
      </c>
      <c r="L327" s="464"/>
      <c r="M327" s="663"/>
      <c r="N327" s="663"/>
    </row>
    <row r="328" spans="1:14" s="672" customFormat="1" x14ac:dyDescent="0.2">
      <c r="A328" s="1539" t="s">
        <v>492</v>
      </c>
      <c r="B328" s="688" t="s">
        <v>1194</v>
      </c>
      <c r="C328" s="471"/>
      <c r="D328" s="471"/>
      <c r="E328" s="471"/>
      <c r="F328" s="471"/>
      <c r="G328" s="471"/>
      <c r="H328" s="471"/>
      <c r="I328" s="471"/>
      <c r="J328" s="471"/>
      <c r="K328" s="1718">
        <f>SUM(C328:J328)</f>
        <v>0</v>
      </c>
      <c r="L328" s="471"/>
      <c r="M328" s="663"/>
      <c r="N328" s="663"/>
    </row>
    <row r="329" spans="1:14" s="672" customFormat="1" x14ac:dyDescent="0.2">
      <c r="A329" s="1539" t="s">
        <v>1195</v>
      </c>
      <c r="B329" s="688" t="s">
        <v>1196</v>
      </c>
      <c r="C329" s="471"/>
      <c r="D329" s="471"/>
      <c r="E329" s="471"/>
      <c r="F329" s="471"/>
      <c r="G329" s="471"/>
      <c r="H329" s="471"/>
      <c r="I329" s="471"/>
      <c r="J329" s="471"/>
      <c r="K329" s="1718">
        <f>SUM(C329:J329)</f>
        <v>0</v>
      </c>
      <c r="L329" s="471"/>
      <c r="M329" s="663"/>
      <c r="N329" s="663"/>
    </row>
    <row r="330" spans="1:14" s="672"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3"/>
      <c r="N330" s="663"/>
    </row>
    <row r="331" spans="1:14" s="672" customFormat="1" ht="12.75" customHeight="1" thickTop="1" x14ac:dyDescent="0.2">
      <c r="A331" s="1851" t="s">
        <v>1948</v>
      </c>
      <c r="B331" s="645" t="s">
        <v>915</v>
      </c>
      <c r="C331" s="1853"/>
      <c r="D331" s="1853"/>
      <c r="E331" s="1853"/>
      <c r="F331" s="1853"/>
      <c r="G331" s="1853"/>
      <c r="H331" s="1853"/>
      <c r="I331" s="1853"/>
      <c r="J331" s="1853"/>
      <c r="K331" s="1853"/>
      <c r="L331" s="1853"/>
      <c r="M331" s="663"/>
      <c r="N331" s="663"/>
    </row>
    <row r="332" spans="1:14" s="672" customFormat="1" ht="12.75" customHeight="1" x14ac:dyDescent="0.2">
      <c r="A332" s="1852" t="s">
        <v>517</v>
      </c>
      <c r="B332" s="1847" t="s">
        <v>1942</v>
      </c>
      <c r="C332" s="1853"/>
      <c r="D332" s="1853"/>
      <c r="E332" s="1853"/>
      <c r="F332" s="1853"/>
      <c r="G332" s="1853"/>
      <c r="H332" s="464"/>
      <c r="I332" s="1853"/>
      <c r="J332" s="1853"/>
      <c r="K332" s="1690">
        <f>H332</f>
        <v>0</v>
      </c>
      <c r="L332" s="464"/>
      <c r="M332" s="663"/>
      <c r="N332" s="663"/>
    </row>
    <row r="333" spans="1:14" s="672" customFormat="1" ht="12.75" customHeight="1" x14ac:dyDescent="0.2">
      <c r="A333" s="1852" t="s">
        <v>322</v>
      </c>
      <c r="B333" s="1847" t="s">
        <v>1944</v>
      </c>
      <c r="C333" s="1853"/>
      <c r="D333" s="1853"/>
      <c r="E333" s="1853"/>
      <c r="F333" s="1853"/>
      <c r="G333" s="1853"/>
      <c r="H333" s="464"/>
      <c r="I333" s="1853"/>
      <c r="J333" s="1853"/>
      <c r="K333" s="1690">
        <f>H333</f>
        <v>0</v>
      </c>
      <c r="L333" s="464"/>
      <c r="M333" s="663"/>
      <c r="N333" s="663"/>
    </row>
    <row r="334" spans="1:14" s="672" customFormat="1" ht="12.75" customHeight="1" thickBot="1" x14ac:dyDescent="0.25">
      <c r="A334" s="1852" t="s">
        <v>1949</v>
      </c>
      <c r="B334" s="1847" t="s">
        <v>915</v>
      </c>
      <c r="C334" s="1853"/>
      <c r="D334" s="1853"/>
      <c r="E334" s="1853"/>
      <c r="F334" s="1853"/>
      <c r="G334" s="1853"/>
      <c r="H334" s="1689">
        <f>SUM(H332:H333)</f>
        <v>0</v>
      </c>
      <c r="I334" s="1853"/>
      <c r="J334" s="1853"/>
      <c r="K334" s="1689">
        <f>SUM(K332:K333)</f>
        <v>0</v>
      </c>
      <c r="L334" s="1689">
        <f>SUM(L332:L333)</f>
        <v>0</v>
      </c>
      <c r="M334" s="663"/>
      <c r="N334" s="663"/>
    </row>
    <row r="335" spans="1:14" ht="15.75" customHeight="1" thickTop="1" x14ac:dyDescent="0.2">
      <c r="A335" s="1635" t="s">
        <v>955</v>
      </c>
      <c r="B335" s="1626" t="s">
        <v>513</v>
      </c>
      <c r="C335" s="614"/>
      <c r="D335" s="614"/>
      <c r="E335" s="614"/>
      <c r="F335" s="614"/>
      <c r="G335" s="614"/>
      <c r="H335" s="614"/>
      <c r="I335" s="614"/>
      <c r="J335" s="614"/>
      <c r="K335" s="614"/>
      <c r="L335" s="614"/>
    </row>
    <row r="336" spans="1:14" ht="15.75" customHeight="1" x14ac:dyDescent="0.2">
      <c r="A336" s="651" t="s">
        <v>636</v>
      </c>
      <c r="B336" s="620"/>
      <c r="C336" s="614"/>
      <c r="D336" s="614"/>
      <c r="E336" s="614"/>
      <c r="F336" s="614"/>
      <c r="G336" s="614"/>
      <c r="H336" s="621"/>
      <c r="I336" s="614"/>
      <c r="J336" s="614"/>
      <c r="K336" s="621"/>
      <c r="L336" s="621"/>
    </row>
    <row r="337" spans="1:14" x14ac:dyDescent="0.2">
      <c r="A337" s="1537" t="s">
        <v>89</v>
      </c>
      <c r="B337" s="688" t="s">
        <v>956</v>
      </c>
      <c r="C337" s="636"/>
      <c r="D337" s="636"/>
      <c r="E337" s="636"/>
      <c r="F337" s="636"/>
      <c r="G337" s="636"/>
      <c r="H337" s="475"/>
      <c r="I337" s="636"/>
      <c r="J337" s="636"/>
      <c r="K337" s="1690">
        <f>H337</f>
        <v>0</v>
      </c>
      <c r="L337" s="475"/>
    </row>
    <row r="338" spans="1:14" ht="12.75" customHeight="1" x14ac:dyDescent="0.2">
      <c r="A338" s="1537" t="s">
        <v>1232</v>
      </c>
      <c r="B338" s="688" t="s">
        <v>638</v>
      </c>
      <c r="C338" s="636"/>
      <c r="D338" s="636"/>
      <c r="E338" s="636"/>
      <c r="F338" s="636"/>
      <c r="G338" s="636"/>
      <c r="H338" s="475"/>
      <c r="I338" s="636"/>
      <c r="J338" s="636"/>
      <c r="K338" s="1690">
        <f>H338</f>
        <v>0</v>
      </c>
      <c r="L338" s="475"/>
    </row>
    <row r="339" spans="1:14" x14ac:dyDescent="0.2">
      <c r="A339" s="1523" t="s">
        <v>957</v>
      </c>
      <c r="B339" s="626">
        <v>5150</v>
      </c>
      <c r="C339" s="636"/>
      <c r="D339" s="636"/>
      <c r="E339" s="636"/>
      <c r="F339" s="636"/>
      <c r="G339" s="636"/>
      <c r="H339" s="464"/>
      <c r="I339" s="636"/>
      <c r="J339" s="636"/>
      <c r="K339" s="1690">
        <f>H339</f>
        <v>0</v>
      </c>
      <c r="L339" s="464"/>
    </row>
    <row r="340" spans="1:14" ht="13.5" thickBot="1" x14ac:dyDescent="0.25">
      <c r="A340" s="1713" t="s">
        <v>958</v>
      </c>
      <c r="B340" s="1688" t="s">
        <v>513</v>
      </c>
      <c r="C340" s="614"/>
      <c r="D340" s="614"/>
      <c r="E340" s="614"/>
      <c r="F340" s="614"/>
      <c r="G340" s="614"/>
      <c r="H340" s="1707">
        <f>SUM(H337:H339)</f>
        <v>0</v>
      </c>
      <c r="I340" s="614"/>
      <c r="J340" s="614"/>
      <c r="K340" s="1707">
        <f>SUM(K337:K339)</f>
        <v>0</v>
      </c>
      <c r="L340" s="1707">
        <f>SUM(L337:L339)</f>
        <v>0</v>
      </c>
    </row>
    <row r="341" spans="1:14" ht="15.75" customHeight="1" thickTop="1" thickBot="1" x14ac:dyDescent="0.25">
      <c r="A341" s="1638" t="s">
        <v>959</v>
      </c>
      <c r="B341" s="1630" t="s">
        <v>916</v>
      </c>
      <c r="C341" s="614"/>
      <c r="D341" s="614"/>
      <c r="E341" s="474"/>
      <c r="F341" s="465"/>
      <c r="G341" s="465"/>
      <c r="H341" s="474"/>
      <c r="I341" s="474"/>
      <c r="J341" s="465"/>
      <c r="K341" s="474"/>
      <c r="L341" s="573"/>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186" t="s">
        <v>1053</v>
      </c>
      <c r="B343" s="2187"/>
      <c r="C343" s="614"/>
      <c r="D343" s="614"/>
      <c r="E343" s="614"/>
      <c r="F343" s="614"/>
      <c r="G343" s="614"/>
      <c r="H343" s="614"/>
      <c r="I343" s="614"/>
      <c r="J343" s="614"/>
      <c r="K343" s="1703">
        <f>'Revenues 9-14'!J275-'Expenditures 15-22'!K342</f>
        <v>0</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6" t="s">
        <v>1023</v>
      </c>
      <c r="B345" s="2177"/>
      <c r="C345" s="1570"/>
      <c r="D345" s="1571"/>
      <c r="E345" s="1571"/>
      <c r="F345" s="1571"/>
      <c r="G345" s="1571"/>
      <c r="H345" s="1571"/>
      <c r="I345" s="1571"/>
      <c r="J345" s="1571"/>
      <c r="K345" s="1571"/>
      <c r="L345" s="1572"/>
      <c r="M345" s="665"/>
      <c r="N345" s="665"/>
    </row>
    <row r="346" spans="1:14" s="340" customFormat="1" ht="15.75" customHeight="1" x14ac:dyDescent="0.2">
      <c r="A346" s="1642" t="s">
        <v>899</v>
      </c>
      <c r="B346" s="1634" t="s">
        <v>590</v>
      </c>
      <c r="C346" s="614"/>
      <c r="D346" s="614"/>
      <c r="E346" s="614"/>
      <c r="F346" s="614"/>
      <c r="G346" s="614"/>
      <c r="H346" s="614"/>
      <c r="I346" s="614"/>
      <c r="J346" s="614"/>
      <c r="K346" s="614"/>
      <c r="L346" s="614"/>
      <c r="M346" s="607"/>
      <c r="N346" s="607"/>
    </row>
    <row r="347" spans="1:14" ht="15.75" customHeight="1" x14ac:dyDescent="0.2">
      <c r="A347" s="697" t="s">
        <v>633</v>
      </c>
      <c r="B347" s="698"/>
      <c r="C347" s="621"/>
      <c r="D347" s="621"/>
      <c r="E347" s="621"/>
      <c r="F347" s="621"/>
      <c r="G347" s="621"/>
      <c r="H347" s="621"/>
      <c r="I347" s="614"/>
      <c r="J347" s="614"/>
      <c r="K347" s="621"/>
      <c r="L347" s="621"/>
    </row>
    <row r="348" spans="1:14" x14ac:dyDescent="0.2">
      <c r="A348" s="1523" t="s">
        <v>4</v>
      </c>
      <c r="B348" s="612">
        <v>2530</v>
      </c>
      <c r="C348" s="463"/>
      <c r="D348" s="463"/>
      <c r="E348" s="463"/>
      <c r="F348" s="463"/>
      <c r="G348" s="463"/>
      <c r="H348" s="463"/>
      <c r="I348" s="464"/>
      <c r="J348" s="464"/>
      <c r="K348" s="1690">
        <f>SUM(C348:J348)</f>
        <v>0</v>
      </c>
      <c r="L348" s="463"/>
    </row>
    <row r="349" spans="1:14" x14ac:dyDescent="0.2">
      <c r="A349" s="1523" t="s">
        <v>206</v>
      </c>
      <c r="B349" s="612">
        <v>2540</v>
      </c>
      <c r="C349" s="463"/>
      <c r="D349" s="463"/>
      <c r="E349" s="463"/>
      <c r="F349" s="463"/>
      <c r="G349" s="463"/>
      <c r="H349" s="463"/>
      <c r="I349" s="464"/>
      <c r="J349" s="464"/>
      <c r="K349" s="1690">
        <f>SUM(C349:J349)</f>
        <v>0</v>
      </c>
      <c r="L349" s="463"/>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1037</v>
      </c>
      <c r="B351" s="641" t="s">
        <v>595</v>
      </c>
      <c r="C351" s="478"/>
      <c r="D351" s="478"/>
      <c r="E351" s="478"/>
      <c r="F351" s="478"/>
      <c r="G351" s="478"/>
      <c r="H351" s="478"/>
      <c r="I351" s="475"/>
      <c r="J351" s="475"/>
      <c r="K351" s="613">
        <f>SUM(C351:J351)</f>
        <v>0</v>
      </c>
      <c r="L351" s="478"/>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0" customFormat="1" ht="15.75" customHeight="1" thickTop="1" x14ac:dyDescent="0.2">
      <c r="A353" s="1631" t="s">
        <v>646</v>
      </c>
      <c r="B353" s="1628" t="s">
        <v>915</v>
      </c>
      <c r="C353" s="614"/>
      <c r="D353" s="614"/>
      <c r="E353" s="614"/>
      <c r="F353" s="614"/>
      <c r="G353" s="614"/>
      <c r="H353" s="614"/>
      <c r="I353" s="614"/>
      <c r="J353" s="614"/>
      <c r="K353" s="614"/>
      <c r="L353" s="614"/>
      <c r="M353" s="607"/>
      <c r="N353" s="607"/>
    </row>
    <row r="354" spans="1:14" x14ac:dyDescent="0.2">
      <c r="A354" s="1854" t="s">
        <v>1950</v>
      </c>
      <c r="B354" s="681" t="s">
        <v>1942</v>
      </c>
      <c r="C354" s="614"/>
      <c r="D354" s="614"/>
      <c r="E354" s="614"/>
      <c r="F354" s="614"/>
      <c r="G354" s="614"/>
      <c r="H354" s="471"/>
      <c r="I354" s="699"/>
      <c r="J354" s="614"/>
      <c r="K354" s="1718">
        <f>H354</f>
        <v>0</v>
      </c>
      <c r="L354" s="468"/>
    </row>
    <row r="355" spans="1:14" ht="12.75" customHeight="1" x14ac:dyDescent="0.2">
      <c r="A355" s="1532" t="s">
        <v>1951</v>
      </c>
      <c r="B355" s="688" t="s">
        <v>1944</v>
      </c>
      <c r="C355" s="614"/>
      <c r="D355" s="614"/>
      <c r="E355" s="614"/>
      <c r="F355" s="614"/>
      <c r="G355" s="614"/>
      <c r="H355" s="464"/>
      <c r="I355" s="699"/>
      <c r="J355" s="614"/>
      <c r="K355" s="1762">
        <f>H355</f>
        <v>0</v>
      </c>
      <c r="L355" s="464"/>
    </row>
    <row r="356" spans="1:14" ht="12.75" customHeight="1" x14ac:dyDescent="0.2">
      <c r="A356" s="1854" t="s">
        <v>722</v>
      </c>
      <c r="B356" s="681" t="s">
        <v>579</v>
      </c>
      <c r="C356" s="614"/>
      <c r="D356" s="614"/>
      <c r="E356" s="614"/>
      <c r="F356" s="614"/>
      <c r="G356" s="614"/>
      <c r="H356" s="476"/>
      <c r="I356" s="699"/>
      <c r="J356" s="614"/>
      <c r="K356" s="1759">
        <f>H356</f>
        <v>0</v>
      </c>
      <c r="L356" s="476"/>
    </row>
    <row r="357" spans="1:14" ht="12.75" customHeight="1" thickBot="1" x14ac:dyDescent="0.25">
      <c r="A357" s="1687" t="s">
        <v>1567</v>
      </c>
      <c r="B357" s="1688" t="s">
        <v>915</v>
      </c>
      <c r="C357" s="614"/>
      <c r="D357" s="614"/>
      <c r="E357" s="614"/>
      <c r="F357" s="614"/>
      <c r="G357" s="614"/>
      <c r="H357" s="1707">
        <f>SUM(H354:H356)</f>
        <v>0</v>
      </c>
      <c r="I357" s="699"/>
      <c r="J357" s="614"/>
      <c r="K357" s="1707">
        <f>SUM(K354:K356)</f>
        <v>0</v>
      </c>
      <c r="L357" s="1707">
        <f>SUM(L354:L356)</f>
        <v>0</v>
      </c>
    </row>
    <row r="358" spans="1:14" s="340" customFormat="1" ht="15.75" customHeight="1" thickTop="1" x14ac:dyDescent="0.2">
      <c r="A358" s="1631" t="s">
        <v>1005</v>
      </c>
      <c r="B358" s="1628" t="s">
        <v>513</v>
      </c>
      <c r="C358" s="614"/>
      <c r="D358" s="614"/>
      <c r="E358" s="614"/>
      <c r="F358" s="614"/>
      <c r="G358" s="614"/>
      <c r="H358" s="614"/>
      <c r="I358" s="614"/>
      <c r="J358" s="614"/>
      <c r="K358" s="614"/>
      <c r="L358" s="614"/>
      <c r="M358" s="607"/>
      <c r="N358" s="607"/>
    </row>
    <row r="359" spans="1:14" s="340" customFormat="1" ht="15.75" customHeight="1" x14ac:dyDescent="0.2">
      <c r="A359" s="651" t="s">
        <v>648</v>
      </c>
      <c r="B359" s="620"/>
      <c r="C359" s="614"/>
      <c r="D359" s="614"/>
      <c r="E359" s="614"/>
      <c r="F359" s="614"/>
      <c r="G359" s="614"/>
      <c r="H359" s="614"/>
      <c r="I359" s="614"/>
      <c r="J359" s="614"/>
      <c r="K359" s="621"/>
      <c r="L359" s="621"/>
      <c r="M359" s="607"/>
      <c r="N359" s="607"/>
    </row>
    <row r="360" spans="1:14" x14ac:dyDescent="0.2">
      <c r="A360" s="1523" t="s">
        <v>89</v>
      </c>
      <c r="B360" s="612">
        <v>5110</v>
      </c>
      <c r="C360" s="614"/>
      <c r="D360" s="614"/>
      <c r="E360" s="614"/>
      <c r="F360" s="614"/>
      <c r="G360" s="614"/>
      <c r="H360" s="464"/>
      <c r="I360" s="614"/>
      <c r="J360" s="614"/>
      <c r="K360" s="1690">
        <f>SUM(C360:J360)</f>
        <v>0</v>
      </c>
      <c r="L360" s="463"/>
    </row>
    <row r="361" spans="1:14" ht="12.75" customHeight="1" x14ac:dyDescent="0.2">
      <c r="A361" s="1524" t="s">
        <v>640</v>
      </c>
      <c r="B361" s="600" t="s">
        <v>639</v>
      </c>
      <c r="C361" s="614"/>
      <c r="D361" s="614"/>
      <c r="E361" s="614"/>
      <c r="F361" s="614"/>
      <c r="G361" s="614"/>
      <c r="H361" s="464"/>
      <c r="I361" s="614"/>
      <c r="J361" s="614"/>
      <c r="K361" s="1690">
        <f>SUM(C361:J361)</f>
        <v>0</v>
      </c>
      <c r="L361" s="463"/>
    </row>
    <row r="362" spans="1:14" ht="12.75" customHeight="1" thickBot="1" x14ac:dyDescent="0.25">
      <c r="A362" s="1687" t="s">
        <v>647</v>
      </c>
      <c r="B362" s="1688" t="s">
        <v>742</v>
      </c>
      <c r="C362" s="614"/>
      <c r="D362" s="614"/>
      <c r="E362" s="614"/>
      <c r="F362" s="614"/>
      <c r="G362" s="614"/>
      <c r="H362" s="1722">
        <f>SUM(H360:H361)</f>
        <v>0</v>
      </c>
      <c r="I362" s="614"/>
      <c r="J362" s="614"/>
      <c r="K362" s="1722">
        <f>SUM(K360:K361)</f>
        <v>0</v>
      </c>
      <c r="L362" s="1722">
        <f>SUM(L360:L361)</f>
        <v>0</v>
      </c>
    </row>
    <row r="363" spans="1:14" s="672" customFormat="1" ht="15.75" customHeight="1" thickTop="1" x14ac:dyDescent="0.2">
      <c r="A363" s="658" t="s">
        <v>85</v>
      </c>
      <c r="B363" s="659" t="s">
        <v>38</v>
      </c>
      <c r="C363" s="636"/>
      <c r="D363" s="636"/>
      <c r="E363" s="636"/>
      <c r="F363" s="636"/>
      <c r="G363" s="636"/>
      <c r="H363" s="476"/>
      <c r="I363" s="636"/>
      <c r="J363" s="636"/>
      <c r="K363" s="1718">
        <f>SUM(C363:J363)</f>
        <v>0</v>
      </c>
      <c r="L363" s="476"/>
      <c r="M363" s="663"/>
      <c r="N363" s="663"/>
    </row>
    <row r="364" spans="1:14" s="706" customFormat="1" ht="29.25" customHeight="1" x14ac:dyDescent="0.2">
      <c r="A364" s="700" t="s">
        <v>1757</v>
      </c>
      <c r="B364" s="701">
        <v>5300</v>
      </c>
      <c r="C364" s="702"/>
      <c r="D364" s="703"/>
      <c r="E364" s="703"/>
      <c r="F364" s="702"/>
      <c r="G364" s="703"/>
      <c r="H364" s="704"/>
      <c r="I364" s="703"/>
      <c r="J364" s="703"/>
      <c r="K364" s="1690">
        <f>SUM(C364:J364)</f>
        <v>0</v>
      </c>
      <c r="L364" s="705"/>
    </row>
    <row r="365" spans="1:14" s="672" customFormat="1" ht="12.75" customHeight="1" thickBot="1" x14ac:dyDescent="0.25">
      <c r="A365" s="1540" t="s">
        <v>611</v>
      </c>
      <c r="B365" s="657" t="s">
        <v>513</v>
      </c>
      <c r="C365" s="636"/>
      <c r="D365" s="636"/>
      <c r="E365" s="636"/>
      <c r="F365" s="636"/>
      <c r="G365" s="636"/>
      <c r="H365" s="1722">
        <f>SUM(H362,H363,H364)</f>
        <v>0</v>
      </c>
      <c r="I365" s="636"/>
      <c r="J365" s="636"/>
      <c r="K365" s="1722">
        <f>SUM(K362,K363,K364)</f>
        <v>0</v>
      </c>
      <c r="L365" s="1722">
        <f>SUM(L362,L363,L364)</f>
        <v>0</v>
      </c>
      <c r="M365" s="663"/>
      <c r="N365" s="663"/>
    </row>
    <row r="366" spans="1:14" s="340" customFormat="1" ht="15.75" customHeight="1" thickTop="1" thickBot="1" x14ac:dyDescent="0.25">
      <c r="A366" s="1625" t="s">
        <v>1006</v>
      </c>
      <c r="B366" s="1632" t="s">
        <v>916</v>
      </c>
      <c r="C366" s="621"/>
      <c r="D366" s="621"/>
      <c r="E366" s="621"/>
      <c r="F366" s="621"/>
      <c r="G366" s="621"/>
      <c r="H366" s="621"/>
      <c r="I366" s="621"/>
      <c r="J366" s="614"/>
      <c r="K366" s="621"/>
      <c r="L366" s="570"/>
      <c r="M366" s="607"/>
      <c r="N366" s="607"/>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173" t="s">
        <v>1053</v>
      </c>
      <c r="B368" s="2174"/>
      <c r="C368" s="652"/>
      <c r="D368" s="652"/>
      <c r="E368" s="624"/>
      <c r="F368" s="624"/>
      <c r="G368" s="624"/>
      <c r="H368" s="624"/>
      <c r="I368" s="624"/>
      <c r="J368" s="621"/>
      <c r="K368" s="1690">
        <f>'Revenues 9-14'!K275-'Expenditures 15-22'!K367</f>
        <v>0</v>
      </c>
      <c r="L368" s="652"/>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2018-09-26T20:55:10Z</cp:lastPrinted>
  <dcterms:created xsi:type="dcterms:W3CDTF">2003-10-29T19:06:34Z</dcterms:created>
  <dcterms:modified xsi:type="dcterms:W3CDTF">2018-11-05T20:44:16Z</dcterms:modified>
</cp:coreProperties>
</file>