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134" i="5" l="1"/>
  <c r="D23" i="181" l="1"/>
  <c r="D21" i="181"/>
  <c r="D19" i="181"/>
  <c r="D18" i="181"/>
  <c r="D13" i="29"/>
  <c r="F5" i="29"/>
  <c r="D5" i="29"/>
  <c r="C5" i="29"/>
  <c r="C79" i="5"/>
  <c r="C105" i="5"/>
  <c r="C99" i="5"/>
  <c r="C98" i="5"/>
  <c r="C96" i="5"/>
  <c r="C95" i="5"/>
  <c r="C88" i="5"/>
  <c r="C29" i="5"/>
  <c r="M40" i="3"/>
  <c r="M18" i="3"/>
  <c r="M17" i="3"/>
  <c r="M19" i="3"/>
  <c r="C39" i="3"/>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E24" i="181"/>
  <c r="F24" i="181" s="1"/>
  <c r="G24" i="181" s="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B7764" i="106"/>
  <c r="D7764" i="106" s="1"/>
  <c r="J85" i="28"/>
  <c r="B7758" i="106" s="1"/>
  <c r="D7758" i="106" s="1"/>
  <c r="J88" i="28"/>
  <c r="K6" i="29"/>
  <c r="B7763" i="106" s="1"/>
  <c r="B7762" i="106"/>
  <c r="D7762" i="106" s="1"/>
  <c r="K12" i="12"/>
  <c r="K23" i="12"/>
  <c r="J12" i="12"/>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B5286" i="106" s="1"/>
  <c r="D5286" i="106" s="1"/>
  <c r="C228" i="5"/>
  <c r="B5304" i="106" s="1"/>
  <c r="D5304" i="106" s="1"/>
  <c r="C259" i="5"/>
  <c r="B6833" i="106" s="1"/>
  <c r="D6833" i="106" s="1"/>
  <c r="B7761" i="106"/>
  <c r="D7761" i="106" s="1"/>
  <c r="L127" i="29"/>
  <c r="L129" i="29" s="1"/>
  <c r="L139" i="29"/>
  <c r="L149" i="29"/>
  <c r="I7" i="145"/>
  <c r="I6" i="145"/>
  <c r="D82" i="36"/>
  <c r="D78" i="36"/>
  <c r="K75" i="29"/>
  <c r="C14" i="4" s="1"/>
  <c r="B2558" i="106" s="1"/>
  <c r="D2558" i="106" s="1"/>
  <c r="K130" i="29"/>
  <c r="F56" i="34" s="1"/>
  <c r="K185" i="29"/>
  <c r="B2836" i="106" s="1"/>
  <c r="D2836" i="106" s="1"/>
  <c r="K122" i="29"/>
  <c r="K67" i="29"/>
  <c r="E33" i="108" s="1"/>
  <c r="K64" i="29"/>
  <c r="F31" i="108" s="1"/>
  <c r="K59" i="29"/>
  <c r="E15" i="145" s="1"/>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E27" i="108"/>
  <c r="G27" i="108"/>
  <c r="G28"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D7" i="118"/>
  <c r="D8" i="118"/>
  <c r="D9" i="118"/>
  <c r="H14" i="118"/>
  <c r="H19" i="118"/>
  <c r="H24" i="118"/>
  <c r="H112" i="29" l="1"/>
  <c r="B7018" i="106" s="1"/>
  <c r="D7018" i="106" s="1"/>
  <c r="J210" i="29"/>
  <c r="B7072" i="106" s="1"/>
  <c r="D7072" i="106" s="1"/>
  <c r="I210" i="29"/>
  <c r="B7071" i="106" s="1"/>
  <c r="D7071" i="106" s="1"/>
  <c r="F44" i="34"/>
  <c r="D22" i="37"/>
  <c r="E35" i="108"/>
  <c r="F68" i="34"/>
  <c r="D68" i="36"/>
  <c r="D12" i="7"/>
  <c r="B1769" i="106" s="1"/>
  <c r="D1769" i="106" s="1"/>
  <c r="F37" i="34"/>
  <c r="D31" i="108"/>
  <c r="K24" i="12"/>
  <c r="B7733" i="106" s="1"/>
  <c r="D7733" i="106" s="1"/>
  <c r="D4" i="7"/>
  <c r="B1760" i="106" s="1"/>
  <c r="D1760" i="106" s="1"/>
  <c r="B7047" i="106"/>
  <c r="D7047" i="106" s="1"/>
  <c r="C129" i="29"/>
  <c r="C151" i="29" s="1"/>
  <c r="B1226" i="106" s="1"/>
  <c r="D1226" i="106" s="1"/>
  <c r="G38" i="108"/>
  <c r="E109" i="5"/>
  <c r="E4" i="4" s="1"/>
  <c r="B2630" i="106" s="1"/>
  <c r="D2630" i="106" s="1"/>
  <c r="G35" i="108"/>
  <c r="H29" i="118"/>
  <c r="F26" i="108"/>
  <c r="B1126" i="106"/>
  <c r="D1126" i="106" s="1"/>
  <c r="L367" i="29"/>
  <c r="F19" i="7"/>
  <c r="B1807" i="106" s="1"/>
  <c r="D1807" i="106" s="1"/>
  <c r="D26" i="108"/>
  <c r="D5" i="4"/>
  <c r="B3406" i="106" s="1"/>
  <c r="D3406" i="106" s="1"/>
  <c r="D17" i="7"/>
  <c r="B4104" i="106" s="1"/>
  <c r="D4104" i="106" s="1"/>
  <c r="D11" i="37"/>
  <c r="N22" i="3"/>
  <c r="B283" i="106" s="1"/>
  <c r="D283" i="106" s="1"/>
  <c r="B5096" i="106"/>
  <c r="D5096" i="106" s="1"/>
  <c r="F72" i="34"/>
  <c r="G29" i="108"/>
  <c r="D31" i="36"/>
  <c r="B2805" i="106"/>
  <c r="D2805" i="106" s="1"/>
  <c r="J22" i="37"/>
  <c r="D14" i="4"/>
  <c r="B2570" i="106" s="1"/>
  <c r="D2570" i="106" s="1"/>
  <c r="F71" i="34"/>
  <c r="F64" i="34"/>
  <c r="K76" i="4"/>
  <c r="B3586" i="106" s="1"/>
  <c r="D3586" i="106" s="1"/>
  <c r="H28" i="118"/>
  <c r="K28" i="118" s="1"/>
  <c r="O27" i="118" s="1"/>
  <c r="O29" i="118" s="1"/>
  <c r="D11" i="7"/>
  <c r="B1768" i="106" s="1"/>
  <c r="D1768" i="106" s="1"/>
  <c r="F131" i="34"/>
  <c r="D13" i="7"/>
  <c r="B3726" i="106" s="1"/>
  <c r="D3726" i="106" s="1"/>
  <c r="F67" i="34"/>
  <c r="F38" i="34"/>
  <c r="E30" i="108"/>
  <c r="F37" i="108"/>
  <c r="B7078" i="106"/>
  <c r="D7078" i="106" s="1"/>
  <c r="B6289" i="106"/>
  <c r="D6289" i="106" s="1"/>
  <c r="J77" i="4"/>
  <c r="B6262" i="106" s="1"/>
  <c r="D6262" i="106" s="1"/>
  <c r="H109" i="5"/>
  <c r="B6025" i="106" s="1"/>
  <c r="D6025" i="106" s="1"/>
  <c r="L22" i="37"/>
  <c r="H33" i="118"/>
  <c r="G5" i="4"/>
  <c r="B3409" i="106" s="1"/>
  <c r="D3409" i="106" s="1"/>
  <c r="K274" i="5"/>
  <c r="K7" i="4" s="1"/>
  <c r="B3718" i="106" s="1"/>
  <c r="D3718" i="106" s="1"/>
  <c r="B7727" i="106"/>
  <c r="D7727" i="106" s="1"/>
  <c r="G34" i="108"/>
  <c r="D37" i="108"/>
  <c r="E29" i="108"/>
  <c r="H342" i="29"/>
  <c r="B7221" i="106" s="1"/>
  <c r="D7221" i="106" s="1"/>
  <c r="K350" i="29"/>
  <c r="B3670" i="106" s="1"/>
  <c r="D3670" i="106" s="1"/>
  <c r="F15" i="145"/>
  <c r="F19" i="145" s="1"/>
  <c r="B1274" i="106"/>
  <c r="D1274" i="106" s="1"/>
  <c r="D109" i="5"/>
  <c r="B5356" i="106" s="1"/>
  <c r="D5356" i="106" s="1"/>
  <c r="F35" i="34"/>
  <c r="F49" i="34"/>
  <c r="F41" i="34"/>
  <c r="J352" i="29"/>
  <c r="J367" i="29" s="1"/>
  <c r="B7245" i="106" s="1"/>
  <c r="D7245" i="106" s="1"/>
  <c r="B1308" i="106"/>
  <c r="D1308" i="106" s="1"/>
  <c r="E174" i="29"/>
  <c r="B1309" i="106" s="1"/>
  <c r="D1309" i="106" s="1"/>
  <c r="B3252" i="106"/>
  <c r="D3252" i="106" s="1"/>
  <c r="F77" i="4"/>
  <c r="B3255" i="106" s="1"/>
  <c r="D3255" i="106" s="1"/>
  <c r="H173" i="5"/>
  <c r="B5906" i="106" s="1"/>
  <c r="D5906" i="106" s="1"/>
  <c r="I173" i="5"/>
  <c r="B4216" i="106" s="1"/>
  <c r="D4216" i="106" s="1"/>
  <c r="E26" i="108"/>
  <c r="D27" i="108"/>
  <c r="B6995" i="106"/>
  <c r="D6995" i="106" s="1"/>
  <c r="B1746" i="106"/>
  <c r="D1746" i="106" s="1"/>
  <c r="F111" i="34"/>
  <c r="D24" i="37"/>
  <c r="B4270" i="106" s="1"/>
  <c r="D4270" i="106" s="1"/>
  <c r="F50" i="34"/>
  <c r="F45" i="34"/>
  <c r="F42" i="34"/>
  <c r="G26" i="108"/>
  <c r="I342" i="29"/>
  <c r="B7222" i="106" s="1"/>
  <c r="D7222" i="106" s="1"/>
  <c r="J41" i="3"/>
  <c r="D51" i="36" s="1"/>
  <c r="D6103" i="106"/>
  <c r="F46" i="34"/>
  <c r="E28" i="108"/>
  <c r="D54" i="36"/>
  <c r="G352" i="29"/>
  <c r="B3647" i="106"/>
  <c r="D3647" i="106" s="1"/>
  <c r="B3619" i="106"/>
  <c r="D3619" i="106" s="1"/>
  <c r="C352" i="29"/>
  <c r="B3454" i="106"/>
  <c r="D3454" i="106" s="1"/>
  <c r="L15" i="11"/>
  <c r="B3459" i="106" s="1"/>
  <c r="D3459" i="106" s="1"/>
  <c r="B3170" i="106"/>
  <c r="D3170" i="106" s="1"/>
  <c r="H76" i="4"/>
  <c r="B3298" i="106" s="1"/>
  <c r="D3298" i="106" s="1"/>
  <c r="F21" i="8"/>
  <c r="B3689" i="106"/>
  <c r="D3689" i="106" s="1"/>
  <c r="D7" i="7"/>
  <c r="B1763" i="106" s="1"/>
  <c r="D1763" i="106" s="1"/>
  <c r="C172" i="5"/>
  <c r="F127" i="34"/>
  <c r="F136" i="34"/>
  <c r="D5" i="7"/>
  <c r="B1761" i="106" s="1"/>
  <c r="D1761" i="106" s="1"/>
  <c r="F14" i="4"/>
  <c r="B2597" i="106" s="1"/>
  <c r="D2597" i="106" s="1"/>
  <c r="B4951" i="106"/>
  <c r="D4951" i="106" s="1"/>
  <c r="B4373" i="106"/>
  <c r="D4373" i="106" s="1"/>
  <c r="K173" i="5"/>
  <c r="K6" i="4" s="1"/>
  <c r="B3570" i="106" s="1"/>
  <c r="D3570" i="106" s="1"/>
  <c r="G172" i="5"/>
  <c r="F172" i="5"/>
  <c r="B5644" i="106" s="1"/>
  <c r="D5644" i="106" s="1"/>
  <c r="C109" i="5"/>
  <c r="B5121" i="106" s="1"/>
  <c r="D5121" i="106" s="1"/>
  <c r="B5334" i="106"/>
  <c r="D5334" i="106" s="1"/>
  <c r="L312" i="29"/>
  <c r="F70" i="34"/>
  <c r="F36" i="34"/>
  <c r="G39" i="108"/>
  <c r="D36" i="108"/>
  <c r="F36" i="108"/>
  <c r="I24" i="12"/>
  <c r="E14" i="145"/>
  <c r="G14" i="145" s="1"/>
  <c r="B1124" i="106"/>
  <c r="D1124" i="106" s="1"/>
  <c r="F106" i="34"/>
  <c r="F128" i="34"/>
  <c r="J274" i="5"/>
  <c r="B7054" i="106" s="1"/>
  <c r="D7054" i="106" s="1"/>
  <c r="H365" i="29"/>
  <c r="B2054" i="106"/>
  <c r="D2054" i="106" s="1"/>
  <c r="L13" i="11"/>
  <c r="B2060" i="106" s="1"/>
  <c r="D2060" i="106" s="1"/>
  <c r="K184" i="29"/>
  <c r="F13" i="4" s="1"/>
  <c r="B2596" i="106" s="1"/>
  <c r="D2596" i="106" s="1"/>
  <c r="D15" i="7"/>
  <c r="B1772" i="106" s="1"/>
  <c r="D1772" i="106" s="1"/>
  <c r="F130" i="34"/>
  <c r="D9" i="7"/>
  <c r="B1767" i="106" s="1"/>
  <c r="D1767" i="106" s="1"/>
  <c r="L5" i="11"/>
  <c r="B2056" i="106" s="1"/>
  <c r="D2056" i="106" s="1"/>
  <c r="G14" i="4"/>
  <c r="B2609" i="106" s="1"/>
  <c r="D2609" i="106" s="1"/>
  <c r="G109" i="5"/>
  <c r="L342" i="29"/>
  <c r="F62" i="34"/>
  <c r="F34" i="34"/>
  <c r="E38" i="108"/>
  <c r="G30" i="108"/>
  <c r="F28" i="108"/>
  <c r="C342" i="29"/>
  <c r="B7216" i="106" s="1"/>
  <c r="D7216" i="106" s="1"/>
  <c r="B3565" i="106"/>
  <c r="D3565" i="106" s="1"/>
  <c r="K41" i="3"/>
  <c r="B1364" i="106"/>
  <c r="D1364" i="106" s="1"/>
  <c r="G210" i="29"/>
  <c r="K285" i="29"/>
  <c r="B3724" i="106" s="1"/>
  <c r="D3724"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B7270" i="106"/>
  <c r="B5914" i="106" l="1"/>
  <c r="D5914" i="106" s="1"/>
  <c r="K365" i="29"/>
  <c r="K26" i="12"/>
  <c r="B7743" i="106" s="1"/>
  <c r="D7743" i="106" s="1"/>
  <c r="F66" i="34"/>
  <c r="B1225" i="106"/>
  <c r="D1225" i="106" s="1"/>
  <c r="B6216" i="106"/>
  <c r="D6216" i="106" s="1"/>
  <c r="D7252" i="106"/>
  <c r="B5527" i="106"/>
  <c r="D5527" i="106" s="1"/>
  <c r="F41" i="108"/>
  <c r="G43" i="108" s="1"/>
  <c r="D274" i="5"/>
  <c r="D7" i="4" s="1"/>
  <c r="G15" i="145"/>
  <c r="D7255" i="106"/>
  <c r="H151" i="29"/>
  <c r="B1273" i="106" s="1"/>
  <c r="D1273" i="106" s="1"/>
  <c r="D7254" i="106"/>
  <c r="H6" i="4"/>
  <c r="B2656" i="106" s="1"/>
  <c r="D2656" i="106" s="1"/>
  <c r="K77" i="4"/>
  <c r="B3587" i="106" s="1"/>
  <c r="D3587" i="106" s="1"/>
  <c r="B7235" i="106"/>
  <c r="D7235" i="106" s="1"/>
  <c r="H275" i="5"/>
  <c r="B5915" i="106" s="1"/>
  <c r="D5915" i="106" s="1"/>
  <c r="B6022" i="106"/>
  <c r="D6022" i="106" s="1"/>
  <c r="N23" i="3"/>
  <c r="B284" i="106" s="1"/>
  <c r="D284" i="106" s="1"/>
  <c r="K352" i="29"/>
  <c r="K13" i="4" s="1"/>
  <c r="B3572" i="106" s="1"/>
  <c r="D3572" i="106" s="1"/>
  <c r="D41" i="108"/>
  <c r="E43" i="108" s="1"/>
  <c r="B7215" i="106"/>
  <c r="D7215" i="106" s="1"/>
  <c r="H4" i="4"/>
  <c r="B2655" i="106" s="1"/>
  <c r="D2655" i="106" s="1"/>
  <c r="F173" i="5"/>
  <c r="B1328" i="106"/>
  <c r="D1328" i="106" s="1"/>
  <c r="D7250" i="106"/>
  <c r="I6" i="4"/>
  <c r="B5011" i="106" s="1"/>
  <c r="D5011" i="106" s="1"/>
  <c r="J7" i="4"/>
  <c r="B6222" i="106" s="1"/>
  <c r="D6222" i="106" s="1"/>
  <c r="L114" i="29"/>
  <c r="D4" i="4"/>
  <c r="B2564" i="106" s="1"/>
  <c r="D2564" i="106" s="1"/>
  <c r="D7256" i="106"/>
  <c r="D7251" i="106"/>
  <c r="B6014" i="106"/>
  <c r="D6014" i="106" s="1"/>
  <c r="C114" i="29"/>
  <c r="B757" i="106" s="1"/>
  <c r="D757" i="106" s="1"/>
  <c r="C4" i="4"/>
  <c r="B2551" i="106" s="1"/>
  <c r="D2551" i="106" s="1"/>
  <c r="D44" i="36"/>
  <c r="F73" i="34"/>
  <c r="G15" i="4"/>
  <c r="B6032" i="106" s="1"/>
  <c r="D6032" i="106" s="1"/>
  <c r="G173" i="5"/>
  <c r="B5770" i="106"/>
  <c r="D5770" i="106" s="1"/>
  <c r="B5214" i="106"/>
  <c r="D5214" i="106" s="1"/>
  <c r="C173" i="5"/>
  <c r="B1879" i="106"/>
  <c r="D1879" i="106" s="1"/>
  <c r="H22" i="37"/>
  <c r="B3649" i="106"/>
  <c r="D3649" i="106" s="1"/>
  <c r="G367" i="29"/>
  <c r="B3650" i="106" s="1"/>
  <c r="D3650" i="106" s="1"/>
  <c r="B3628" i="106"/>
  <c r="D3628" i="106" s="1"/>
  <c r="B1365" i="106"/>
  <c r="D1365" i="106" s="1"/>
  <c r="F65" i="34"/>
  <c r="B6024" i="106"/>
  <c r="D6024" i="106" s="1"/>
  <c r="G4" i="4"/>
  <c r="B2603" i="106" s="1"/>
  <c r="D2603" i="106" s="1"/>
  <c r="B3621" i="106"/>
  <c r="D3621" i="106" s="1"/>
  <c r="C367" i="29"/>
  <c r="B3622" i="106" s="1"/>
  <c r="D3622" i="106" s="1"/>
  <c r="H77" i="4"/>
  <c r="B3299" i="106" s="1"/>
  <c r="D3299" i="106" s="1"/>
  <c r="B1317" i="106"/>
  <c r="D1317" i="106" s="1"/>
  <c r="D7253" i="106"/>
  <c r="F274" i="5"/>
  <c r="B1996" i="106"/>
  <c r="D1996" i="106" s="1"/>
  <c r="I26" i="12"/>
  <c r="B7741" i="106" s="1"/>
  <c r="D7741" i="106" s="1"/>
  <c r="D19" i="7"/>
  <c r="B1775" i="106" s="1"/>
  <c r="D1775" i="106" s="1"/>
  <c r="B1381" i="106"/>
  <c r="D1381" i="106" s="1"/>
  <c r="L16" i="11"/>
  <c r="B2061" i="106" s="1"/>
  <c r="D2061" i="106" s="1"/>
  <c r="K342" i="29"/>
  <c r="F13" i="34" s="1"/>
  <c r="B3568" i="106"/>
  <c r="D3568" i="106" s="1"/>
  <c r="D52" i="36"/>
  <c r="H367" i="29"/>
  <c r="B3660" i="106" s="1"/>
  <c r="D3660" i="106" s="1"/>
  <c r="B7242" i="106"/>
  <c r="D7242"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E19" i="145"/>
  <c r="B5507" i="106"/>
  <c r="D5507" i="106" s="1"/>
  <c r="B7298" i="106"/>
  <c r="B7299" i="106"/>
  <c r="K367" i="29" l="1"/>
  <c r="B3678" i="106" s="1"/>
  <c r="D3678" i="106" s="1"/>
  <c r="D275" i="5"/>
  <c r="B3672" i="106"/>
  <c r="D3672" i="106" s="1"/>
  <c r="G19" i="145"/>
  <c r="J20" i="145" s="1"/>
  <c r="H8" i="4"/>
  <c r="B2658" i="106" s="1"/>
  <c r="D2658" i="106" s="1"/>
  <c r="B7224" i="106"/>
  <c r="D7224" i="106" s="1"/>
  <c r="B5653" i="106"/>
  <c r="D5653" i="106" s="1"/>
  <c r="F6" i="4"/>
  <c r="B2593" i="106" s="1"/>
  <c r="D2593" i="106" s="1"/>
  <c r="F275" i="5"/>
  <c r="B5720" i="106" s="1"/>
  <c r="D5720" i="106" s="1"/>
  <c r="J17" i="4"/>
  <c r="J8" i="4"/>
  <c r="B6223" i="106" s="1"/>
  <c r="D6223" i="106" s="1"/>
  <c r="F7" i="4"/>
  <c r="B2594" i="106" s="1"/>
  <c r="D2594" i="106" s="1"/>
  <c r="G41" i="108"/>
  <c r="G44" i="108" s="1"/>
  <c r="G45" i="108" s="1"/>
  <c r="E41" i="108"/>
  <c r="E44" i="108" s="1"/>
  <c r="E45" i="108" s="1"/>
  <c r="B5778" i="106"/>
  <c r="D5778" i="106" s="1"/>
  <c r="G6" i="4"/>
  <c r="B2604" i="106" s="1"/>
  <c r="D2604" i="106" s="1"/>
  <c r="B5223" i="106"/>
  <c r="D5223" i="106" s="1"/>
  <c r="C6" i="4"/>
  <c r="B2553" i="106" s="1"/>
  <c r="D2553" i="106" s="1"/>
  <c r="B5719" i="106"/>
  <c r="D5719" i="106" s="1"/>
  <c r="F24" i="37"/>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K368" i="29" l="1"/>
  <c r="B3681" i="106" s="1"/>
  <c r="D3681" i="106" s="1"/>
  <c r="J20" i="4"/>
  <c r="B6230" i="106" s="1"/>
  <c r="D6230" i="106" s="1"/>
  <c r="H10" i="4"/>
  <c r="B4127" i="106" s="1"/>
  <c r="D4127" i="106" s="1"/>
  <c r="B6227" i="106"/>
  <c r="D6227" i="106" s="1"/>
  <c r="J19" i="4"/>
  <c r="B6229" i="106" s="1"/>
  <c r="D6229" i="106" s="1"/>
  <c r="F8" i="4"/>
  <c r="F76" i="34"/>
  <c r="D8" i="4"/>
  <c r="B2568" i="106" s="1"/>
  <c r="D256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C8" i="146"/>
  <c r="D20" i="4"/>
  <c r="D78" i="4" s="1"/>
  <c r="D8" i="146"/>
  <c r="F10" i="4"/>
  <c r="B4125" i="106" s="1"/>
  <c r="D4125" i="106" s="1"/>
  <c r="B2595" i="106"/>
  <c r="D2595" i="106" s="1"/>
  <c r="H13" i="118"/>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K78" i="4"/>
  <c r="B3576" i="106"/>
  <c r="D3576" i="106" s="1"/>
  <c r="J81" i="4"/>
  <c r="B6263" i="106"/>
  <c r="D6263" i="106" s="1"/>
  <c r="C10" i="146" l="1"/>
  <c r="F8" i="146"/>
  <c r="B2574" i="106"/>
  <c r="D2574" i="106" s="1"/>
  <c r="D10"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<sst xmlns="http://schemas.openxmlformats.org/spreadsheetml/2006/main" count="5053" uniqueCount="2125">
  <si>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</si>
  <si>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</si>
  <si>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</si>
  <si>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</si>
  <si>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</si>
  <si>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</si>
  <si>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</si>
  <si>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</si>
  <si>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</si>
  <si>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</si>
  <si>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</si>
  <si>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</si>
  <si>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</si>
  <si>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</si>
  <si>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</si>
  <si>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</si>
  <si>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</si>
  <si>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</si>
  <si>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</si>
  <si>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</si>
  <si>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</si>
  <si>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</si>
  <si>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</si>
  <si>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</si>
  <si>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</si>
  <si>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</si>
  <si>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</si>
  <si>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</si>
  <si>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</si>
  <si>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</si>
  <si>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</si>
  <si>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</si>
  <si>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</si>
  <si>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</si>
  <si>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</si>
  <si>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</si>
  <si>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</si>
  <si>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</si>
  <si>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</si>
  <si>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</si>
  <si>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</si>
  <si>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</si>
  <si>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</si>
  <si>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</si>
  <si>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</si>
  <si>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</si>
  <si>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</si>
  <si>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</si>
  <si>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</si>
  <si>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</si>
  <si>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</si>
  <si>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</si>
  <si>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</si>
  <si>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</si>
  <si>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</si>
  <si>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</si>
  <si>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</si>
  <si>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</si>
  <si>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</si>
  <si>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</si>
  <si>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</si>
  <si>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</si>
  <si>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</si>
  <si>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</si>
  <si>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</si>
  <si>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</si>
  <si>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</si>
  <si>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</si>
  <si>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</si>
  <si>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</si>
  <si>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</si>
  <si>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</si>
  <si>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</si>
  <si>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</si>
  <si>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</si>
  <si>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</si>
  <si>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</si>
  <si>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</si>
  <si>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</si>
  <si>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</si>
  <si>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</si>
  <si>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</si>
  <si>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</si>
  <si>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</si>
  <si>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</si>
  <si>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</si>
  <si>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</si>
  <si>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</si>
  <si>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</si>
  <si>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</si>
  <si>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</si>
  <si>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</si>
  <si>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</si>
  <si>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</si>
  <si>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</si>
  <si>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</si>
  <si>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</si>
  <si>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</si>
  <si>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</si>
  <si>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</si>
  <si>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</si>
  <si>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</si>
  <si>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</si>
  <si>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</si>
  <si>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</si>
  <si>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</si>
  <si>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</si>
  <si>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</si>
  <si>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</si>
  <si>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</si>
  <si>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</si>
  <si>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</si>
  <si>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</si>
  <si>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</si>
  <si>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</si>
  <si>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</si>
  <si>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</si>
  <si>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</si>
  <si>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</si>
  <si>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</si>
  <si>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</si>
  <si>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</si>
  <si>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</si>
  <si>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</si>
  <si>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</si>
  <si>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</si>
  <si>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</si>
  <si>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</si>
  <si>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</si>
  <si>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</si>
  <si>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</si>
  <si>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</si>
  <si>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</si>
  <si>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</si>
  <si>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</si>
  <si>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</si>
  <si>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</si>
  <si>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</si>
  <si>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</si>
  <si>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</si>
  <si>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</si>
  <si>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</si>
  <si>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</si>
  <si>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</si>
  <si>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</si>
  <si>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</si>
  <si>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</si>
  <si>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</si>
  <si>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</si>
  <si>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</si>
  <si>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</si>
  <si>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</si>
  <si>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</si>
  <si>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</si>
  <si>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</si>
  <si>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</si>
  <si>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</si>
  <si>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</si>
  <si>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</si>
  <si>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</si>
  <si>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</si>
  <si>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</si>
  <si>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</si>
  <si>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</si>
  <si>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</si>
  <si>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</si>
  <si>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</si>
  <si>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</si>
  <si>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</si>
  <si>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</si>
  <si>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</si>
  <si>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</si>
  <si>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</si>
  <si>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</si>
  <si>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</si>
  <si>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</si>
  <si>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</si>
  <si>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</si>
  <si>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</si>
  <si>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</si>
  <si>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</si>
  <si>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</si>
  <si>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</si>
  <si>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</si>
  <si>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</si>
  <si>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</si>
  <si>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</si>
  <si>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</si>
  <si>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</si>
  <si>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</si>
  <si>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</si>
  <si>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</si>
  <si>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</si>
  <si>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</si>
  <si>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</si>
  <si>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</si>
  <si>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</si>
  <si>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</si>
  <si>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</si>
  <si>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</si>
  <si>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</si>
  <si>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</si>
  <si>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</si>
  <si>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</si>
  <si>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</si>
  <si>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</si>
  <si>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</si>
  <si>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</si>
  <si>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</si>
  <si>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</si>
  <si>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</si>
  <si>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</si>
  <si>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</si>
  <si>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</si>
  <si>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</si>
  <si>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</si>
  <si>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</si>
  <si>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</si>
  <si>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</si>
  <si>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</si>
  <si>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</si>
  <si>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</si>
  <si>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</si>
  <si>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</si>
  <si>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</si>
  <si>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</si>
  <si>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</si>
  <si>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</si>
  <si>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</si>
  <si>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</si>
  <si>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</si>
  <si>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</si>
  <si>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</si>
  <si>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</si>
  <si>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</si>
  <si>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</si>
  <si>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</si>
  <si>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</si>
  <si>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</si>
  <si>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</si>
  <si>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</si>
  <si>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</si>
  <si>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</si>
  <si>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</si>
  <si>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</si>
  <si>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</si>
  <si>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</si>
  <si>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</si>
  <si>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</si>
  <si>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</si>
  <si>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</si>
  <si>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</si>
  <si>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</si>
  <si>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</si>
  <si>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</si>
  <si>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</si>
  <si>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</si>
  <si>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</si>
  <si>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</si>
  <si>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</si>
  <si>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</si>
  <si>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</si>
  <si>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</si>
  <si>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</si>
  <si>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</si>
  <si>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</si>
  <si>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</si>
  <si>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</si>
  <si>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</si>
  <si>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</si>
  <si>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</si>
  <si>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</si>
  <si>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</si>
  <si>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</si>
  <si>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</si>
  <si>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</si>
  <si>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</si>
  <si>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</si>
  <si>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</si>
  <si>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</si>
  <si>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</si>
  <si>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</si>
  <si>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</si>
  <si>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</si>
  <si>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</si>
  <si>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</si>
  <si>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</si>
  <si>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</si>
  <si>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</si>
  <si>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</si>
  <si>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</si>
  <si>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</si>
  <si>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</si>
  <si>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</si>
  <si>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</si>
  <si>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</si>
  <si>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</si>
  <si>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</si>
  <si>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</si>
  <si>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</si>
  <si>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</si>
  <si>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</si>
  <si>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</si>
  <si>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</si>
  <si>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</si>
  <si>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</si>
  <si>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</si>
  <si>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</si>
  <si>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</si>
  <si>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</si>
  <si>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</si>
  <si>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</si>
  <si>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</si>
  <si>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</si>
  <si>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</si>
  <si>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</si>
  <si>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</si>
  <si>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</si>
  <si>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</si>
  <si>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</si>
  <si>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</si>
  <si>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</si>
  <si>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</si>
  <si>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</si>
  <si>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</si>
  <si>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</si>
  <si>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</si>
  <si>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</si>
  <si>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</si>
  <si>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</si>
  <si>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</si>
  <si>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</si>
  <si>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</si>
  <si>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</si>
  <si>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</si>
  <si>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</si>
  <si>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</si>
  <si>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</si>
  <si>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</si>
  <si>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</si>
  <si>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</si>
  <si>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</si>
  <si>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</si>
  <si>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</si>
  <si>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</si>
  <si>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</si>
  <si>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</si>
  <si>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</si>
  <si>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</si>
  <si>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</si>
  <si>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</si>
  <si>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</si>
  <si>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</si>
  <si>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</si>
  <si>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</si>
  <si>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</si>
  <si>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</si>
  <si>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</si>
  <si>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</si>
  <si>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</si>
  <si>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</si>
  <si>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</si>
  <si>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</si>
  <si>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</si>
  <si>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</si>
  <si>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</si>
  <si>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</si>
  <si>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</si>
  <si>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</si>
  <si>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</si>
  <si>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</si>
  <si>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</si>
  <si>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</si>
  <si>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</si>
  <si>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</si>
  <si>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</si>
  <si>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</si>
  <si>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</si>
  <si>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</si>
  <si>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</si>
  <si>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</si>
  <si>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</si>
  <si>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</si>
  <si>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</si>
  <si>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</si>
  <si>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</si>
  <si>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</si>
  <si>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</si>
  <si>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</si>
  <si>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</si>
  <si>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</si>
  <si>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</si>
  <si>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</si>
  <si>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</si>
  <si>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</si>
  <si>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</si>
  <si>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</si>
  <si>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</si>
  <si>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</si>
  <si>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</si>
  <si>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</si>
  <si>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</si>
  <si>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</si>
  <si>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</si>
  <si>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</si>
  <si>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</si>
  <si>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</si>
  <si>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</si>
  <si>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</si>
  <si>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</si>
  <si>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</si>
  <si>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</si>
  <si>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</si>
  <si>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</si>
  <si>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</si>
  <si>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</si>
  <si>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</si>
  <si>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</si>
  <si>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</si>
  <si>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</si>
  <si>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</si>
  <si>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</si>
  <si>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</si>
  <si>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</si>
  <si>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</si>
  <si>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</si>
  <si>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</si>
  <si>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</si>
  <si>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</si>
  <si>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</si>
  <si>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</si>
  <si>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</si>
  <si>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</si>
  <si>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</si>
  <si>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</si>
  <si>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</si>
  <si>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</si>
  <si>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</si>
  <si>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</si>
  <si>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</si>
  <si>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</si>
  <si>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</si>
  <si>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</si>
  <si>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</si>
  <si>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</si>
  <si>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</si>
  <si>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</si>
  <si>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</si>
  <si>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</si>
  <si>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</si>
  <si>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</si>
  <si>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</si>
  <si>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</si>
  <si>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</si>
  <si>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</si>
  <si>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</si>
  <si>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</si>
  <si>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</si>
  <si>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</si>
  <si>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</si>
  <si>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</si>
  <si>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</si>
  <si>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</si>
  <si>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</si>
  <si>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</si>
  <si>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</si>
  <si>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</si>
  <si>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</si>
  <si>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</si>
  <si>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</si>
  <si>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</si>
  <si>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</si>
  <si>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</si>
  <si>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</si>
  <si>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</si>
  <si>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</si>
  <si>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</si>
  <si>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</si>
  <si>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</si>
  <si>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</si>
  <si>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</si>
  <si>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</si>
  <si>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</si>
  <si>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</si>
  <si>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</si>
  <si>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</si>
  <si>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</si>
  <si>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</si>
  <si>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</si>
  <si>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</si>
  <si>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</si>
  <si>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</si>
  <si>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</si>
  <si>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</si>
  <si>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</si>
  <si>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</si>
  <si>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</si>
  <si>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</si>
  <si>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</si>
  <si>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</si>
  <si>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</si>
  <si>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</si>
  <si>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</si>
  <si>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</si>
  <si>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</si>
  <si>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</si>
  <si>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</si>
  <si>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</si>
  <si>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</si>
  <si>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</si>
  <si>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</si>
  <si>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</si>
  <si>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</si>
  <si>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</si>
  <si>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</si>
  <si>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</si>
  <si>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</si>
  <si>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</si>
  <si>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</si>
  <si>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</si>
  <si>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</si>
  <si>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</si>
  <si>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</si>
  <si>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</si>
  <si>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</si>
  <si>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</si>
  <si>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</si>
  <si>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</si>
  <si>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</si>
  <si>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</si>
  <si>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</si>
  <si>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</si>
  <si>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</si>
  <si>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</si>
  <si>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</si>
  <si>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</si>
  <si>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</si>
  <si>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</si>
  <si>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</si>
  <si>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</si>
  <si>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</si>
  <si>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</si>
  <si>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</si>
  <si>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</si>
  <si>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</si>
  <si>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</si>
  <si>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</si>
  <si>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</si>
  <si>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</si>
  <si>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</si>
  <si>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</si>
  <si>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</si>
  <si>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</si>
  <si>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</si>
  <si>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</si>
  <si>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</si>
  <si>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</si>
  <si>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</si>
  <si>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</si>
  <si>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</si>
  <si>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</si>
  <si>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</si>
  <si>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</si>
  <si>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</si>
  <si>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</si>
  <si>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</si>
  <si>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</si>
  <si>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</si>
  <si>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</si>
  <si>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</si>
  <si>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</si>
  <si>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</si>
  <si>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</si>
  <si>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</si>
  <si>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</si>
  <si>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</si>
  <si>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</si>
  <si>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</si>
  <si>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</si>
  <si>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</si>
  <si>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</si>
  <si>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</si>
  <si>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</si>
  <si>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</si>
  <si>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</si>
  <si>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</si>
  <si>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</si>
  <si>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</si>
  <si>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</si>
  <si>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</si>
  <si>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</si>
  <si>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</si>
  <si>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</si>
  <si>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</si>
  <si>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</si>
  <si>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</si>
  <si>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</si>
  <si>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</si>
  <si>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</si>
  <si>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</si>
  <si>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</si>
  <si>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</si>
  <si>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</si>
  <si>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</si>
  <si>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</si>
  <si>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</si>
  <si>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</si>
  <si>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</si>
  <si>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</si>
  <si>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</si>
  <si>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</si>
  <si>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</si>
  <si>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</si>
  <si>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</si>
  <si>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</si>
  <si>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</si>
  <si>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</si>
  <si>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</si>
  <si>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</si>
  <si>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</si>
  <si>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</si>
  <si>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</si>
  <si>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</si>
  <si>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</si>
  <si>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</si>
  <si>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</si>
  <si>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</si>
  <si>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</si>
  <si>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</si>
  <si>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</si>
  <si>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</si>
  <si>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</si>
  <si>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</si>
  <si>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</si>
  <si>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</si>
  <si>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</si>
  <si>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</si>
  <si>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</si>
  <si>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</si>
  <si>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</si>
  <si>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</si>
  <si>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</si>
  <si>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</si>
  <si>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</si>
  <si>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</si>
  <si>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</si>
  <si>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</si>
  <si>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</si>
  <si>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</si>
  <si>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</si>
  <si>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</si>
  <si>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</si>
  <si>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</si>
  <si>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</si>
  <si>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</si>
  <si>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</si>
  <si>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</si>
  <si>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</si>
  <si>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</si>
  <si>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</si>
  <si>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</si>
  <si>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</si>
  <si>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</si>
  <si>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</si>
  <si>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</si>
  <si>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</si>
  <si>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</si>
  <si>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</si>
  <si>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</si>
  <si>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</si>
  <si>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</si>
  <si>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</si>
  <si>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</si>
  <si>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</si>
  <si>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</si>
  <si>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</si>
  <si>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</si>
  <si>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</si>
  <si>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</si>
  <si>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</si>
  <si>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</si>
  <si>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</si>
  <si>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</si>
  <si>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</si>
  <si>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</si>
  <si>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</si>
  <si>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</si>
  <si>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</si>
  <si>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</si>
  <si>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</si>
  <si>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</si>
  <si>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</si>
  <si>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</si>
  <si>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</si>
  <si>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</si>
  <si>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</si>
  <si>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</si>
  <si>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</si>
  <si>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</si>
  <si>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</si>
  <si>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</si>
  <si>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</si>
  <si>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</si>
  <si>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</si>
  <si>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</si>
  <si>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</si>
  <si>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</si>
  <si>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</si>
  <si>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</si>
  <si>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</si>
  <si>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</si>
  <si>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</si>
  <si>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</si>
  <si>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</si>
  <si>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</si>
  <si>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</si>
  <si>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</si>
  <si>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</si>
  <si>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</si>
  <si>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</si>
  <si>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</si>
  <si>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</si>
  <si>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</si>
  <si>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</si>
  <si>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</si>
  <si>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</si>
  <si>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</si>
  <si>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</si>
  <si>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</si>
  <si>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</si>
  <si>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</si>
  <si>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</si>
  <si>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</si>
  <si>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</si>
  <si>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</si>
  <si>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</si>
  <si>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</si>
  <si>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</si>
  <si>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</si>
  <si>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</si>
  <si>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</si>
  <si>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</si>
  <si>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</si>
  <si>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</si>
  <si>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</si>
  <si>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</si>
  <si>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</si>
  <si>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</si>
  <si>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</si>
  <si>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</si>
  <si>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</si>
  <si>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</si>
  <si>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</si>
  <si>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</si>
  <si>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</si>
  <si>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</si>
  <si>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</si>
  <si>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</si>
  <si>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</si>
  <si>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</si>
  <si>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</si>
  <si>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</si>
  <si>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</si>
  <si>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</si>
  <si>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</si>
  <si>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</si>
  <si>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</si>
  <si>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</si>
  <si>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</si>
  <si>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</si>
  <si>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</si>
  <si>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</si>
  <si>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</si>
  <si>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</si>
  <si>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</si>
  <si>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</si>
  <si>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</si>
  <si>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</si>
  <si>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</si>
  <si>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</si>
  <si>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</si>
  <si>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</si>
  <si>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</si>
  <si>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</si>
  <si>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</si>
  <si>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</si>
  <si>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</si>
  <si>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</si>
  <si>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</si>
  <si>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</si>
  <si>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</si>
  <si>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</si>
  <si>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</si>
  <si>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</si>
  <si>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</si>
  <si>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</si>
  <si>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</si>
  <si>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</si>
  <si>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</si>
  <si>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</si>
  <si>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</si>
  <si>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</si>
  <si>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</si>
  <si>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</si>
  <si>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</si>
  <si>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</si>
  <si>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</si>
  <si>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</si>
  <si>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</si>
  <si>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</si>
  <si>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</si>
  <si>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</si>
  <si>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</si>
  <si>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</si>
  <si>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</si>
  <si>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</si>
  <si>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</si>
  <si>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</si>
  <si>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</si>
  <si>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</si>
  <si>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</si>
  <si>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</si>
  <si>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</si>
  <si>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</si>
  <si>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</si>
  <si>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</si>
  <si>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</si>
  <si>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</si>
  <si>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</si>
  <si>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</si>
  <si>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</si>
  <si>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</si>
  <si>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</si>
  <si>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</si>
  <si>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</si>
  <si>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</si>
  <si>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</si>
  <si>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</si>
  <si>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</si>
  <si>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</si>
  <si>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</si>
  <si>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</si>
  <si>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</si>
  <si>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</si>
  <si>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</si>
  <si>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</si>
  <si>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</si>
  <si>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</si>
  <si>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</si>
  <si>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</si>
  <si>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</si>
  <si>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</si>
  <si>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</si>
  <si>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</si>
  <si>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</si>
  <si>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</si>
  <si>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</si>
  <si>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</si>
  <si>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</si>
  <si>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</si>
  <si>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</si>
  <si>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</si>
  <si>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</si>
  <si>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</si>
  <si>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</si>
  <si>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</si>
  <si>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</si>
  <si>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</si>
  <si>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</si>
  <si>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</si>
  <si>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</si>
  <si>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</si>
  <si>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</si>
  <si>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</si>
  <si>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</si>
  <si>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</si>
  <si>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</si>
  <si>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</si>
  <si>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</si>
  <si>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</si>
  <si>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</si>
  <si>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</si>
  <si>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</si>
  <si>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</si>
  <si>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</si>
  <si>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</si>
  <si>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</si>
  <si>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</si>
  <si>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</si>
  <si>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</si>
  <si>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</si>
  <si>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</si>
  <si>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</si>
  <si>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</si>
  <si>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</si>
  <si>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</si>
  <si>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</si>
  <si>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</si>
  <si>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</si>
  <si>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</si>
  <si>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</si>
  <si>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</si>
  <si>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</si>
  <si>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</si>
  <si>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</si>
  <si>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</si>
  <si>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</si>
  <si>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</si>
  <si>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</si>
  <si>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</si>
  <si>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</si>
  <si>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</si>
  <si>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</si>
  <si>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</si>
  <si>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</si>
  <si>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</si>
  <si>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</si>
  <si>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</si>
  <si>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</si>
  <si>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</si>
  <si>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</si>
  <si>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</si>
  <si>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</si>
  <si>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</si>
  <si>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</si>
  <si>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</si>
  <si>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</si>
  <si>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</si>
  <si>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</si>
  <si>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</si>
  <si>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</si>
  <si>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</si>
  <si>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</si>
  <si>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</si>
  <si>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</si>
  <si>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</si>
  <si>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</si>
  <si>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</si>
  <si>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</si>
  <si>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</si>
  <si>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</si>
  <si>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</si>
  <si>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</si>
  <si>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</si>
  <si>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</si>
  <si>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</si>
  <si>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</si>
  <si>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</si>
  <si>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</si>
  <si>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</si>
  <si>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</si>
  <si>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</si>
  <si>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</si>
  <si>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</si>
  <si>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</si>
  <si>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</si>
  <si>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</si>
  <si>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</si>
  <si>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</si>
  <si>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</si>
  <si>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</si>
  <si>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</si>
  <si>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</si>
  <si>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</si>
  <si>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</si>
  <si>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</si>
  <si>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</si>
  <si>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</si>
  <si>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</si>
  <si>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</si>
  <si>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</si>
  <si>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</si>
  <si>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</si>
  <si>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</si>
  <si>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</si>
  <si>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</si>
  <si>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</si>
  <si>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</si>
  <si>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</si>
  <si>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</si>
  <si>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</si>
  <si>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</si>
  <si>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</si>
  <si>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</si>
  <si>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</si>
  <si>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</si>
  <si>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</si>
  <si>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</si>
  <si>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</si>
  <si>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</si>
  <si>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</si>
  <si>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</si>
  <si>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</si>
  <si>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</si>
  <si>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</si>
  <si>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</si>
  <si>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</si>
  <si>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</si>
  <si>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</si>
  <si>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</si>
  <si>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</si>
  <si>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</si>
  <si>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</si>
  <si>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</si>
  <si>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</si>
  <si>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</si>
  <si>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</si>
  <si>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</si>
  <si>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</si>
  <si>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</si>
  <si>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</si>
  <si>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</si>
  <si>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</si>
  <si>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</si>
  <si>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</si>
  <si>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</si>
  <si>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</si>
  <si>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</si>
  <si>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</si>
  <si>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</si>
  <si>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</si>
  <si>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</si>
  <si>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</si>
  <si>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</si>
  <si>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</si>
  <si>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</si>
  <si>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</si>
  <si>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</si>
  <si>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</si>
  <si>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</si>
  <si>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</si>
  <si>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</si>
  <si>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</si>
  <si>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</si>
  <si>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</si>
  <si>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</si>
  <si>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</si>
  <si>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</si>
  <si>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</si>
  <si>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</si>
  <si>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</si>
  <si>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</si>
  <si>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</si>
  <si>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</si>
  <si>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</si>
  <si>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</si>
  <si>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</si>
  <si>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</si>
  <si>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</si>
  <si>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</si>
  <si>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</si>
  <si>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</si>
  <si>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</si>
  <si>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</si>
  <si>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</si>
  <si>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</si>
  <si>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</si>
  <si>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</si>
  <si>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</si>
  <si>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</si>
  <si>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</si>
  <si>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</si>
  <si>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</si>
  <si>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</si>
  <si>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</si>
  <si>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</si>
  <si>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</si>
  <si>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</si>
  <si>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</si>
  <si>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</si>
  <si>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</si>
  <si>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</si>
  <si>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</si>
  <si>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</si>
  <si>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</si>
  <si>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</si>
  <si>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</si>
  <si>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</si>
  <si>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</si>
  <si>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</si>
  <si>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</si>
  <si>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</si>
  <si>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</si>
  <si>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</si>
  <si>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</si>
  <si>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</si>
  <si>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</si>
  <si>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</si>
  <si>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</si>
  <si>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</si>
  <si>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</si>
  <si>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</si>
  <si>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</si>
  <si>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</si>
  <si>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</si>
  <si>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</si>
  <si>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</si>
  <si>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</si>
  <si>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</si>
  <si>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</si>
  <si>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</si>
  <si>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</si>
  <si>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</si>
  <si>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</si>
  <si>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</si>
  <si>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</si>
  <si>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</si>
  <si>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</si>
  <si>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</si>
  <si>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</si>
  <si>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</si>
  <si>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</si>
  <si>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</si>
  <si>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</si>
  <si>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</si>
  <si>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</si>
  <si>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</si>
  <si>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</si>
  <si>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</si>
  <si>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</si>
  <si>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</si>
  <si>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</si>
  <si>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</si>
  <si>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</si>
  <si>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</si>
  <si>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</si>
  <si>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</si>
  <si>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</si>
  <si>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</si>
  <si>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</si>
  <si>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</si>
  <si>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</si>
  <si>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</si>
  <si>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</si>
  <si>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</si>
  <si>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</si>
  <si>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</si>
  <si>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</si>
  <si>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</si>
  <si>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</si>
  <si>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</si>
  <si>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</si>
  <si>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</si>
  <si>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</si>
  <si>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</si>
  <si>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</si>
  <si>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</si>
  <si>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</si>
  <si>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</si>
  <si>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</si>
  <si>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</si>
  <si>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</si>
  <si>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</si>
  <si>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</si>
  <si>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</si>
  <si>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</si>
  <si>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</si>
  <si>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</si>
  <si>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</si>
  <si>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</si>
  <si>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</si>
  <si>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</si>
  <si>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</si>
  <si>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</si>
  <si>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</si>
  <si>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</si>
  <si>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</si>
  <si>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</si>
  <si>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</si>
  <si>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</si>
  <si>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</si>
  <si>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</si>
  <si>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</si>
  <si>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</si>
  <si>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</si>
  <si>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</si>
  <si>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</si>
  <si>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</si>
  <si>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</si>
  <si>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</si>
  <si>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</si>
  <si>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</si>
  <si>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</si>
  <si>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</si>
  <si>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</si>
  <si>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</si>
  <si>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</si>
  <si>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</si>
  <si>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</si>
  <si>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</si>
  <si>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</si>
  <si>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</si>
  <si>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</si>
  <si>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</si>
  <si>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</si>
  <si>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</si>
  <si>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</si>
  <si>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</si>
  <si>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</si>
  <si>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</si>
  <si>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</si>
  <si>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</si>
  <si>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</si>
  <si>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</si>
  <si>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</si>
  <si>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</si>
  <si>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</si>
  <si>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</si>
  <si>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</si>
  <si>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</si>
  <si>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</si>
  <si>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</si>
  <si>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</si>
  <si>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</si>
  <si>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</si>
  <si>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</si>
  <si>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</si>
  <si>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</si>
  <si>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</si>
  <si>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</si>
  <si>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</si>
  <si>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</si>
  <si>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</si>
  <si>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</si>
  <si>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</si>
  <si>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</si>
  <si>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</si>
  <si>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</si>
  <si>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</si>
  <si>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</si>
  <si>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</si>
  <si>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</si>
  <si>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</si>
  <si>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</si>
  <si>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</si>
  <si>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</si>
  <si>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</si>
  <si>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</si>
  <si>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</si>
  <si>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</si>
  <si>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</si>
  <si>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</si>
  <si>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</si>
  <si>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</si>
  <si>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</si>
  <si>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</si>
  <si>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</si>
  <si>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</si>
  <si>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</si>
  <si>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</si>
  <si>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</si>
  <si>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</si>
  <si>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</si>
  <si>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</si>
  <si>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</si>
  <si>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</si>
  <si>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</si>
  <si>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</si>
  <si>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</si>
  <si>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</si>
  <si>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</si>
  <si>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</si>
  <si>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</si>
  <si>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</si>
  <si>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</si>
  <si>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</si>
  <si>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</si>
  <si>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</si>
  <si>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</si>
  <si>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</si>
  <si>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</si>
  <si>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</si>
  <si>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</si>
  <si>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</si>
  <si>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</si>
  <si>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</si>
  <si>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</si>
  <si>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</si>
  <si>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</si>
  <si>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</si>
  <si>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</si>
  <si>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</si>
  <si>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</si>
  <si>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</si>
  <si>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</si>
  <si>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</si>
  <si>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</si>
  <si>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</si>
  <si>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</si>
  <si>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</si>
  <si>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</si>
  <si>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</si>
  <si>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</si>
  <si>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</si>
  <si>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</si>
  <si>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</si>
  <si>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</si>
  <si>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</si>
  <si>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</si>
  <si>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</si>
  <si>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</si>
  <si>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</si>
  <si>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</si>
  <si>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</si>
  <si>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</si>
  <si>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</si>
  <si>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</si>
  <si>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</si>
  <si>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</si>
  <si>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</si>
  <si>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</si>
  <si>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</si>
  <si>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</si>
  <si>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</si>
  <si>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</si>
  <si>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</si>
  <si>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</si>
  <si>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</si>
  <si>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</si>
  <si>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</si>
  <si>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</si>
  <si>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</si>
  <si>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</si>
  <si>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</si>
  <si>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</si>
  <si>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</si>
  <si>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</si>
  <si>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</si>
  <si>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</si>
  <si>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</si>
  <si>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</si>
  <si>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</si>
  <si>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</si>
  <si>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</si>
  <si>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</si>
  <si>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</si>
  <si>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</si>
  <si>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</si>
  <si>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</si>
  <si>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</si>
  <si>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</si>
  <si>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</si>
  <si>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</si>
  <si>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</si>
  <si>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</si>
  <si>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</si>
  <si>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</si>
  <si>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</si>
  <si>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</si>
  <si>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</si>
  <si>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</si>
  <si>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</si>
  <si>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</si>
  <si>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</si>
  <si>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</si>
  <si>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</si>
  <si>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</si>
  <si>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</si>
  <si>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</si>
  <si>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</si>
  <si>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</si>
  <si>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</si>
  <si>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</si>
  <si>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</si>
  <si>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</si>
  <si>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</si>
  <si>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</si>
  <si>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</si>
  <si>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</si>
  <si>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</si>
  <si>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</si>
  <si>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</si>
  <si>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</si>
  <si>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</si>
  <si>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</si>
  <si>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</si>
  <si>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</si>
  <si>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</si>
  <si>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</si>
  <si>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</si>
  <si>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</si>
  <si>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</si>
  <si>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</si>
  <si>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</si>
  <si>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</si>
  <si>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</si>
  <si>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</si>
  <si>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</si>
  <si>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</si>
  <si>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</si>
  <si>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</si>
  <si>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</si>
  <si>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</si>
  <si>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</si>
  <si>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</si>
  <si>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</si>
  <si>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</si>
  <si>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</si>
  <si>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</si>
  <si>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</si>
  <si>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</si>
  <si>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</si>
  <si>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</si>
  <si>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</si>
  <si>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</si>
  <si>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</si>
  <si>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</si>
  <si>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</si>
  <si>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</si>
  <si>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</si>
  <si>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</si>
  <si>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</si>
  <si>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</si>
  <si>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</si>
  <si>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</si>
  <si>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</si>
  <si>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</si>
  <si>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</si>
  <si>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</si>
  <si>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</si>
  <si>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</si>
  <si>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</si>
  <si>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</si>
  <si>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</si>
  <si>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</si>
  <si>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</si>
  <si>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</si>
  <si>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</si>
  <si>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</si>
  <si>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</si>
  <si>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</si>
  <si>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</si>
  <si>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</si>
  <si>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</si>
  <si>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</si>
  <si>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</si>
  <si>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</si>
  <si>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</si>
  <si>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</si>
  <si>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</si>
  <si>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</si>
  <si>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</si>
  <si>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</si>
  <si>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</si>
  <si>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</si>
  <si>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</si>
  <si>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</si>
  <si>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</si>
  <si>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</si>
  <si>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</si>
  <si>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</si>
  <si>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</si>
  <si>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</si>
  <si>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</si>
  <si>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</si>
  <si>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</si>
  <si>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</si>
  <si>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</si>
  <si>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</si>
  <si>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</si>
  <si>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</si>
  <si>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</si>
  <si>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</si>
  <si>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</si>
  <si>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</si>
  <si>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</si>
  <si>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</si>
  <si>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</si>
  <si>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</si>
  <si>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</si>
  <si>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</si>
  <si>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</si>
  <si>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</si>
  <si>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</si>
  <si>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</si>
  <si>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</si>
  <si>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</si>
  <si>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</si>
  <si>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</si>
  <si>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</si>
  <si>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</si>
  <si>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</si>
  <si>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</si>
  <si>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</si>
  <si>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</si>
  <si>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</si>
  <si>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</si>
  <si>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</si>
  <si>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</si>
  <si>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</si>
  <si>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</si>
  <si>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</si>
  <si>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</si>
  <si>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</si>
  <si>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</si>
  <si>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</si>
  <si>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</si>
  <si>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</si>
  <si>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</si>
  <si>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</si>
  <si>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</si>
  <si>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</si>
  <si>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</si>
  <si>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</si>
  <si>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</si>
  <si>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</si>
  <si>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</si>
  <si>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</si>
  <si>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</si>
  <si>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</si>
  <si>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</si>
  <si>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</si>
  <si>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</si>
  <si>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</si>
  <si>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</si>
  <si>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</si>
  <si>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</si>
  <si>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</si>
  <si>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</si>
  <si>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</si>
  <si>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</si>
  <si>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</si>
  <si>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</si>
  <si>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</si>
  <si>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</si>
  <si>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</si>
  <si>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</si>
  <si>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</si>
  <si>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</si>
  <si>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</si>
  <si>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</si>
  <si>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</si>
  <si>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</si>
  <si>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</si>
  <si>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</si>
  <si>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</si>
  <si>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</si>
  <si>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</si>
  <si>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</si>
  <si>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</si>
  <si>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</si>
  <si>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</si>
  <si>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</si>
  <si>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</si>
  <si>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</si>
  <si>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</si>
  <si>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</si>
  <si>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</si>
  <si>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</si>
  <si>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</si>
  <si>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</si>
  <si>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</si>
  <si>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</si>
  <si>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</si>
  <si>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</si>
  <si>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</si>
  <si>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</si>
  <si>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</si>
  <si>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</si>
  <si>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</si>
  <si>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</si>
  <si>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</si>
  <si>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</si>
  <si>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</si>
  <si>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</si>
  <si>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</si>
  <si>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</si>
  <si>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</si>
  <si>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</si>
  <si>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</si>
  <si>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</si>
  <si>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</si>
  <si>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</si>
  <si>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</si>
  <si>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</si>
  <si>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</si>
  <si>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</si>
  <si>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</si>
  <si>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</si>
  <si>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</si>
  <si>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</si>
  <si>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</si>
  <si>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</si>
  <si>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</si>
  <si>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</si>
  <si>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</si>
  <si>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</si>
  <si>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</si>
  <si>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</si>
  <si>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</si>
  <si>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</si>
  <si>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</si>
  <si>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</si>
  <si>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</si>
  <si>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</si>
  <si>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</si>
  <si>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</si>
  <si>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</si>
  <si>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</si>
  <si>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</si>
  <si>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</si>
  <si>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</si>
  <si>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</si>
  <si>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</si>
  <si>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</si>
  <si>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</si>
  <si>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</si>
  <si>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</si>
  <si>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</si>
  <si>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</si>
  <si>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</si>
  <si>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</si>
  <si>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</si>
  <si>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</si>
  <si>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</si>
  <si>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</si>
  <si>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</si>
  <si>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</si>
  <si>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</si>
  <si>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</si>
  <si>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</si>
  <si>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</si>
  <si>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</si>
  <si>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</si>
  <si>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</si>
  <si>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</si>
  <si>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</si>
  <si>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</si>
  <si>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</si>
  <si>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</si>
  <si>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</si>
  <si>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</si>
  <si>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</si>
  <si>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</si>
  <si>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</si>
  <si>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</si>
  <si>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</si>
  <si>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</si>
  <si>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</si>
  <si>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</si>
  <si>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</si>
  <si>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</si>
  <si>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</si>
  <si>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</si>
  <si>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</si>
  <si>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</si>
  <si>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</si>
  <si>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</si>
  <si>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</si>
  <si>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</si>
  <si>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</si>
  <si>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</si>
  <si>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</si>
  <si>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</si>
  <si>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</si>
  <si>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</si>
  <si>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</si>
  <si>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</si>
  <si>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</si>
  <si>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</si>
  <si>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</si>
  <si>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</si>
  <si>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</si>
  <si>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</si>
  <si>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</si>
  <si>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</si>
  <si>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</si>
  <si>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</si>
  <si>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</si>
  <si>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</si>
  <si>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</si>
  <si>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</si>
  <si>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</si>
  <si>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</si>
  <si>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</si>
  <si>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</si>
  <si>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</si>
  <si>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</si>
  <si>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</si>
  <si>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</si>
  <si>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</si>
  <si>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</si>
  <si>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</si>
  <si>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</si>
  <si>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</si>
  <si>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</si>
  <si>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</si>
  <si>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</si>
  <si>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</si>
  <si>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</si>
  <si>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</si>
  <si>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</si>
  <si>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</si>
  <si>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</si>
  <si>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</si>
  <si>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</si>
  <si>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</si>
  <si>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</si>
  <si>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</si>
  <si>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</si>
  <si>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</si>
  <si>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</si>
  <si>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</si>
  <si>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</si>
  <si>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</si>
  <si>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</si>
  <si>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</si>
  <si>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</si>
  <si>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</si>
  <si>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</si>
  <si>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</si>
  <si>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</si>
  <si>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</si>
  <si>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</si>
  <si>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</si>
  <si>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</si>
  <si>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</si>
  <si>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</si>
  <si>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</si>
  <si>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</si>
  <si>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</si>
  <si>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</si>
  <si>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</si>
  <si>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</si>
  <si>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</si>
  <si>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</si>
  <si>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</si>
  <si>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</si>
  <si>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</si>
  <si>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</si>
  <si>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</si>
  <si>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</si>
  <si>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</si>
  <si>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</si>
  <si>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</si>
  <si>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</si>
  <si>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</si>
  <si>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</si>
  <si>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</si>
  <si>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</si>
  <si>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</si>
  <si>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</si>
  <si>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</si>
  <si>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</si>
  <si>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</si>
  <si>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</si>
  <si>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</si>
  <si>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</si>
  <si>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</si>
  <si>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</si>
  <si>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</si>
  <si>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</si>
  <si>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</si>
  <si>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</si>
  <si>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</si>
  <si>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</si>
  <si>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</si>
  <si>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</si>
  <si>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</si>
  <si>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</si>
  <si>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</si>
  <si>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</si>
  <si>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</si>
  <si>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</si>
  <si>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</si>
  <si>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</si>
  <si>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</si>
  <si>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</si>
  <si>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</si>
  <si>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</si>
  <si>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</si>
  <si>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</si>
  <si>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</si>
  <si>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</si>
  <si>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</si>
  <si>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</si>
  <si>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</si>
  <si>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</si>
  <si>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</si>
  <si>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</si>
  <si>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</si>
  <si>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</si>
  <si>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</si>
  <si>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</si>
  <si>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</si>
  <si>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</si>
  <si>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</si>
  <si>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</si>
  <si>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</si>
  <si>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</si>
  <si>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</si>
  <si>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</si>
  <si>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</si>
  <si>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</si>
  <si>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</si>
  <si>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</si>
  <si>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</si>
  <si>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</si>
  <si>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</si>
  <si>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</si>
  <si>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</si>
  <si>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</si>
  <si>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</si>
  <si>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</si>
  <si>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</si>
  <si>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</si>
  <si>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</si>
  <si>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</si>
  <si>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</si>
  <si>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</si>
  <si>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</si>
  <si>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</si>
  <si>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</si>
  <si>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</si>
  <si>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</si>
  <si>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</si>
  <si>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</si>
  <si>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</si>
  <si>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</si>
  <si>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</si>
  <si>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</si>
  <si>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</si>
  <si>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</si>
  <si>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</si>
  <si>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</si>
  <si>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</si>
  <si>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</si>
  <si>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</si>
  <si>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</si>
  <si>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</si>
  <si>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</si>
  <si>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</si>
  <si>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</si>
  <si>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</si>
  <si>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</si>
  <si>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</si>
  <si>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</si>
  <si>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</si>
  <si>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</si>
  <si>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</si>
  <si>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</si>
  <si>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</si>
  <si>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</si>
  <si>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</si>
  <si>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</si>
  <si>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</si>
  <si>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</si>
  <si>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</si>
  <si>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</si>
  <si>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</si>
  <si>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</si>
  <si>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</si>
  <si>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</si>
  <si>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</si>
  <si>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</si>
  <si>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</si>
  <si>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</si>
  <si>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</si>
  <si>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</si>
  <si>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</si>
  <si>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</si>
  <si>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</si>
  <si>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</si>
  <si>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</si>
  <si>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</si>
  <si>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</si>
  <si>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</si>
  <si>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</si>
  <si>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</si>
  <si>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</si>
  <si>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</si>
  <si>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</si>
  <si>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</si>
  <si>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</si>
  <si>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</si>
  <si>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</si>
  <si>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</si>
  <si>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</si>
  <si>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</si>
  <si>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</si>
  <si>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</si>
  <si>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</si>
  <si>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</si>
  <si>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</si>
  <si>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</si>
  <si>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</si>
  <si>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</si>
  <si>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</si>
  <si>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</si>
  <si>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</si>
  <si>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</si>
  <si>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</si>
  <si>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</si>
  <si>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</si>
  <si>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</si>
  <si>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</si>
  <si>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</si>
  <si>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</si>
  <si>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</si>
  <si>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</si>
  <si>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</si>
  <si>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</si>
  <si>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</si>
  <si>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</si>
  <si>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</si>
  <si>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</si>
  <si>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</si>
  <si>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</si>
  <si>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</si>
  <si>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</si>
  <si>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</si>
  <si>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</si>
  <si>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</si>
  <si>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</si>
  <si>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</si>
  <si>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</si>
  <si>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</si>
  <si>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</si>
  <si>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</si>
  <si>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</si>
  <si>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</si>
  <si>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</si>
  <si>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</si>
  <si>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</si>
  <si>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</si>
  <si>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</si>
  <si>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</si>
  <si>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</si>
  <si>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</si>
  <si>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</si>
  <si>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</si>
  <si>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</si>
  <si>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</si>
  <si>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</si>
  <si>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</si>
  <si>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</si>
  <si>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</si>
  <si>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</si>
  <si>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</si>
  <si>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</si>
  <si>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</si>
  <si>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</si>
  <si>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</si>
  <si>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</si>
  <si>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</si>
  <si>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</si>
  <si>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</si>
  <si>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</si>
  <si>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</si>
  <si>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</si>
  <si>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</si>
  <si>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</si>
  <si>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</si>
  <si>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</si>
  <si>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</si>
  <si>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</si>
  <si>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</si>
  <si>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</si>
  <si>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</si>
  <si>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</si>
  <si>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</si>
  <si>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</si>
  <si>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</si>
  <si>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</si>
  <si>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</si>
  <si>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</si>
  <si>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</si>
  <si>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</si>
  <si>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</si>
  <si>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</si>
  <si>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</si>
  <si>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</si>
  <si>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</si>
  <si>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</si>
  <si>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</si>
  <si>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</si>
  <si>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</si>
  <si>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</si>
  <si>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</si>
  <si>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</si>
  <si>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</si>
  <si>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</si>
  <si>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</si>
  <si>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</si>
  <si>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</si>
  <si>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</si>
  <si>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</si>
  <si>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</si>
  <si>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</si>
  <si>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</si>
  <si>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</si>
  <si>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</si>
  <si>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</si>
  <si>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</si>
  <si>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</si>
  <si>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</si>
  <si>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</si>
  <si>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</si>
  <si>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</si>
  <si>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</si>
  <si>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</si>
  <si>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</si>
  <si>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</si>
  <si>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</si>
  <si>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</si>
  <si>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</si>
  <si>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</si>
  <si>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</si>
  <si>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</si>
  <si>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</si>
  <si>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</si>
  <si>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</si>
  <si>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</si>
  <si>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</si>
  <si>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</si>
  <si>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</si>
  <si>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</si>
  <si>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</si>
  <si>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</si>
  <si>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</si>
  <si>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</si>
  <si>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</si>
  <si>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</si>
  <si>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</si>
  <si>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</si>
  <si>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</si>
  <si>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</si>
  <si>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</si>
  <si>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</si>
  <si>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</si>
  <si>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</si>
  <si>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</si>
  <si>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</si>
  <si>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</si>
  <si>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</si>
  <si>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</si>
  <si>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</si>
  <si>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</si>
  <si>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</si>
  <si>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</si>
  <si>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</si>
  <si>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</si>
  <si>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</si>
  <si>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</si>
  <si>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</si>
  <si>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</si>
  <si>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</si>
  <si>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</si>
  <si>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</si>
  <si>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</si>
  <si>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</si>
  <si>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</si>
  <si>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</si>
  <si>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</si>
  <si>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</si>
  <si>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</si>
  <si>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</si>
  <si>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</si>
  <si>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</si>
  <si>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</si>
  <si>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</si>
  <si>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</si>
  <si>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</si>
  <si>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</si>
  <si>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</si>
  <si>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</si>
  <si>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</si>
  <si>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</si>
  <si>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</si>
  <si>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</si>
  <si>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</si>
  <si>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</si>
  <si>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</si>
  <si>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</si>
  <si>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</si>
  <si>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</si>
  <si>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</si>
  <si>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</si>
  <si>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DEKALB</t>
  </si>
  <si>
    <t>600 EAST LIONS ROAD</t>
  </si>
  <si>
    <t>SANDWICH</t>
  </si>
  <si>
    <t>JBARBIC@IVVC.NET</t>
  </si>
  <si>
    <t>JOSEPH BARBIC</t>
  </si>
  <si>
    <t>815-786-7616</t>
  </si>
  <si>
    <t>815-786-6928</t>
  </si>
  <si>
    <t>MACK &amp; ASSOCIATES, P.C.</t>
  </si>
  <si>
    <t>TAWNYA R. MACK</t>
  </si>
  <si>
    <t>116 EAST WASHINGTON STREET, SUITE ONE</t>
  </si>
  <si>
    <t>MORRIS</t>
  </si>
  <si>
    <t>IL</t>
  </si>
  <si>
    <t>815-942-3306</t>
  </si>
  <si>
    <t>815-942-9430</t>
  </si>
  <si>
    <t>TMACK@MACKCPAS.COM</t>
  </si>
  <si>
    <t>SEE BELOW FOR MEMBER DISTRICTS OF IVVC JOINT AGREEMENT</t>
  </si>
  <si>
    <t>EARLVILLE SCHOOL DISTRICT #9, HINCKLEY-BIG ROCK SCHOOL DISTRICT #429, INDIAN CREEK SCHOOL DISTRICT #425, LELAND SCHOOL DISTRICT #1, NEWARK SCHOOL DISTRICT #18, PAW PAW SCHOOL DISTRICT #271,</t>
  </si>
  <si>
    <t>PLANO SCHOOL DISTRICT #88, SANDWICH SCHOOL DISTRICT #430, SERENA SCHOOL DISTRICT #2, SOMONAUK SCHOOL DISTRICT #432, YORKVILLE SCHOOL DISTRICT #115.</t>
  </si>
  <si>
    <t>10-1400-300</t>
  </si>
  <si>
    <t>Sandwich School District</t>
  </si>
  <si>
    <t>Ed - CTE - Purchased Services - Transportation</t>
  </si>
  <si>
    <t>Ed - CTE Programs - Private Tuition</t>
  </si>
  <si>
    <t>10-1917-300</t>
  </si>
  <si>
    <t>Hair Professionals</t>
  </si>
  <si>
    <t>Debutantes School of Cosmetology</t>
  </si>
  <si>
    <t>10-1917-600</t>
  </si>
  <si>
    <t>10-2310-300</t>
  </si>
  <si>
    <t>Marco Technologies</t>
  </si>
  <si>
    <t>Ed - Board of Ed - Purchased Services - Audit</t>
  </si>
  <si>
    <t>Ed - Board of Ed - Purchased Services - Lease</t>
  </si>
  <si>
    <t>Newkirk &amp; Associates, Inc.</t>
  </si>
  <si>
    <t>Ed - Board of Ed - Purchased Services - Insurance</t>
  </si>
  <si>
    <t>Ramza Insurance Group</t>
  </si>
  <si>
    <t>10-2360-300</t>
  </si>
  <si>
    <t>Ed - Tort Immunity - Purchased Services - Workers' Comp.</t>
  </si>
  <si>
    <t>Employers Preferred Ins. Co.</t>
  </si>
  <si>
    <t>Ed - O&amp;M - Purchased Services - Internet</t>
  </si>
  <si>
    <t>10-2540-300</t>
  </si>
  <si>
    <t>Comcast Cable</t>
  </si>
  <si>
    <t>Expenditures, Line 83, Function 4190 - Lease contract payment to Sandwich Fire</t>
  </si>
  <si>
    <t>See PDF in opinion page with signature</t>
  </si>
  <si>
    <t>VALEES</t>
  </si>
  <si>
    <t>Revenues, Line 227, Function 4799 - CTE - Other - Perkings Grant (Function 4745)</t>
  </si>
  <si>
    <t>066-005100</t>
  </si>
  <si>
    <t>Revenues, Line 107, Function 1999 - Other Local Revenue - Reimbursements from VALEES</t>
  </si>
  <si>
    <t>Indian Valley Voc Ctr</t>
  </si>
  <si>
    <t>10-2300-300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</si>
</sst>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742950</xdr:colOff>
          <xdr:row>4</xdr:row>
          <xdr:rowOff>57150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742950</xdr:colOff>
          <xdr:row>8</xdr:row>
          <xdr:rowOff>57150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742950</xdr:colOff>
          <xdr:row>12</xdr:row>
          <xdr:rowOff>57150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31173</xdr:rowOff>
        </xdr:from>
        <xdr:to>
          <xdr:col>1</xdr:col>
          <xdr:colOff>787977</xdr:colOff>
          <xdr:row>15</xdr:row>
          <xdr:rowOff>238991</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c r="C5" s="26" t="s">
        <v>966</v>
      </c>
      <c r="D5" s="84"/>
      <c r="E5" s="84"/>
      <c r="H5" s="38"/>
      <c r="I5" s="2011" t="s">
        <v>701</v>
      </c>
      <c r="J5" s="2010"/>
      <c r="K5" s="2010"/>
      <c r="L5" s="2010"/>
      <c r="M5" s="2010"/>
      <c r="N5" s="2010"/>
      <c r="O5" s="2010"/>
      <c r="P5" s="2010"/>
      <c r="Q5" s="2010"/>
      <c r="R5" s="2010"/>
      <c r="S5" s="2010"/>
    </row>
    <row r="6" spans="1:28" ht="14.1" customHeight="1" x14ac:dyDescent="0.2">
      <c r="B6" s="104" t="s">
        <v>2077</v>
      </c>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16019430040</v>
      </c>
      <c r="B13" s="2037"/>
      <c r="C13" s="2037"/>
      <c r="D13" s="2037"/>
      <c r="E13" s="2037"/>
      <c r="F13" s="2037"/>
      <c r="G13" s="2037"/>
      <c r="H13" s="2038"/>
      <c r="I13" s="31"/>
      <c r="J13" s="30"/>
      <c r="K13" s="28"/>
      <c r="L13" s="30"/>
      <c r="M13" s="30"/>
      <c r="N13" s="30"/>
      <c r="O13" s="30"/>
      <c r="P13" s="30"/>
      <c r="Q13" s="30"/>
      <c r="R13" s="30"/>
      <c r="S13" s="30"/>
      <c r="T13" s="2041" t="s">
        <v>2085</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2078</v>
      </c>
      <c r="B15" s="2039"/>
      <c r="C15" s="2039"/>
      <c r="D15" s="2039"/>
      <c r="E15" s="2039"/>
      <c r="F15" s="2039"/>
      <c r="G15" s="2039"/>
      <c r="H15" s="2040"/>
      <c r="T15" s="2045" t="s">
        <v>2086</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2123</v>
      </c>
      <c r="B17" s="1996"/>
      <c r="C17" s="1996"/>
      <c r="D17" s="1996"/>
      <c r="E17" s="1996"/>
      <c r="F17" s="1996"/>
      <c r="G17" s="1996"/>
      <c r="H17" s="2021"/>
      <c r="T17" s="2052" t="s">
        <v>2087</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2079</v>
      </c>
      <c r="B19" s="1981"/>
      <c r="C19" s="1981"/>
      <c r="D19" s="1981"/>
      <c r="E19" s="1981"/>
      <c r="F19" s="1981"/>
      <c r="G19" s="1981"/>
      <c r="H19" s="1961"/>
      <c r="I19" s="30"/>
      <c r="J19" s="99"/>
      <c r="K19" s="40"/>
      <c r="L19" s="38"/>
      <c r="M19" s="112" t="s">
        <v>333</v>
      </c>
      <c r="P19" s="27"/>
      <c r="Q19" s="27"/>
      <c r="R19" s="27"/>
      <c r="S19" s="31"/>
      <c r="T19" s="2035" t="s">
        <v>2088</v>
      </c>
      <c r="U19" s="1960"/>
      <c r="V19" s="1960"/>
      <c r="W19" s="1961"/>
      <c r="X19" s="2050" t="s">
        <v>2089</v>
      </c>
      <c r="Y19" s="2051"/>
      <c r="Z19" s="2048">
        <v>60450</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2080</v>
      </c>
      <c r="B21" s="1960"/>
      <c r="C21" s="1960"/>
      <c r="D21" s="1960"/>
      <c r="E21" s="1960"/>
      <c r="F21" s="1960"/>
      <c r="G21" s="1960"/>
      <c r="H21" s="1961"/>
      <c r="I21" s="2015" t="s">
        <v>699</v>
      </c>
      <c r="J21" s="2010"/>
      <c r="K21" s="2010"/>
      <c r="L21" s="2010"/>
      <c r="M21" s="2010"/>
      <c r="N21" s="2010"/>
      <c r="O21" s="2010"/>
      <c r="P21" s="2010"/>
      <c r="Q21" s="2010"/>
      <c r="R21" s="2010"/>
      <c r="S21" s="2016"/>
      <c r="T21" s="2059" t="s">
        <v>2090</v>
      </c>
      <c r="U21" s="2060"/>
      <c r="V21" s="2060"/>
      <c r="W21" s="2060"/>
      <c r="X21" s="2065" t="s">
        <v>2091</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2081</v>
      </c>
      <c r="B23" s="2013"/>
      <c r="C23" s="2013"/>
      <c r="D23" s="2013"/>
      <c r="E23" s="2013"/>
      <c r="F23" s="2013"/>
      <c r="G23" s="2013"/>
      <c r="H23" s="2014"/>
      <c r="T23" s="1995" t="s">
        <v>2121</v>
      </c>
      <c r="U23" s="2058"/>
      <c r="V23" s="2058"/>
      <c r="W23" s="2058"/>
      <c r="X23" s="2062">
        <v>43434</v>
      </c>
      <c r="Y23" s="2063"/>
      <c r="Z23" s="2063"/>
      <c r="AA23" s="2064"/>
    </row>
    <row r="24" spans="1:27" ht="14.1" customHeight="1" x14ac:dyDescent="0.2">
      <c r="A24" s="88" t="s">
        <v>698</v>
      </c>
      <c r="B24" s="49"/>
      <c r="C24" s="49"/>
      <c r="D24" s="49"/>
      <c r="E24" s="49"/>
      <c r="F24" s="49"/>
      <c r="G24" s="49"/>
      <c r="H24" s="61"/>
      <c r="J24" s="1982" t="str">
        <f>IF(B5="x",IF(AUDITCHECK!D29="AFR form Incomplete.","",IF(AUDITCHECK!D29="Deficit reduction plan is required.","School District must complete a deficit reduction plan in the 2018-2019 Budget",)),"")</f>
        <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60548</v>
      </c>
      <c r="B25" s="1960"/>
      <c r="C25" s="1960"/>
      <c r="D25" s="1960"/>
      <c r="E25" s="1960"/>
      <c r="F25" s="1960"/>
      <c r="G25" s="1960"/>
      <c r="H25" s="1961"/>
      <c r="I25" s="113"/>
      <c r="J25" s="1984"/>
      <c r="K25" s="1984"/>
      <c r="L25" s="1984"/>
      <c r="M25" s="1984"/>
      <c r="N25" s="1984"/>
      <c r="O25" s="1984"/>
      <c r="P25" s="1984"/>
      <c r="Q25" s="1984"/>
      <c r="R25" s="1984"/>
      <c r="S25" s="1985"/>
      <c r="T25" s="2055" t="s">
        <v>2092</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2082</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2081</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2083</v>
      </c>
      <c r="B42" s="1979"/>
      <c r="C42" s="1980"/>
      <c r="D42" s="1978" t="s">
        <v>2084</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2036</v>
      </c>
      <c r="D2" s="724" t="s">
        <v>2043</v>
      </c>
      <c r="E2" s="724" t="s">
        <v>2044</v>
      </c>
      <c r="F2" s="1909" t="s">
        <v>2037</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G36" sqref="G3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0</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0</v>
      </c>
      <c r="I23" s="1780">
        <f>SUM(I14:I16,I21,I22)</f>
        <v>0</v>
      </c>
      <c r="J23" s="1780">
        <f>SUM(J14:J16,J21,J22)</f>
        <v>0</v>
      </c>
      <c r="K23" s="1780">
        <f>SUM(K14:K16,K21,K22)</f>
        <v>0</v>
      </c>
    </row>
    <row r="24" spans="1:11" ht="14.25" thickTop="1" thickBot="1" x14ac:dyDescent="0.25">
      <c r="A24" s="2266" t="s">
        <v>2024</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1" sqref="I1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102964</v>
      </c>
      <c r="D5" s="842"/>
      <c r="E5" s="842"/>
      <c r="F5" s="1782">
        <f>(C5+D5)-E5</f>
        <v>102964</v>
      </c>
      <c r="G5" s="838"/>
      <c r="H5" s="843"/>
      <c r="I5" s="843"/>
      <c r="J5" s="843"/>
      <c r="K5" s="794"/>
      <c r="L5" s="1791">
        <f>F5-K5</f>
        <v>102964</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3562716</v>
      </c>
      <c r="D8" s="845"/>
      <c r="E8" s="845"/>
      <c r="F8" s="1782">
        <f>(C8+D8)-E8</f>
        <v>3562716</v>
      </c>
      <c r="G8" s="844">
        <v>50</v>
      </c>
      <c r="H8" s="766">
        <v>1212774</v>
      </c>
      <c r="I8" s="766">
        <v>71474</v>
      </c>
      <c r="J8" s="766"/>
      <c r="K8" s="1791">
        <f>(H8+I8)-J8</f>
        <v>1284248</v>
      </c>
      <c r="L8" s="1791">
        <f>F8-K8</f>
        <v>2278468</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183907</v>
      </c>
      <c r="D10" s="847"/>
      <c r="E10" s="847"/>
      <c r="F10" s="1786">
        <f>(C10+D10)-E10</f>
        <v>183907</v>
      </c>
      <c r="G10" s="844">
        <v>20</v>
      </c>
      <c r="H10" s="848">
        <v>101618</v>
      </c>
      <c r="I10" s="848">
        <v>6114</v>
      </c>
      <c r="J10" s="848"/>
      <c r="K10" s="1791">
        <f>(H10+I10)-J10</f>
        <v>107732</v>
      </c>
      <c r="L10" s="1791">
        <f>F10-K10</f>
        <v>76175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266632</v>
      </c>
      <c r="D12" s="845">
        <v>29079</v>
      </c>
      <c r="E12" s="845"/>
      <c r="F12" s="1782">
        <f>(C12+D12)-E12</f>
        <v>295711</v>
      </c>
      <c r="G12" s="844">
        <v>10</v>
      </c>
      <c r="H12" s="766">
        <v>193922</v>
      </c>
      <c r="I12" s="766">
        <v>22364</v>
      </c>
      <c r="J12" s="766"/>
      <c r="K12" s="1791">
        <f>(H12+I12)-J12</f>
        <v>216286</v>
      </c>
      <c r="L12" s="1791">
        <f>F12-K12</f>
        <v>79425</v>
      </c>
    </row>
    <row r="13" spans="1:14" ht="14.25" thickTop="1" thickBot="1" x14ac:dyDescent="0.25">
      <c r="A13" s="849" t="s">
        <v>1184</v>
      </c>
      <c r="B13" s="841">
        <v>252</v>
      </c>
      <c r="C13" s="845">
        <v>6100</v>
      </c>
      <c r="D13" s="845"/>
      <c r="E13" s="845"/>
      <c r="F13" s="1782">
        <f>(C13+D13)-E13</f>
        <v>6100</v>
      </c>
      <c r="G13" s="844">
        <v>5</v>
      </c>
      <c r="H13" s="766">
        <v>6100</v>
      </c>
      <c r="I13" s="766"/>
      <c r="J13" s="766"/>
      <c r="K13" s="1791">
        <f>(H13+I13)-J13</f>
        <v>6100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4122319</v>
      </c>
      <c r="D16" s="1782">
        <f>SUM(D3,D5:D6,D8:D10,D12:D15)</f>
        <v>29079</v>
      </c>
      <c r="E16" s="1782">
        <f>SUM(E3,E5:E6,E8:E10,E12:E15)</f>
        <v>0</v>
      </c>
      <c r="F16" s="1782">
        <f>SUM(F3,F5:F6,F8:F10,F12:F15)</f>
        <v>4151398</v>
      </c>
      <c r="G16" s="844"/>
      <c r="H16" s="1782">
        <f>SUM(H3,H6,H8:H10,H12:H14,)</f>
        <v>1514414</v>
      </c>
      <c r="I16" s="1782">
        <f>SUM(I3,I6,I8:I10,I12:I14,)</f>
        <v>99952</v>
      </c>
      <c r="J16" s="1782">
        <f>SUM(J3,J6,J8:J10,J12:J14,)</f>
        <v>0</v>
      </c>
      <c r="K16" s="1782">
        <f>(H16+I16)-J16</f>
        <v>1614366</v>
      </c>
      <c r="L16" s="1782">
        <f>F16-K16</f>
        <v>2537032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99952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76"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1921320</v>
      </c>
      <c r="G8" s="866"/>
    </row>
    <row r="9" spans="1:7" x14ac:dyDescent="0.2">
      <c r="A9" s="870" t="s">
        <v>480</v>
      </c>
      <c r="B9" s="871" t="s">
        <v>1988</v>
      </c>
      <c r="C9" s="872"/>
      <c r="D9" s="870" t="s">
        <v>522</v>
      </c>
      <c r="E9" s="869"/>
      <c r="F9" s="1935">
        <f>'Expenditures 15-22'!K151</f>
        <v>0</v>
      </c>
      <c r="G9" s="873"/>
    </row>
    <row r="10" spans="1:7" x14ac:dyDescent="0.2">
      <c r="A10" s="870" t="s">
        <v>520</v>
      </c>
      <c r="B10" s="871" t="s">
        <v>1989</v>
      </c>
      <c r="C10" s="872"/>
      <c r="D10" s="870" t="s">
        <v>522</v>
      </c>
      <c r="E10" s="869"/>
      <c r="F10" s="1935">
        <f>'Expenditures 15-22'!K174</f>
        <v>0</v>
      </c>
      <c r="G10" s="873"/>
    </row>
    <row r="11" spans="1:7" x14ac:dyDescent="0.2">
      <c r="A11" s="870" t="s">
        <v>481</v>
      </c>
      <c r="B11" s="871" t="s">
        <v>1990</v>
      </c>
      <c r="C11" s="872"/>
      <c r="D11" s="870" t="s">
        <v>522</v>
      </c>
      <c r="E11" s="869"/>
      <c r="F11" s="1935">
        <f>'Expenditures 15-22'!K210</f>
        <v>0</v>
      </c>
      <c r="G11" s="873"/>
    </row>
    <row r="12" spans="1:7" x14ac:dyDescent="0.2">
      <c r="A12" s="870" t="s">
        <v>482</v>
      </c>
      <c r="B12" s="871" t="s">
        <v>1991</v>
      </c>
      <c r="C12" s="872"/>
      <c r="D12" s="870" t="s">
        <v>522</v>
      </c>
      <c r="E12" s="869"/>
      <c r="F12" s="1935">
        <f>'Expenditures 15-22'!K295</f>
        <v>0</v>
      </c>
      <c r="G12" s="873"/>
    </row>
    <row r="13" spans="1:7" x14ac:dyDescent="0.2">
      <c r="A13" s="870" t="s">
        <v>108</v>
      </c>
      <c r="B13" s="871" t="s">
        <v>1992</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1921320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20830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1700</v>
      </c>
      <c r="G53" s="866"/>
    </row>
    <row r="54" spans="1:7" x14ac:dyDescent="0.2">
      <c r="A54" s="870" t="s">
        <v>479</v>
      </c>
      <c r="B54" s="870" t="s">
        <v>1552</v>
      </c>
      <c r="C54" s="890" t="s">
        <v>1039</v>
      </c>
      <c r="D54" s="886" t="s">
        <v>1157</v>
      </c>
      <c r="E54" s="869"/>
      <c r="F54" s="1939">
        <f>'Expenditures 15-22'!G114</f>
        <v>25827</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0</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48357</v>
      </c>
      <c r="G76" s="866"/>
    </row>
    <row r="77" spans="1:8" s="894" customFormat="1" ht="12" customHeight="1" thickTop="1" thickBot="1" x14ac:dyDescent="0.25">
      <c r="A77" s="1801"/>
      <c r="B77" s="1798"/>
      <c r="C77" s="1794"/>
      <c r="D77" s="1799" t="s">
        <v>2011</v>
      </c>
      <c r="E77" s="1796"/>
      <c r="F77" s="1802">
        <f>(F14-F76)</f>
        <v>1872963</v>
      </c>
      <c r="G77" s="870"/>
    </row>
    <row r="78" spans="1:8" s="894" customFormat="1" ht="12" customHeight="1" thickTop="1" x14ac:dyDescent="0.2">
      <c r="A78" s="1803"/>
      <c r="B78" s="1798"/>
      <c r="C78" s="1794"/>
      <c r="D78" s="1799" t="s">
        <v>2057</v>
      </c>
      <c r="E78" s="1796"/>
      <c r="F78" s="899">
        <v>0</v>
      </c>
      <c r="G78" s="900"/>
      <c r="H78" s="870"/>
    </row>
    <row r="79" spans="1:8" s="894" customFormat="1" ht="12" customHeight="1" thickBot="1" x14ac:dyDescent="0.25">
      <c r="A79" s="1804"/>
      <c r="B79" s="1798"/>
      <c r="C79" s="1794"/>
      <c r="D79" s="1799" t="s">
        <v>2012</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43368</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10155</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700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39934</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449608</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38888</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582653</v>
      </c>
    </row>
    <row r="179" spans="1:7" ht="12" customHeight="1" x14ac:dyDescent="0.2">
      <c r="A179" s="1792"/>
      <c r="B179" s="1806"/>
      <c r="C179" s="1807"/>
      <c r="D179" s="1808" t="s">
        <v>2014</v>
      </c>
      <c r="E179" s="1809"/>
      <c r="F179" s="1811">
        <f>'PCTC-OEPP 27-28'!F77-F178</f>
        <v>1290310</v>
      </c>
    </row>
    <row r="180" spans="1:7" ht="12" customHeight="1" x14ac:dyDescent="0.2">
      <c r="A180" s="1792"/>
      <c r="B180" s="1806"/>
      <c r="C180" s="1807"/>
      <c r="D180" s="1808" t="s">
        <v>1924</v>
      </c>
      <c r="E180" s="1809"/>
      <c r="F180" s="1811">
        <f>'Cap Outlay Deprec 26'!I18</f>
        <v>99952</v>
      </c>
    </row>
    <row r="181" spans="1:7" ht="12" customHeight="1" x14ac:dyDescent="0.2">
      <c r="A181" s="1792"/>
      <c r="B181" s="1806"/>
      <c r="C181" s="1807"/>
      <c r="D181" s="1808" t="s">
        <v>2015</v>
      </c>
      <c r="E181" s="1809"/>
      <c r="F181" s="1811">
        <f>F179+F180</f>
        <v>1390262</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2016</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23" sqref="B23"/>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2098</v>
      </c>
      <c r="B17" s="1957" t="s">
        <v>2096</v>
      </c>
      <c r="C17" s="1958" t="s">
        <v>2097</v>
      </c>
      <c r="D17" s="1867">
        <v>5658</v>
      </c>
      <c r="E17" s="1562">
        <f t="shared" ref="E17:E141" si="1">IF(D17&lt;=25000,D17,IF(D17&gt;25000,25000,0))</f>
        <v>5658</v>
      </c>
      <c r="F17" s="1815">
        <f t="shared" si="0"/>
        <v>0</v>
      </c>
      <c r="G17" s="1816">
        <f>IF(F17=0,0,D17-F17)</f>
        <v>0</v>
      </c>
      <c r="H17" s="1669"/>
    </row>
    <row r="18" spans="1:8" x14ac:dyDescent="0.25">
      <c r="A18" s="1956" t="s">
        <v>2099</v>
      </c>
      <c r="B18" s="1957" t="s">
        <v>2100</v>
      </c>
      <c r="C18" s="1958" t="s">
        <v>2101</v>
      </c>
      <c r="D18" s="1867">
        <f>5670+945+5670+945</f>
        <v>13230</v>
      </c>
      <c r="E18" s="1562">
        <f t="shared" ref="E18:E140" si="2">IF(D18&lt;=25000,D18,IF(D18&gt;25000,25000,0))</f>
        <v>13230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956" t="s">
        <v>2099</v>
      </c>
      <c r="B19" s="1957" t="s">
        <v>2103</v>
      </c>
      <c r="C19" s="1958" t="s">
        <v>2102</v>
      </c>
      <c r="D19" s="1867">
        <f>3800+3800</f>
        <v>7600</v>
      </c>
      <c r="E19" s="1562">
        <f t="shared" si="2"/>
        <v>7600</v>
      </c>
      <c r="F19" s="1815">
        <f t="shared" si="3"/>
        <v>0</v>
      </c>
      <c r="G19" s="1816">
        <f t="shared" si="4"/>
        <v>0</v>
      </c>
    </row>
    <row r="20" spans="1:8" x14ac:dyDescent="0.25">
      <c r="A20" s="1956" t="s">
        <v>2107</v>
      </c>
      <c r="B20" s="1957" t="s">
        <v>2104</v>
      </c>
      <c r="C20" s="1958" t="s">
        <v>2105</v>
      </c>
      <c r="D20" s="1867">
        <v>8317</v>
      </c>
      <c r="E20" s="1562">
        <f t="shared" si="2"/>
        <v>8317</v>
      </c>
      <c r="F20" s="1815">
        <f t="shared" si="3"/>
        <v>0</v>
      </c>
      <c r="G20" s="1816">
        <f t="shared" si="4"/>
        <v>0</v>
      </c>
    </row>
    <row r="21" spans="1:8" x14ac:dyDescent="0.25">
      <c r="A21" s="1956" t="s">
        <v>2106</v>
      </c>
      <c r="B21" s="1957" t="s">
        <v>2104</v>
      </c>
      <c r="C21" s="1958" t="s">
        <v>2108</v>
      </c>
      <c r="D21" s="1867">
        <f>6400</f>
        <v>6400</v>
      </c>
      <c r="E21" s="1562">
        <f t="shared" si="2"/>
        <v>6400</v>
      </c>
      <c r="F21" s="1815">
        <f t="shared" si="3"/>
        <v>0</v>
      </c>
      <c r="G21" s="1816">
        <f t="shared" si="4"/>
        <v>0</v>
      </c>
    </row>
    <row r="22" spans="1:8" x14ac:dyDescent="0.25">
      <c r="A22" s="1956" t="s">
        <v>2109</v>
      </c>
      <c r="B22" s="2505" t="s">
        <v>2124</v>
      </c>
      <c r="C22" s="1958" t="s">
        <v>2110</v>
      </c>
      <c r="D22" s="1867">
        <v>30175</v>
      </c>
      <c r="E22" s="1562">
        <f t="shared" si="2"/>
        <v>25000</v>
      </c>
      <c r="F22" s="1815">
        <f t="shared" si="3"/>
        <v>25000</v>
      </c>
      <c r="G22" s="1816">
        <f t="shared" si="4"/>
        <v>5175</v>
      </c>
    </row>
    <row r="23" spans="1:8" ht="30" x14ac:dyDescent="0.25">
      <c r="A23" s="1956" t="s">
        <v>2112</v>
      </c>
      <c r="B23" s="1957" t="s">
        <v>2111</v>
      </c>
      <c r="C23" s="1958" t="s">
        <v>2113</v>
      </c>
      <c r="D23" s="1867">
        <f>5883+1021</f>
        <v>6904</v>
      </c>
      <c r="E23" s="1562">
        <f t="shared" si="2"/>
        <v>6904</v>
      </c>
      <c r="F23" s="1815">
        <f t="shared" si="3"/>
        <v>0</v>
      </c>
      <c r="G23" s="1816">
        <f t="shared" si="4"/>
        <v>0</v>
      </c>
    </row>
    <row r="24" spans="1:8" x14ac:dyDescent="0.25">
      <c r="A24" s="1956" t="s">
        <v>2114</v>
      </c>
      <c r="B24" s="1957" t="s">
        <v>2115</v>
      </c>
      <c r="C24" s="1958" t="s">
        <v>2116</v>
      </c>
      <c r="D24" s="1867">
        <v>4916</v>
      </c>
      <c r="E24" s="1562">
        <f t="shared" si="2"/>
        <v>4916</v>
      </c>
      <c r="F24" s="1815">
        <f t="shared" si="3"/>
        <v>4916</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83200</v>
      </c>
      <c r="E141" s="1563">
        <f t="shared" si="1"/>
        <v>25000</v>
      </c>
      <c r="F141" s="1817">
        <f>SUM(F17:F140)</f>
        <v>29916</v>
      </c>
      <c r="G141" s="1818">
        <f>SUM(G17:G140)</f>
        <v>5175</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8" sqref="E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5" t="s">
        <v>1944</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1288358</v>
      </c>
      <c r="F19" s="1822"/>
      <c r="G19" s="1824">
        <f>'Expenditures 15-22'!K33-SUM('Expenditures 15-22'!G33,'Expenditures 15-22'!I33)+'Expenditures 15-22'!D229</f>
        <v>1288358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0</v>
      </c>
      <c r="F21" s="1825"/>
      <c r="G21" s="1828">
        <f>'Expenditures 15-22'!K42-SUM('Expenditures 15-22'!G42,'Expenditures 15-22'!I42)+'Expenditures 15-22'!K120-SUM('Expenditures 15-22'!G120,'Expenditures 15-22'!I120)+'Expenditures 15-22'!K180-SUM('Expenditures 15-22'!G180,'Expenditures 15-22'!I180)+'Expenditures 15-22'!D238</f>
        <v>0</v>
      </c>
      <c r="H21" s="988"/>
      <c r="I21" s="162"/>
    </row>
    <row r="22" spans="1:9" s="669" customFormat="1" ht="12" customHeight="1" x14ac:dyDescent="0.2">
      <c r="A22" s="995" t="s">
        <v>585</v>
      </c>
      <c r="B22" s="996"/>
      <c r="C22" s="994">
        <v>2200</v>
      </c>
      <c r="D22" s="1825"/>
      <c r="E22" s="1827">
        <f>'Expenditures 15-22'!K47-SUM('Expenditures 15-22'!G47,'Expenditures 15-22'!I47)+'Expenditures 15-22'!D243</f>
        <v>600</v>
      </c>
      <c r="F22" s="1825"/>
      <c r="G22" s="1828">
        <f>'Expenditures 15-22'!K47-SUM('Expenditures 15-22'!G47,'Expenditures 15-22'!I47)+'Expenditures 15-22'!D243</f>
        <v>600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275323</v>
      </c>
      <c r="F23" s="1825"/>
      <c r="G23" s="1827">
        <f>'Expenditures 15-22'!K53-SUM('Expenditures 15-22'!G53,'Expenditures 15-22'!I53)+'Expenditures 15-22'!D257+'Expenditures 15-22'!K330-SUM('Expenditures 15-22'!G330,'Expenditures 15-22'!I330)</f>
        <v>275323</v>
      </c>
      <c r="H23" s="988"/>
      <c r="I23" s="162"/>
    </row>
    <row r="24" spans="1:9" s="669" customFormat="1" ht="12" customHeight="1" x14ac:dyDescent="0.2">
      <c r="A24" s="995" t="s">
        <v>587</v>
      </c>
      <c r="B24" s="996"/>
      <c r="C24" s="994">
        <v>2400</v>
      </c>
      <c r="D24" s="1825"/>
      <c r="E24" s="1827">
        <f>'Expenditures 15-22'!K57-SUM('Expenditures 15-22'!G57,'Expenditures 15-22'!I57)+'Expenditures 15-22'!D261</f>
        <v>92692</v>
      </c>
      <c r="F24" s="1825"/>
      <c r="G24" s="1828">
        <f>'Expenditures 15-22'!K57-SUM('Expenditures 15-22'!G57,'Expenditures 15-22'!I57)+'Expenditures 15-22'!D261</f>
        <v>92692</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59580</v>
      </c>
      <c r="E27" s="1827">
        <f>E8</f>
        <v>0</v>
      </c>
      <c r="F27" s="1827">
        <f>'Expenditures 15-22'!K60-SUM('Expenditures 15-22'!G60,'Expenditures 15-22'!I60)+'Expenditures 15-22'!D264-E8</f>
        <v>59580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173550</v>
      </c>
      <c r="F28" s="1829">
        <f>'Expenditures 15-22'!K61-SUM('Expenditures 15-22'!G61,'Expenditures 15-22'!I61)+'Expenditures 15-22'!K124-SUM('Expenditures 15-22'!G124,'Expenditures 15-22'!I124)+'Expenditures 15-22'!D266-E9</f>
        <v>173550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3690</v>
      </c>
      <c r="F35" s="1825"/>
      <c r="G35" s="1827">
        <f>'Expenditures 15-22'!K69-SUM('Expenditures 15-22'!G69,'Expenditures 15-22'!I69)+'Expenditures 15-22'!D274</f>
        <v>3690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-5175</v>
      </c>
      <c r="F40" s="1825"/>
      <c r="G40" s="1829">
        <f>-'Contracts Paid in CY 29'!G141</f>
        <v>-5175</v>
      </c>
    </row>
    <row r="41" spans="1:7" ht="12" customHeight="1" x14ac:dyDescent="0.2">
      <c r="A41" s="999" t="s">
        <v>158</v>
      </c>
      <c r="B41" s="1000"/>
      <c r="C41" s="1001"/>
      <c r="D41" s="1829">
        <f>SUM(D19:D39)</f>
        <v>59580</v>
      </c>
      <c r="E41" s="1829">
        <f>SUM(E19:E40)</f>
        <v>1829038</v>
      </c>
      <c r="F41" s="1829">
        <f>SUM(F19:F39)</f>
        <v>233130</v>
      </c>
      <c r="G41" s="1829">
        <f>SUM(G19:G40)</f>
        <v>1655488</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59580</v>
      </c>
      <c r="F43" s="1830" t="s">
        <v>495</v>
      </c>
      <c r="G43" s="1831">
        <f>F41</f>
        <v>233130</v>
      </c>
    </row>
    <row r="44" spans="1:7" ht="12" customHeight="1" x14ac:dyDescent="0.2">
      <c r="A44" s="988"/>
      <c r="B44" s="162"/>
      <c r="C44" s="1002"/>
      <c r="D44" s="1830" t="s">
        <v>494</v>
      </c>
      <c r="E44" s="1831">
        <f>E41</f>
        <v>1829038</v>
      </c>
      <c r="F44" s="1830" t="s">
        <v>494</v>
      </c>
      <c r="G44" s="1831">
        <f>G41</f>
        <v>1655488</v>
      </c>
    </row>
    <row r="45" spans="1:7" ht="12" customHeight="1" x14ac:dyDescent="0.2">
      <c r="A45" s="988"/>
      <c r="B45" s="162"/>
      <c r="C45" s="162"/>
      <c r="D45" s="1832" t="s">
        <v>1063</v>
      </c>
      <c r="E45" s="1833">
        <f>(E43/E44)</f>
        <v>3.2574500912501546E-2</v>
      </c>
      <c r="F45" s="1832" t="s">
        <v>1063</v>
      </c>
      <c r="G45" s="1833">
        <f>(G43/G44)</f>
        <v>0.14082252483859745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33" sqref="F33"/>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Indian Valley Voc Ctr</v>
      </c>
      <c r="D6" s="2326"/>
      <c r="E6" s="2326"/>
      <c r="F6" s="1877"/>
    </row>
    <row r="7" spans="1:10" ht="11.25" customHeight="1" thickBot="1" x14ac:dyDescent="0.3">
      <c r="A7" s="1875"/>
      <c r="B7" s="1876"/>
      <c r="C7" s="2327">
        <f>COVER!A13</f>
        <v>16019430040</v>
      </c>
      <c r="D7" s="2327"/>
      <c r="E7" s="2327"/>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2077</v>
      </c>
      <c r="D31" s="1890" t="s">
        <v>2077</v>
      </c>
      <c r="E31" s="1893"/>
      <c r="F31" s="1892" t="s">
        <v>2093</v>
      </c>
      <c r="H31" s="1903">
        <f t="shared" si="0"/>
        <v>5</v>
      </c>
      <c r="I31" s="1903">
        <f t="shared" si="1"/>
        <v>5</v>
      </c>
      <c r="J31" s="1903">
        <f t="shared" si="2"/>
        <v>0</v>
      </c>
      <c r="L31" s="1894"/>
    </row>
    <row r="32" spans="1:12" ht="12" customHeight="1" x14ac:dyDescent="0.2">
      <c r="A32" s="1888" t="s">
        <v>1621</v>
      </c>
      <c r="B32" s="1889"/>
      <c r="C32" s="1890" t="s">
        <v>2077</v>
      </c>
      <c r="D32" s="1890" t="s">
        <v>2077</v>
      </c>
      <c r="E32" s="1893"/>
      <c r="F32" s="1892" t="s">
        <v>2119</v>
      </c>
      <c r="H32" s="1903">
        <f t="shared" si="0"/>
        <v>5</v>
      </c>
      <c r="I32" s="1903">
        <f t="shared" si="1"/>
        <v>5</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t="s">
        <v>2094</v>
      </c>
      <c r="B41" s="2320"/>
      <c r="C41" s="2320"/>
      <c r="D41" s="2320"/>
      <c r="E41" s="2320"/>
      <c r="F41" s="2321"/>
      <c r="H41" s="1904"/>
      <c r="I41" s="1904"/>
      <c r="J41" s="1904"/>
      <c r="K41" s="1904"/>
    </row>
    <row r="42" spans="1:11" s="1895" customFormat="1" ht="12" customHeight="1" x14ac:dyDescent="0.25">
      <c r="A42" s="2319" t="s">
        <v>2095</v>
      </c>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8" sqref="H1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Indian Valley Voc Ctr</v>
      </c>
      <c r="J6" s="2336"/>
      <c r="Q6" s="1686"/>
    </row>
    <row r="7" spans="1:17" x14ac:dyDescent="0.2">
      <c r="A7" s="2337" t="s">
        <v>924</v>
      </c>
      <c r="B7" s="2338"/>
      <c r="C7" s="2338"/>
      <c r="D7" s="2338"/>
      <c r="E7" s="2339"/>
      <c r="F7" s="1018"/>
      <c r="G7" s="1010"/>
      <c r="H7" s="1017" t="s">
        <v>390</v>
      </c>
      <c r="I7" s="2340">
        <f>COVER!A13</f>
        <v>16019430040</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200673</v>
      </c>
      <c r="F12" s="1040"/>
      <c r="G12" s="1834">
        <f t="shared" ref="G12:G18" si="0">SUM(E12:F12)</f>
        <v>200673</v>
      </c>
      <c r="H12" s="1041">
        <v>217900</v>
      </c>
      <c r="I12" s="1040"/>
      <c r="J12" s="1834">
        <f t="shared" ref="J12:J18" si="1">SUM(H12:I12)</f>
        <v>217900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200673</v>
      </c>
      <c r="F19" s="1836">
        <f t="shared" si="2"/>
        <v>0</v>
      </c>
      <c r="G19" s="1836">
        <f t="shared" si="2"/>
        <v>200673</v>
      </c>
      <c r="H19" s="1836">
        <f t="shared" si="2"/>
        <v>217900</v>
      </c>
      <c r="I19" s="1836">
        <f t="shared" si="2"/>
        <v>0</v>
      </c>
      <c r="J19" s="1836">
        <f t="shared" si="2"/>
        <v>217900</v>
      </c>
    </row>
    <row r="20" spans="1:10" ht="13.5" thickTop="1" x14ac:dyDescent="0.2">
      <c r="A20" s="1036">
        <v>9</v>
      </c>
      <c r="B20" s="2347" t="s">
        <v>1703</v>
      </c>
      <c r="C20" s="2347"/>
      <c r="D20" s="2348"/>
      <c r="E20" s="1047"/>
      <c r="F20" s="1047"/>
      <c r="G20" s="1047"/>
      <c r="H20" s="1047"/>
      <c r="I20" s="1047"/>
      <c r="J20" s="1837">
        <f>IF(AND(G19&gt;0,J19&gt;0),(((J19-G19)/G19)),"Enter Budget Data")</f>
        <v>8.5846127780020237E-2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6" sqref="B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2122</v>
      </c>
    </row>
    <row r="6" spans="1:2" x14ac:dyDescent="0.2">
      <c r="A6" s="1069">
        <v>2</v>
      </c>
      <c r="B6" s="329" t="s">
        <v>2120</v>
      </c>
    </row>
    <row r="7" spans="1:2" x14ac:dyDescent="0.2">
      <c r="A7" s="1069">
        <v>3</v>
      </c>
      <c r="B7" s="329" t="s">
        <v>2117</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Indian Valley Voc Ctr</v>
      </c>
    </row>
    <row r="65" spans="2:2" x14ac:dyDescent="0.2">
      <c r="B65" s="1071">
        <f>COVER!A13</f>
        <v>16019430040</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13" sqref="A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11" dvAspect="DVASPECT_ICON" shapeId="35841" r:id="rId4">
          <objectPr defaultSize="0" r:id="rId5">
            <anchor moveWithCells="1">
              <from>
                <xdr:col>0</xdr:col>
                <xdr:colOff>0</xdr:colOff>
                <xdr:row>0</xdr:row>
                <xdr:rowOff>0</xdr:rowOff>
              </from>
              <to>
                <xdr:col>1</xdr:col>
                <xdr:colOff>742950</xdr:colOff>
                <xdr:row>4</xdr:row>
                <xdr:rowOff>57150</xdr:rowOff>
              </to>
            </anchor>
          </objectPr>
        </oleObject>
      </mc:Choice>
      <mc:Fallback>
        <oleObject progId="AcroExch.Document.11" dvAspect="DVASPECT_ICON" shapeId="35841" r:id="rId4"/>
      </mc:Fallback>
    </mc:AlternateContent>
    <mc:AlternateContent xmlns:mc="http://schemas.openxmlformats.org/markup-compatibility/2006">
      <mc:Choice Requires="x14">
        <oleObject progId="AcroExch.Document.11" dvAspect="DVASPECT_ICON" shapeId="35842" r:id="rId6">
          <objectPr defaultSize="0" r:id="rId5">
            <anchor moveWithCells="1">
              <from>
                <xdr:col>0</xdr:col>
                <xdr:colOff>0</xdr:colOff>
                <xdr:row>4</xdr:row>
                <xdr:rowOff>0</xdr:rowOff>
              </from>
              <to>
                <xdr:col>1</xdr:col>
                <xdr:colOff>742950</xdr:colOff>
                <xdr:row>8</xdr:row>
                <xdr:rowOff>57150</xdr:rowOff>
              </to>
            </anchor>
          </objectPr>
        </oleObject>
      </mc:Choice>
      <mc:Fallback>
        <oleObject progId="AcroExch.Document.11" dvAspect="DVASPECT_ICON" shapeId="35842" r:id="rId6"/>
      </mc:Fallback>
    </mc:AlternateContent>
    <mc:AlternateContent xmlns:mc="http://schemas.openxmlformats.org/markup-compatibility/2006">
      <mc:Choice Requires="x14">
        <oleObject progId="AcroExch.Document.11" dvAspect="DVASPECT_ICON" shapeId="35843" r:id="rId7">
          <objectPr defaultSize="0" r:id="rId5">
            <anchor moveWithCells="1">
              <from>
                <xdr:col>0</xdr:col>
                <xdr:colOff>0</xdr:colOff>
                <xdr:row>8</xdr:row>
                <xdr:rowOff>0</xdr:rowOff>
              </from>
              <to>
                <xdr:col>1</xdr:col>
                <xdr:colOff>742950</xdr:colOff>
                <xdr:row>12</xdr:row>
                <xdr:rowOff>57150</xdr:rowOff>
              </to>
            </anchor>
          </objectPr>
        </oleObject>
      </mc:Choice>
      <mc:Fallback>
        <oleObject progId="AcroExch.Document.11" dvAspect="DVASPECT_ICON" shapeId="35843" r:id="rId7"/>
      </mc:Fallback>
    </mc:AlternateContent>
    <mc:AlternateContent xmlns:mc="http://schemas.openxmlformats.org/markup-compatibility/2006">
      <mc:Choice Requires="x14">
        <oleObject progId="AcroExch.Document.11" dvAspect="DVASPECT_ICON" shapeId="35844" r:id="rId8">
          <objectPr defaultSize="0" r:id="rId5">
            <anchor moveWithCells="1">
              <from>
                <xdr:col>0</xdr:col>
                <xdr:colOff>0</xdr:colOff>
                <xdr:row>12</xdr:row>
                <xdr:rowOff>0</xdr:rowOff>
              </from>
              <to>
                <xdr:col>1</xdr:col>
                <xdr:colOff>790575</xdr:colOff>
                <xdr:row>15</xdr:row>
                <xdr:rowOff>200025</xdr:rowOff>
              </to>
            </anchor>
          </objectPr>
        </oleObject>
      </mc:Choice>
      <mc:Fallback>
        <oleObject progId="AcroExch.Document.11" dvAspect="DVASPECT_ICON" shapeId="35844"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2114903</v>
      </c>
      <c r="C8" s="1838">
        <f>'Acct Summary 7-8'!D8</f>
        <v>0</v>
      </c>
      <c r="D8" s="1838">
        <f>'Acct Summary 7-8'!F8</f>
        <v>0</v>
      </c>
      <c r="E8" s="1838">
        <f>'Acct Summary 7-8'!I8</f>
        <v>0</v>
      </c>
      <c r="F8" s="1838">
        <f>SUM(B8:E8)</f>
        <v>2114903</v>
      </c>
    </row>
    <row r="9" spans="1:8" s="1080" customFormat="1" ht="14.25" customHeight="1" thickBot="1" x14ac:dyDescent="0.25">
      <c r="A9" s="1079" t="s">
        <v>1436</v>
      </c>
      <c r="B9" s="1839">
        <f>'Acct Summary 7-8'!C17</f>
        <v>1921320</v>
      </c>
      <c r="C9" s="1839">
        <f>'Acct Summary 7-8'!D17</f>
        <v>0</v>
      </c>
      <c r="D9" s="1839">
        <f>'Acct Summary 7-8'!F17</f>
        <v>0</v>
      </c>
      <c r="E9" s="1838"/>
      <c r="F9" s="1838">
        <f>SUM(B9:E9)</f>
        <v>1921320</v>
      </c>
    </row>
    <row r="10" spans="1:8" s="1080" customFormat="1" ht="14.25" thickTop="1" thickBot="1" x14ac:dyDescent="0.25">
      <c r="A10" s="1081" t="s">
        <v>1437</v>
      </c>
      <c r="B10" s="1840">
        <f>(B8-B9)</f>
        <v>193583</v>
      </c>
      <c r="C10" s="1840">
        <f>(C8-C9)</f>
        <v>0</v>
      </c>
      <c r="D10" s="1840">
        <f>(D8-D9)</f>
        <v>0</v>
      </c>
      <c r="E10" s="1839">
        <f>(E8-E9)</f>
        <v>0</v>
      </c>
      <c r="F10" s="1841">
        <f>SUM(F8-F9)</f>
        <v>193583</v>
      </c>
    </row>
    <row r="11" spans="1:8" s="1080" customFormat="1" ht="14.25" thickTop="1" thickBot="1" x14ac:dyDescent="0.25">
      <c r="A11" s="1082" t="s">
        <v>1785</v>
      </c>
      <c r="B11" s="1842">
        <f>'Acct Summary 7-8'!C81</f>
        <v>345045</v>
      </c>
      <c r="C11" s="1842">
        <f>'Acct Summary 7-8'!D81</f>
        <v>0</v>
      </c>
      <c r="D11" s="1842">
        <f>'Acct Summary 7-8'!F81</f>
        <v>0</v>
      </c>
      <c r="E11" s="1842">
        <f>'Acct Summary 7-8'!I81</f>
        <v>0</v>
      </c>
      <c r="F11" s="1843">
        <f>SUM(B11:E11)</f>
        <v>345045</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47" colorId="8" zoomScale="110" zoomScaleNormal="110" workbookViewId="0">
      <selection activeCell="C13" sqref="C13"/>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16019430040</v>
      </c>
    </row>
    <row r="3" spans="1:2" x14ac:dyDescent="0.2">
      <c r="A3" t="s">
        <v>1013</v>
      </c>
      <c r="B3" s="138" t="str">
        <f>COVER!A15</f>
        <v>DEKALB</v>
      </c>
    </row>
    <row r="4" spans="1:2" x14ac:dyDescent="0.2">
      <c r="A4" t="s">
        <v>1064</v>
      </c>
      <c r="B4" s="138" t="str">
        <f>COVER!A17</f>
        <v>Indian Valley Voc Ctr</v>
      </c>
    </row>
    <row r="5" spans="1:2" x14ac:dyDescent="0.2">
      <c r="A5" t="s">
        <v>728</v>
      </c>
      <c r="B5" s="138" t="str">
        <f>COVER!A38</f>
        <v>JOSEPH BARBIC</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066-005100</v>
      </c>
    </row>
    <row r="16" spans="1:2" x14ac:dyDescent="0.2">
      <c r="A16" t="s">
        <v>442</v>
      </c>
      <c r="B16" s="138" t="str">
        <f>COVER!T13</f>
        <v>MACK &amp; ASSOCIATES, P.C.</v>
      </c>
    </row>
    <row r="17" spans="1:2" x14ac:dyDescent="0.2">
      <c r="A17" t="s">
        <v>939</v>
      </c>
      <c r="B17" s="138" t="str">
        <f>COVER!T15</f>
        <v>TAWNYA R. MACK</v>
      </c>
    </row>
    <row r="18" spans="1:2" x14ac:dyDescent="0.2">
      <c r="A18" t="s">
        <v>1212</v>
      </c>
      <c r="B18" s="138" t="str">
        <f>COVER!T17</f>
        <v>116 EAST WASHINGTON STREET, SUITE ONE</v>
      </c>
    </row>
    <row r="19" spans="1:2" x14ac:dyDescent="0.2">
      <c r="A19" t="s">
        <v>941</v>
      </c>
      <c r="B19" s="138" t="str">
        <f>COVER!T25</f>
        <v>TMACK@MACKCPAS.COM</v>
      </c>
    </row>
    <row r="20" spans="1:2" x14ac:dyDescent="0.2">
      <c r="A20" t="s">
        <v>942</v>
      </c>
      <c r="B20" s="138" t="str">
        <f>COVER!T19</f>
        <v>MORRIS</v>
      </c>
    </row>
    <row r="21" spans="1:2" x14ac:dyDescent="0.2">
      <c r="A21" t="s">
        <v>500</v>
      </c>
      <c r="B21" s="138" t="str">
        <f>COVER!X19</f>
        <v>IL</v>
      </c>
    </row>
    <row r="22" spans="1:2" x14ac:dyDescent="0.2">
      <c r="A22" t="s">
        <v>943</v>
      </c>
      <c r="B22" s="138">
        <f>COVER!Z19</f>
        <v>60450</v>
      </c>
    </row>
    <row r="23" spans="1:2" x14ac:dyDescent="0.2">
      <c r="A23" t="s">
        <v>1214</v>
      </c>
      <c r="B23" s="138" t="str">
        <f>COVER!T21</f>
        <v>815-942-3306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345045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280042</v>
      </c>
      <c r="D92" s="2" t="str">
        <f t="shared" si="0"/>
        <v>Error?</v>
      </c>
    </row>
    <row r="93" spans="1:4" x14ac:dyDescent="0.2">
      <c r="A93" s="5">
        <v>32</v>
      </c>
      <c r="B93" s="138">
        <f>'Assets-Liab 5-6'!C41</f>
        <v>345045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102964</v>
      </c>
      <c r="D273" s="2" t="str">
        <f t="shared" si="3"/>
        <v>Error?</v>
      </c>
    </row>
    <row r="274" spans="1:4" x14ac:dyDescent="0.2">
      <c r="A274" s="5">
        <v>213</v>
      </c>
      <c r="B274" s="138">
        <f>'Assets-Liab 5-6'!M17</f>
        <v>2278468</v>
      </c>
      <c r="D274" s="2" t="str">
        <f t="shared" si="3"/>
        <v>Error?</v>
      </c>
    </row>
    <row r="275" spans="1:4" x14ac:dyDescent="0.2">
      <c r="A275" s="5">
        <v>214</v>
      </c>
      <c r="B275" s="138">
        <f>'Assets-Liab 5-6'!M18</f>
        <v>76175</v>
      </c>
      <c r="D275" s="2" t="str">
        <f t="shared" si="3"/>
        <v>Error?</v>
      </c>
    </row>
    <row r="276" spans="1:4" x14ac:dyDescent="0.2">
      <c r="A276" s="5">
        <v>215</v>
      </c>
      <c r="B276" s="138">
        <f>'Assets-Liab 5-6'!M19</f>
        <v>79425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2537032</v>
      </c>
      <c r="C279" s="2" t="s">
        <v>594</v>
      </c>
      <c r="D279" s="2" t="str">
        <f t="shared" si="3"/>
        <v>Error?</v>
      </c>
    </row>
    <row r="280" spans="1:4" x14ac:dyDescent="0.2">
      <c r="A280" s="5">
        <v>219</v>
      </c>
      <c r="B280" s="138">
        <f>'Assets-Liab 5-6'!M40</f>
        <v>2537032</v>
      </c>
      <c r="D280" s="2" t="str">
        <f t="shared" si="3"/>
        <v>Error?</v>
      </c>
    </row>
    <row r="281" spans="1:4" x14ac:dyDescent="0.2">
      <c r="A281" s="5">
        <v>220</v>
      </c>
      <c r="B281" s="138">
        <f>'Assets-Liab 5-6'!M41</f>
        <v>2537032</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11411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881746</v>
      </c>
      <c r="D717" s="2" t="str">
        <f t="shared" si="10"/>
        <v>Error?</v>
      </c>
    </row>
    <row r="718" spans="1:4" x14ac:dyDescent="0.2">
      <c r="A718" s="5">
        <v>657</v>
      </c>
      <c r="B718" s="138">
        <f>'Expenditures 15-22'!C14</f>
        <v>4500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913889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2756</v>
      </c>
      <c r="D732" s="2" t="str">
        <f t="shared" si="10"/>
        <v>Error?</v>
      </c>
    </row>
    <row r="733" spans="1:4" x14ac:dyDescent="0.2">
      <c r="A733" s="5">
        <v>672</v>
      </c>
      <c r="B733" s="138">
        <f>'Expenditures 15-22'!C50</f>
        <v>154932</v>
      </c>
      <c r="D733" s="2" t="str">
        <f t="shared" si="10"/>
        <v>Error?</v>
      </c>
    </row>
    <row r="734" spans="1:4" x14ac:dyDescent="0.2">
      <c r="A734" s="5">
        <v>673</v>
      </c>
      <c r="B734" s="138">
        <f>'Expenditures 15-22'!C53</f>
        <v>157688</v>
      </c>
      <c r="C734" s="2" t="s">
        <v>594</v>
      </c>
      <c r="D734" s="2" t="str">
        <f t="shared" si="10"/>
        <v>Error?</v>
      </c>
    </row>
    <row r="735" spans="1:4" x14ac:dyDescent="0.2">
      <c r="A735" s="5">
        <v>674</v>
      </c>
      <c r="B735" s="138">
        <f>'Expenditures 15-22'!C55</f>
        <v>73429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73429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43647</v>
      </c>
      <c r="D739" s="2" t="str">
        <f t="shared" si="10"/>
        <v>Error?</v>
      </c>
    </row>
    <row r="740" spans="1:4" x14ac:dyDescent="0.2">
      <c r="A740" s="5">
        <v>679</v>
      </c>
      <c r="B740" s="138">
        <f>'Expenditures 15-22'!C61</f>
        <v>43860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87507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3690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3690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322314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1236203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345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115542</v>
      </c>
      <c r="D775" s="2" t="str">
        <f t="shared" si="11"/>
        <v>Error?</v>
      </c>
    </row>
    <row r="776" spans="1:4" x14ac:dyDescent="0.2">
      <c r="A776" s="5">
        <v>715</v>
      </c>
      <c r="B776" s="138">
        <f>'Expenditures 15-22'!D14</f>
        <v>131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119182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37005</v>
      </c>
      <c r="D791" s="2" t="str">
        <f t="shared" si="11"/>
        <v>Error?</v>
      </c>
    </row>
    <row r="792" spans="1:4" x14ac:dyDescent="0.2">
      <c r="A792" s="5">
        <v>731</v>
      </c>
      <c r="B792" s="138">
        <f>'Expenditures 15-22'!D53</f>
        <v>37005</v>
      </c>
      <c r="C792" s="2" t="s">
        <v>594</v>
      </c>
      <c r="D792" s="2" t="str">
        <f t="shared" si="11"/>
        <v>Error?</v>
      </c>
    </row>
    <row r="793" spans="1:4" x14ac:dyDescent="0.2">
      <c r="A793" s="5">
        <v>732</v>
      </c>
      <c r="B793" s="138">
        <f>'Expenditures 15-22'!D55</f>
        <v>18415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18415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14986</v>
      </c>
      <c r="D797" s="2" t="str">
        <f t="shared" si="11"/>
        <v>Error?</v>
      </c>
    </row>
    <row r="798" spans="1:4" x14ac:dyDescent="0.2">
      <c r="A798" s="5">
        <v>737</v>
      </c>
      <c r="B798" s="138">
        <f>'Expenditures 15-22'!D61</f>
        <v>15845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30831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86251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205433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14911</v>
      </c>
      <c r="D833" s="2" t="str">
        <f t="shared" si="12"/>
        <v>Error?</v>
      </c>
    </row>
    <row r="834" spans="1:4" x14ac:dyDescent="0.2">
      <c r="A834" s="5">
        <v>773</v>
      </c>
      <c r="B834" s="138">
        <f>'Expenditures 15-22'!E14</f>
        <v>77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15036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600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600</v>
      </c>
      <c r="C847" s="2" t="s">
        <v>594</v>
      </c>
      <c r="D847" s="2" t="str">
        <f t="shared" si="12"/>
        <v>Error?</v>
      </c>
    </row>
    <row r="848" spans="1:4" x14ac:dyDescent="0.2">
      <c r="A848" s="5">
        <v>787</v>
      </c>
      <c r="B848" s="138">
        <f>'Expenditures 15-22'!E49</f>
        <v>62182</v>
      </c>
      <c r="D848" s="2" t="str">
        <f t="shared" si="12"/>
        <v>Error?</v>
      </c>
    </row>
    <row r="849" spans="1:4" x14ac:dyDescent="0.2">
      <c r="A849" s="5">
        <v>788</v>
      </c>
      <c r="B849" s="138">
        <f>'Expenditures 15-22'!E50</f>
        <v>1988</v>
      </c>
      <c r="D849" s="2" t="str">
        <f t="shared" si="12"/>
        <v>Error?</v>
      </c>
    </row>
    <row r="850" spans="1:4" x14ac:dyDescent="0.2">
      <c r="A850" s="5">
        <v>789</v>
      </c>
      <c r="B850" s="138">
        <f>'Expenditures 15-22'!E53</f>
        <v>73121</v>
      </c>
      <c r="C850" s="2" t="s">
        <v>594</v>
      </c>
      <c r="D850" s="2" t="str">
        <f t="shared" si="12"/>
        <v>Error?</v>
      </c>
    </row>
    <row r="851" spans="1:4" x14ac:dyDescent="0.2">
      <c r="A851" s="5">
        <v>790</v>
      </c>
      <c r="B851" s="138">
        <f>'Expenditures 15-22'!E55</f>
        <v>342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342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360</v>
      </c>
      <c r="D855" s="2" t="str">
        <f t="shared" si="12"/>
        <v>Error?</v>
      </c>
    </row>
    <row r="856" spans="1:4" x14ac:dyDescent="0.2">
      <c r="A856" s="5">
        <v>795</v>
      </c>
      <c r="B856" s="138">
        <f>'Expenditures 15-22'!E61</f>
        <v>30360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30720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104783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121519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484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215812</v>
      </c>
      <c r="D891" s="2" t="str">
        <f t="shared" si="12"/>
        <v>Error?</v>
      </c>
    </row>
    <row r="892" spans="1:4" x14ac:dyDescent="0.2">
      <c r="A892" s="5">
        <v>831</v>
      </c>
      <c r="B892" s="138">
        <f>'Expenditures 15-22'!F14</f>
        <v>116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216421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761</v>
      </c>
      <c r="D906" s="2" t="str">
        <f t="shared" si="13"/>
        <v>Error?</v>
      </c>
    </row>
    <row r="907" spans="1:4" x14ac:dyDescent="0.2">
      <c r="A907" s="5">
        <v>846</v>
      </c>
      <c r="B907" s="138">
        <f>'Expenditures 15-22'!F50</f>
        <v>5204</v>
      </c>
      <c r="D907" s="2" t="str">
        <f t="shared" si="13"/>
        <v>Error?</v>
      </c>
    </row>
    <row r="908" spans="1:4" x14ac:dyDescent="0.2">
      <c r="A908" s="5">
        <v>847</v>
      </c>
      <c r="B908" s="138">
        <f>'Expenditures 15-22'!F53</f>
        <v>5965</v>
      </c>
      <c r="C908" s="2" t="s">
        <v>594</v>
      </c>
      <c r="D908" s="2" t="str">
        <f t="shared" si="13"/>
        <v>Error?</v>
      </c>
    </row>
    <row r="909" spans="1:4" x14ac:dyDescent="0.2">
      <c r="A909" s="5">
        <v>848</v>
      </c>
      <c r="B909" s="138">
        <f>'Expenditures 15-22'!F55</f>
        <v>121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587</v>
      </c>
      <c r="D913" s="2" t="str">
        <f t="shared" si="13"/>
        <v>Error?</v>
      </c>
    </row>
    <row r="914" spans="1:4" x14ac:dyDescent="0.2">
      <c r="A914" s="5">
        <v>853</v>
      </c>
      <c r="B914" s="138">
        <f>'Expenditures 15-22'!F61</f>
        <v>83485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84072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90158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306579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22571</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22571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3256</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3256</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3256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25827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3000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23830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1544</v>
      </c>
      <c r="D1023" s="2" t="str">
        <f t="shared" ref="D1023:D1086" si="15">IF(ISBLANK(B1023),"OK",IF(A1023-B1023=0,"OK","Error?"))</f>
        <v>Error?</v>
      </c>
    </row>
    <row r="1024" spans="1:4" x14ac:dyDescent="0.2">
      <c r="A1024" s="5">
        <v>963</v>
      </c>
      <c r="B1024" s="138">
        <f>'Expenditures 15-22'!H53</f>
        <v>1544</v>
      </c>
      <c r="C1024" s="2" t="s">
        <v>594</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1929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25759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12240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1253582</v>
      </c>
      <c r="C1105" s="2" t="s">
        <v>594</v>
      </c>
      <c r="D1105" s="2" t="str">
        <f t="shared" si="16"/>
        <v>Error?</v>
      </c>
    </row>
    <row r="1106" spans="1:4" x14ac:dyDescent="0.2">
      <c r="A1106" s="5">
        <v>1045</v>
      </c>
      <c r="B1106" s="138">
        <f>'Expenditures 15-22'!K14</f>
        <v>4824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1310929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600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600</v>
      </c>
      <c r="C1119" s="2" t="s">
        <v>594</v>
      </c>
      <c r="D1119" s="2" t="str">
        <f t="shared" si="16"/>
        <v>Error?</v>
      </c>
    </row>
    <row r="1120" spans="1:4" x14ac:dyDescent="0.2">
      <c r="A1120" s="5">
        <v>1059</v>
      </c>
      <c r="B1120" s="138">
        <f>'Expenditures 15-22'!K49</f>
        <v>65699</v>
      </c>
      <c r="C1120" s="2" t="s">
        <v>594</v>
      </c>
      <c r="D1120" s="2" t="str">
        <f t="shared" si="16"/>
        <v>Error?</v>
      </c>
    </row>
    <row r="1121" spans="1:4" x14ac:dyDescent="0.2">
      <c r="A1121" s="5">
        <v>1060</v>
      </c>
      <c r="B1121" s="138">
        <f>'Expenditures 15-22'!K50</f>
        <v>200673</v>
      </c>
      <c r="C1121" s="2" t="s">
        <v>594</v>
      </c>
      <c r="D1121" s="2" t="str">
        <f t="shared" si="16"/>
        <v>Error?</v>
      </c>
    </row>
    <row r="1122" spans="1:4" x14ac:dyDescent="0.2">
      <c r="A1122" s="5">
        <v>1061</v>
      </c>
      <c r="B1122" s="138">
        <f>'Expenditures 15-22'!K53</f>
        <v>275323</v>
      </c>
      <c r="C1122" s="2" t="s">
        <v>594</v>
      </c>
      <c r="D1122" s="2" t="str">
        <f t="shared" si="16"/>
        <v>Error?</v>
      </c>
    </row>
    <row r="1123" spans="1:4" x14ac:dyDescent="0.2">
      <c r="A1123" s="5">
        <v>1062</v>
      </c>
      <c r="B1123" s="138">
        <f>'Expenditures 15-22'!K55</f>
        <v>92692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92692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59580</v>
      </c>
      <c r="C1127" s="2" t="s">
        <v>594</v>
      </c>
      <c r="D1127" s="2" t="str">
        <f t="shared" si="16"/>
        <v>Error?</v>
      </c>
    </row>
    <row r="1128" spans="1:4" x14ac:dyDescent="0.2">
      <c r="A1128" s="5">
        <v>1067</v>
      </c>
      <c r="B1128" s="138">
        <f>'Expenditures 15-22'!K61</f>
        <v>176806</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236386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3690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3690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608691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1700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1921320</v>
      </c>
      <c r="C1152" s="2" t="s">
        <v>594</v>
      </c>
      <c r="D1152" s="2" t="str">
        <f t="shared" si="17"/>
        <v>Error?</v>
      </c>
    </row>
    <row r="1153" spans="1:4" x14ac:dyDescent="0.2">
      <c r="A1153" s="5">
        <v>1092</v>
      </c>
      <c r="B1153" s="138">
        <f>'Expenditures 15-22'!K115</f>
        <v>193583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151462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345045</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102964</v>
      </c>
      <c r="D2008" s="2" t="str">
        <f t="shared" si="30"/>
        <v>Error?</v>
      </c>
    </row>
    <row r="2009" spans="1:4" x14ac:dyDescent="0.2">
      <c r="A2009" s="5">
        <v>1948</v>
      </c>
      <c r="B2009" s="138">
        <f>'Cap Outlay Deprec 26'!C8</f>
        <v>3562716</v>
      </c>
      <c r="D2009" s="2" t="str">
        <f t="shared" si="30"/>
        <v>Error?</v>
      </c>
    </row>
    <row r="2010" spans="1:4" x14ac:dyDescent="0.2">
      <c r="A2010" s="5">
        <v>1949</v>
      </c>
      <c r="B2010" s="138">
        <f>'Cap Outlay Deprec 26'!C10</f>
        <v>183907</v>
      </c>
      <c r="D2010" s="2" t="str">
        <f t="shared" si="30"/>
        <v>Error?</v>
      </c>
    </row>
    <row r="2011" spans="1:4" x14ac:dyDescent="0.2">
      <c r="A2011" s="5">
        <v>1950</v>
      </c>
      <c r="B2011" s="138">
        <f>'Cap Outlay Deprec 26'!C12</f>
        <v>266632</v>
      </c>
      <c r="D2011" s="2" t="str">
        <f t="shared" si="30"/>
        <v>Error?</v>
      </c>
    </row>
    <row r="2012" spans="1:4" x14ac:dyDescent="0.2">
      <c r="A2012" s="5">
        <v>1951</v>
      </c>
      <c r="B2012" s="138">
        <f>'Cap Outlay Deprec 26'!C13</f>
        <v>6100</v>
      </c>
      <c r="D2012" s="2" t="str">
        <f t="shared" si="30"/>
        <v>Error?</v>
      </c>
    </row>
    <row r="2013" spans="1:4" x14ac:dyDescent="0.2">
      <c r="A2013" s="5">
        <v>1952</v>
      </c>
      <c r="B2013" s="138">
        <f>'Cap Outlay Deprec 26'!C16</f>
        <v>4122319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29079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29079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102964</v>
      </c>
      <c r="C2026" s="2" t="s">
        <v>594</v>
      </c>
      <c r="D2026" s="2" t="str">
        <f t="shared" si="30"/>
        <v>Error?</v>
      </c>
    </row>
    <row r="2027" spans="1:4" x14ac:dyDescent="0.2">
      <c r="A2027" s="5">
        <v>1966</v>
      </c>
      <c r="B2027" s="138">
        <f>'Cap Outlay Deprec 26'!F8</f>
        <v>3562716</v>
      </c>
      <c r="C2027" s="2" t="s">
        <v>594</v>
      </c>
      <c r="D2027" s="2" t="str">
        <f t="shared" si="30"/>
        <v>Error?</v>
      </c>
    </row>
    <row r="2028" spans="1:4" x14ac:dyDescent="0.2">
      <c r="A2028" s="5">
        <v>1967</v>
      </c>
      <c r="B2028" s="138">
        <f>'Cap Outlay Deprec 26'!F10</f>
        <v>183907</v>
      </c>
      <c r="C2028" s="2" t="s">
        <v>594</v>
      </c>
      <c r="D2028" s="2" t="str">
        <f t="shared" si="30"/>
        <v>Error?</v>
      </c>
    </row>
    <row r="2029" spans="1:4" x14ac:dyDescent="0.2">
      <c r="A2029" s="5">
        <v>1968</v>
      </c>
      <c r="B2029" s="138">
        <f>'Cap Outlay Deprec 26'!F12</f>
        <v>295711</v>
      </c>
      <c r="C2029" s="2" t="s">
        <v>594</v>
      </c>
      <c r="D2029" s="2" t="str">
        <f t="shared" si="30"/>
        <v>Error?</v>
      </c>
    </row>
    <row r="2030" spans="1:4" x14ac:dyDescent="0.2">
      <c r="A2030" s="5">
        <v>1969</v>
      </c>
      <c r="B2030" s="138">
        <f>'Cap Outlay Deprec 26'!F13</f>
        <v>6100</v>
      </c>
      <c r="C2030" s="2" t="s">
        <v>594</v>
      </c>
      <c r="D2030" s="2" t="str">
        <f t="shared" si="30"/>
        <v>Error?</v>
      </c>
    </row>
    <row r="2031" spans="1:4" x14ac:dyDescent="0.2">
      <c r="A2031" s="5">
        <v>1970</v>
      </c>
      <c r="B2031" s="138">
        <f>'Cap Outlay Deprec 26'!F16</f>
        <v>4151398</v>
      </c>
      <c r="C2031" s="2" t="s">
        <v>594</v>
      </c>
      <c r="D2031" s="2" t="str">
        <f t="shared" si="30"/>
        <v>Error?</v>
      </c>
    </row>
    <row r="2032" spans="1:4" x14ac:dyDescent="0.2">
      <c r="A2032" s="10">
        <v>1971</v>
      </c>
      <c r="D2032" s="2" t="str">
        <f t="shared" si="30"/>
        <v>OK</v>
      </c>
    </row>
    <row r="2033" spans="1:4" x14ac:dyDescent="0.2">
      <c r="A2033" s="5">
        <v>1972</v>
      </c>
      <c r="B2033" s="138">
        <f>'Cap Outlay Deprec 26'!H8</f>
        <v>1212774</v>
      </c>
      <c r="D2033" s="2" t="str">
        <f t="shared" si="30"/>
        <v>Error?</v>
      </c>
    </row>
    <row r="2034" spans="1:4" x14ac:dyDescent="0.2">
      <c r="A2034" s="5">
        <v>1973</v>
      </c>
      <c r="B2034" s="138">
        <f>'Cap Outlay Deprec 26'!H10</f>
        <v>101618</v>
      </c>
      <c r="D2034" s="2" t="str">
        <f t="shared" si="30"/>
        <v>Error?</v>
      </c>
    </row>
    <row r="2035" spans="1:4" x14ac:dyDescent="0.2">
      <c r="A2035" s="5">
        <v>1974</v>
      </c>
      <c r="B2035" s="138">
        <f>'Cap Outlay Deprec 26'!H12</f>
        <v>193922</v>
      </c>
      <c r="D2035" s="2" t="str">
        <f t="shared" si="30"/>
        <v>Error?</v>
      </c>
    </row>
    <row r="2036" spans="1:4" x14ac:dyDescent="0.2">
      <c r="A2036" s="5">
        <v>1975</v>
      </c>
      <c r="B2036" s="138">
        <f>'Cap Outlay Deprec 26'!H13</f>
        <v>6100</v>
      </c>
      <c r="D2036" s="2" t="str">
        <f t="shared" si="30"/>
        <v>Error?</v>
      </c>
    </row>
    <row r="2037" spans="1:4" x14ac:dyDescent="0.2">
      <c r="A2037" s="5">
        <v>1976</v>
      </c>
      <c r="B2037" s="138">
        <f>'Cap Outlay Deprec 26'!H16</f>
        <v>1514414</v>
      </c>
      <c r="C2037" s="2" t="s">
        <v>594</v>
      </c>
      <c r="D2037" s="2" t="str">
        <f t="shared" si="30"/>
        <v>Error?</v>
      </c>
    </row>
    <row r="2038" spans="1:4" x14ac:dyDescent="0.2">
      <c r="A2038" s="10">
        <v>1977</v>
      </c>
      <c r="D2038" s="2" t="str">
        <f t="shared" si="30"/>
        <v>OK</v>
      </c>
    </row>
    <row r="2039" spans="1:4" x14ac:dyDescent="0.2">
      <c r="A2039" s="5">
        <v>1978</v>
      </c>
      <c r="B2039" s="138">
        <f>'Cap Outlay Deprec 26'!I8</f>
        <v>71474</v>
      </c>
      <c r="D2039" s="2" t="str">
        <f t="shared" si="30"/>
        <v>Error?</v>
      </c>
    </row>
    <row r="2040" spans="1:4" x14ac:dyDescent="0.2">
      <c r="A2040" s="5">
        <v>1979</v>
      </c>
      <c r="B2040" s="138">
        <f>'Cap Outlay Deprec 26'!I10</f>
        <v>6114</v>
      </c>
      <c r="D2040" s="2" t="str">
        <f t="shared" si="30"/>
        <v>Error?</v>
      </c>
    </row>
    <row r="2041" spans="1:4" x14ac:dyDescent="0.2">
      <c r="A2041" s="5">
        <v>1980</v>
      </c>
      <c r="B2041" s="138">
        <f>'Cap Outlay Deprec 26'!I12</f>
        <v>22364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99952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1284248</v>
      </c>
      <c r="C2051" s="2" t="s">
        <v>594</v>
      </c>
      <c r="D2051" s="2" t="str">
        <f t="shared" si="31"/>
        <v>Error?</v>
      </c>
    </row>
    <row r="2052" spans="1:4" x14ac:dyDescent="0.2">
      <c r="A2052" s="5">
        <v>1991</v>
      </c>
      <c r="B2052" s="138">
        <f>'Cap Outlay Deprec 26'!K10</f>
        <v>107732</v>
      </c>
      <c r="C2052" s="2" t="s">
        <v>594</v>
      </c>
      <c r="D2052" s="2" t="str">
        <f t="shared" si="31"/>
        <v>Error?</v>
      </c>
    </row>
    <row r="2053" spans="1:4" x14ac:dyDescent="0.2">
      <c r="A2053" s="5">
        <v>1992</v>
      </c>
      <c r="B2053" s="138">
        <f>'Cap Outlay Deprec 26'!K12</f>
        <v>216286</v>
      </c>
      <c r="C2053" s="2" t="s">
        <v>594</v>
      </c>
      <c r="D2053" s="2" t="str">
        <f t="shared" si="31"/>
        <v>Error?</v>
      </c>
    </row>
    <row r="2054" spans="1:4" x14ac:dyDescent="0.2">
      <c r="A2054" s="5">
        <v>1993</v>
      </c>
      <c r="B2054" s="138">
        <f>'Cap Outlay Deprec 26'!K13</f>
        <v>6100</v>
      </c>
      <c r="C2054" s="2" t="s">
        <v>594</v>
      </c>
      <c r="D2054" s="2" t="str">
        <f t="shared" si="31"/>
        <v>Error?</v>
      </c>
    </row>
    <row r="2055" spans="1:4" x14ac:dyDescent="0.2">
      <c r="A2055" s="5">
        <v>1994</v>
      </c>
      <c r="B2055" s="138">
        <f>'Cap Outlay Deprec 26'!K16</f>
        <v>1614366</v>
      </c>
      <c r="C2055" s="2" t="s">
        <v>594</v>
      </c>
      <c r="D2055" s="2" t="str">
        <f t="shared" si="31"/>
        <v>Error?</v>
      </c>
    </row>
    <row r="2056" spans="1:4" x14ac:dyDescent="0.2">
      <c r="A2056" s="5">
        <v>1995</v>
      </c>
      <c r="B2056" s="138">
        <f>'Cap Outlay Deprec 26'!L5</f>
        <v>102964</v>
      </c>
      <c r="C2056" s="2" t="s">
        <v>594</v>
      </c>
      <c r="D2056" s="2" t="str">
        <f t="shared" si="31"/>
        <v>Error?</v>
      </c>
    </row>
    <row r="2057" spans="1:4" x14ac:dyDescent="0.2">
      <c r="A2057" s="5">
        <v>1996</v>
      </c>
      <c r="B2057" s="138">
        <f>'Cap Outlay Deprec 26'!L8</f>
        <v>2278468</v>
      </c>
      <c r="C2057" s="2" t="s">
        <v>594</v>
      </c>
      <c r="D2057" s="2" t="str">
        <f t="shared" si="31"/>
        <v>Error?</v>
      </c>
    </row>
    <row r="2058" spans="1:4" x14ac:dyDescent="0.2">
      <c r="A2058" s="5">
        <v>1997</v>
      </c>
      <c r="B2058" s="138">
        <f>'Cap Outlay Deprec 26'!L10</f>
        <v>76175</v>
      </c>
      <c r="C2058" s="2" t="s">
        <v>594</v>
      </c>
      <c r="D2058" s="2" t="str">
        <f t="shared" si="31"/>
        <v>Error?</v>
      </c>
    </row>
    <row r="2059" spans="1:4" x14ac:dyDescent="0.2">
      <c r="A2059" s="5">
        <v>1998</v>
      </c>
      <c r="B2059" s="138">
        <f>'Cap Outlay Deprec 26'!L12</f>
        <v>79425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2537032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1700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65003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1626407</v>
      </c>
      <c r="C2551" s="2" t="s">
        <v>594</v>
      </c>
      <c r="D2551" s="2" t="str">
        <f t="shared" si="38"/>
        <v>Error?</v>
      </c>
    </row>
    <row r="2552" spans="1:4" x14ac:dyDescent="0.2">
      <c r="A2552" s="10">
        <v>2491</v>
      </c>
      <c r="D2552" s="2" t="str">
        <f t="shared" si="38"/>
        <v>OK</v>
      </c>
    </row>
    <row r="2553" spans="1:4" x14ac:dyDescent="0.2">
      <c r="A2553" s="5">
        <v>2492</v>
      </c>
      <c r="B2553" s="138">
        <f>'Acct Summary 7-8'!C6</f>
        <v>449608</v>
      </c>
      <c r="C2553" s="2" t="s">
        <v>594</v>
      </c>
      <c r="D2553" s="2" t="str">
        <f t="shared" si="38"/>
        <v>Error?</v>
      </c>
    </row>
    <row r="2554" spans="1:4" x14ac:dyDescent="0.2">
      <c r="A2554" s="5">
        <v>2493</v>
      </c>
      <c r="B2554" s="138">
        <f>'Acct Summary 7-8'!C7</f>
        <v>38888</v>
      </c>
      <c r="C2554" s="2" t="s">
        <v>594</v>
      </c>
      <c r="D2554" s="2" t="str">
        <f t="shared" si="38"/>
        <v>Error?</v>
      </c>
    </row>
    <row r="2555" spans="1:4" x14ac:dyDescent="0.2">
      <c r="A2555" s="5">
        <v>2494</v>
      </c>
      <c r="B2555" s="138">
        <f>'Acct Summary 7-8'!C8</f>
        <v>2114903</v>
      </c>
      <c r="C2555" s="2" t="s">
        <v>594</v>
      </c>
      <c r="D2555" s="2" t="str">
        <f t="shared" si="38"/>
        <v>Error?</v>
      </c>
    </row>
    <row r="2556" spans="1:4" x14ac:dyDescent="0.2">
      <c r="A2556" s="5">
        <v>2495</v>
      </c>
      <c r="B2556" s="138">
        <f>'Acct Summary 7-8'!C12</f>
        <v>1310929</v>
      </c>
      <c r="C2556" s="2" t="s">
        <v>594</v>
      </c>
      <c r="D2556" s="2" t="str">
        <f t="shared" si="38"/>
        <v>Error?</v>
      </c>
    </row>
    <row r="2557" spans="1:4" x14ac:dyDescent="0.2">
      <c r="A2557" s="5">
        <v>2496</v>
      </c>
      <c r="B2557" s="138">
        <f>'Acct Summary 7-8'!C13</f>
        <v>608691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1700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1921320</v>
      </c>
      <c r="C2561" s="2" t="s">
        <v>594</v>
      </c>
      <c r="D2561" s="2" t="str">
        <f t="shared" si="39"/>
        <v>Error?</v>
      </c>
    </row>
    <row r="2562" spans="1:4" x14ac:dyDescent="0.2">
      <c r="A2562" s="5">
        <v>2501</v>
      </c>
      <c r="B2562" s="138">
        <f>'Acct Summary 7-8'!C20</f>
        <v>193583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1700</v>
      </c>
      <c r="C2789" s="2" t="s">
        <v>594</v>
      </c>
      <c r="D2789" s="2" t="str">
        <f t="shared" si="42"/>
        <v>Error?</v>
      </c>
    </row>
    <row r="2790" spans="1:4" x14ac:dyDescent="0.2">
      <c r="A2790" s="5">
        <v>2729</v>
      </c>
      <c r="B2790" s="138">
        <f>'Expenditures 15-22'!E102</f>
        <v>1700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14399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14399</v>
      </c>
      <c r="D2914" s="2" t="str">
        <f t="shared" si="44"/>
        <v>Error?</v>
      </c>
    </row>
    <row r="2915" spans="1:4" x14ac:dyDescent="0.2">
      <c r="A2915" s="10">
        <v>2854</v>
      </c>
      <c r="D2915" s="2" t="str">
        <f t="shared" si="44"/>
        <v>OK</v>
      </c>
    </row>
    <row r="2916" spans="1:4" x14ac:dyDescent="0.2">
      <c r="A2916" s="5">
        <v>2855</v>
      </c>
      <c r="B2916" s="138">
        <f>'Assets-Liab 5-6'!L34</f>
        <v>14399</v>
      </c>
      <c r="C2916" s="2" t="s">
        <v>594</v>
      </c>
      <c r="D2916" s="2" t="str">
        <f t="shared" si="44"/>
        <v>Error?</v>
      </c>
    </row>
    <row r="2917" spans="1:4" x14ac:dyDescent="0.2">
      <c r="A2917" s="5">
        <v>2856</v>
      </c>
      <c r="B2917" s="138">
        <f>'Assets-Liab 5-6'!L41</f>
        <v>14399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1700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1700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16232</v>
      </c>
      <c r="D3055" s="2" t="str">
        <f t="shared" si="46"/>
        <v>Error?</v>
      </c>
    </row>
    <row r="3056" spans="1:4" x14ac:dyDescent="0.2">
      <c r="A3056" s="5">
        <v>2995</v>
      </c>
      <c r="B3056" s="138">
        <f>'Expenditures 15-22'!D10</f>
        <v>3164</v>
      </c>
      <c r="D3056" s="2" t="str">
        <f t="shared" si="46"/>
        <v>Error?</v>
      </c>
    </row>
    <row r="3057" spans="1:4" x14ac:dyDescent="0.2">
      <c r="A3057" s="5">
        <v>2996</v>
      </c>
      <c r="B3057" s="138">
        <f>'Expenditures 15-22'!E10</f>
        <v>48</v>
      </c>
      <c r="D3057" s="2" t="str">
        <f t="shared" si="46"/>
        <v>Error?</v>
      </c>
    </row>
    <row r="3058" spans="1:4" x14ac:dyDescent="0.2">
      <c r="A3058" s="5">
        <v>2997</v>
      </c>
      <c r="B3058" s="138">
        <f>'Expenditures 15-22'!F10</f>
        <v>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19453</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193583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345045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14399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117659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2232562</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117659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2038979</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345045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38888</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1374417</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1374417</v>
      </c>
      <c r="C5087" s="2" t="s">
        <v>594</v>
      </c>
      <c r="D5087" s="2" t="str">
        <f t="shared" si="78"/>
        <v>Error?</v>
      </c>
    </row>
    <row r="5088" spans="1:4" x14ac:dyDescent="0.2">
      <c r="A5088" s="5">
        <v>5027</v>
      </c>
      <c r="B5088" s="138">
        <f>'Revenues 9-14'!C65</f>
        <v>2837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2837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43368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43368</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10155</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10155</v>
      </c>
      <c r="C5112" s="2" t="s">
        <v>594</v>
      </c>
      <c r="D5112" s="2" t="str">
        <f t="shared" si="78"/>
        <v>Error?</v>
      </c>
    </row>
    <row r="5113" spans="1:4" x14ac:dyDescent="0.2">
      <c r="A5113" s="5">
        <v>5052</v>
      </c>
      <c r="B5113" s="138">
        <f>'Revenues 9-14'!C95</f>
        <v>700</v>
      </c>
      <c r="D5113" s="2" t="str">
        <f t="shared" si="78"/>
        <v>Error?</v>
      </c>
    </row>
    <row r="5114" spans="1:4" x14ac:dyDescent="0.2">
      <c r="A5114" s="5">
        <v>5053</v>
      </c>
      <c r="B5114" s="138">
        <f>'Revenues 9-14'!C96</f>
        <v>16673</v>
      </c>
      <c r="D5114" s="2" t="str">
        <f t="shared" si="78"/>
        <v>Error?</v>
      </c>
    </row>
    <row r="5115" spans="1:4" x14ac:dyDescent="0.2">
      <c r="A5115" s="5">
        <v>5054</v>
      </c>
      <c r="B5115" s="138">
        <f>'Revenues 9-14'!C98</f>
        <v>39934</v>
      </c>
      <c r="D5115" s="2" t="str">
        <f t="shared" si="78"/>
        <v>Error?</v>
      </c>
    </row>
    <row r="5116" spans="1:4" x14ac:dyDescent="0.2">
      <c r="A5116" s="5">
        <v>5055</v>
      </c>
      <c r="B5116" s="138">
        <f>'Revenues 9-14'!C99</f>
        <v>38</v>
      </c>
      <c r="D5116" s="2" t="str">
        <f t="shared" si="78"/>
        <v>Error?</v>
      </c>
    </row>
    <row r="5117" spans="1:4" x14ac:dyDescent="0.2">
      <c r="A5117" s="5">
        <v>5056</v>
      </c>
      <c r="B5117" s="138">
        <f>'Revenues 9-14'!C105</f>
        <v>86910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51375</v>
      </c>
      <c r="D5119" s="2" t="str">
        <f t="shared" ref="D5119:D5182" si="79">IF(ISBLANK(B5119),"OK",IF(A5119-B5119=0,"OK","Error?"))</f>
        <v>Error?</v>
      </c>
    </row>
    <row r="5120" spans="1:4" x14ac:dyDescent="0.2">
      <c r="A5120" s="5">
        <v>5059</v>
      </c>
      <c r="B5120" s="138">
        <f>'Revenues 9-14'!C108</f>
        <v>195630</v>
      </c>
      <c r="C5120" s="2" t="s">
        <v>594</v>
      </c>
      <c r="D5120" s="2" t="str">
        <f t="shared" si="79"/>
        <v>Error?</v>
      </c>
    </row>
    <row r="5121" spans="1:4" x14ac:dyDescent="0.2">
      <c r="A5121" s="5">
        <v>5060</v>
      </c>
      <c r="B5121" s="138">
        <f>'Revenues 9-14'!C109</f>
        <v>1626407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449608</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449608</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449608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449608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38888</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38888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38888</v>
      </c>
      <c r="C5326" s="2" t="s">
        <v>594</v>
      </c>
      <c r="D5326" s="2" t="str">
        <f t="shared" si="82"/>
        <v>Error?</v>
      </c>
    </row>
    <row r="5327" spans="1:4" x14ac:dyDescent="0.2">
      <c r="A5327" s="5">
        <v>5266</v>
      </c>
      <c r="B5327" s="138">
        <f>'Revenues 9-14'!C275</f>
        <v>2114903</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193583</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0.5610369661928154</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20830</v>
      </c>
      <c r="D6890" s="2" t="str">
        <f t="shared" si="106"/>
        <v>Error?</v>
      </c>
    </row>
    <row r="6891" spans="1:4" x14ac:dyDescent="0.2">
      <c r="A6891">
        <v>6830</v>
      </c>
      <c r="B6891" s="138">
        <f>'Expenditures 15-22'!K27</f>
        <v>20830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8951</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8951</v>
      </c>
      <c r="D6940" s="2" t="str">
        <f t="shared" si="107"/>
        <v>Error?</v>
      </c>
    </row>
    <row r="6941" spans="1:4" x14ac:dyDescent="0.2">
      <c r="A6941">
        <v>6880</v>
      </c>
      <c r="B6941" s="138">
        <f>'Expenditures 15-22'!L52</f>
        <v>12000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99952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83200</v>
      </c>
      <c r="D7797" s="2" t="str">
        <f t="shared" si="127"/>
        <v>Error?</v>
      </c>
      <c r="E7797" s="4" t="s">
        <v>2019</v>
      </c>
    </row>
    <row r="7798" spans="1:5" x14ac:dyDescent="0.2">
      <c r="A7798">
        <v>7737</v>
      </c>
      <c r="B7798" s="138">
        <f>'Contracts Paid in CY 29'!F141</f>
        <v>29916</v>
      </c>
      <c r="D7798" s="2" t="str">
        <f t="shared" si="127"/>
        <v>Error?</v>
      </c>
      <c r="E7798" s="4" t="s">
        <v>2019</v>
      </c>
    </row>
    <row r="7799" spans="1:5" x14ac:dyDescent="0.2">
      <c r="A7799">
        <v>7738</v>
      </c>
      <c r="B7799" s="138">
        <f>'Contracts Paid in CY 29'!G141</f>
        <v>5175</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S27" sqref="S2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Indian Valley Voc Ctr</v>
      </c>
      <c r="B7" s="2403"/>
      <c r="C7" s="2403"/>
      <c r="D7" s="2440"/>
      <c r="E7" s="2441">
        <f>COVER!A13</f>
        <v>16019430040</v>
      </c>
      <c r="F7" s="2442"/>
      <c r="G7" s="2409" t="str">
        <f>COVER!T23</f>
        <v>066-005100</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MACK &amp; ASSOCIATES, P.C.</v>
      </c>
      <c r="H9" s="2416"/>
      <c r="I9" s="2416"/>
      <c r="J9" s="2416"/>
      <c r="K9" s="2416"/>
      <c r="L9" s="2417"/>
    </row>
    <row r="10" spans="1:29" ht="13.5" customHeight="1" x14ac:dyDescent="0.2">
      <c r="A10" s="2399" t="str">
        <f>COVER!A38</f>
        <v>JOSEPH BARBIC</v>
      </c>
      <c r="B10" s="2400"/>
      <c r="C10" s="2400"/>
      <c r="D10" s="2400"/>
      <c r="E10" s="2400"/>
      <c r="F10" s="2401"/>
      <c r="G10" s="2415" t="str">
        <f>COVER!T17</f>
        <v>116 EAST WASHINGTON STREET, SUITE ONE</v>
      </c>
      <c r="H10" s="2428"/>
      <c r="I10" s="2428"/>
      <c r="J10" s="2428"/>
      <c r="K10" s="2428"/>
      <c r="L10" s="2429"/>
    </row>
    <row r="11" spans="1:29" ht="13.5" customHeight="1" x14ac:dyDescent="0.2">
      <c r="A11" s="1185" t="s">
        <v>1599</v>
      </c>
      <c r="B11" s="1186"/>
      <c r="C11" s="1187"/>
      <c r="D11" s="1192"/>
      <c r="E11" s="1187"/>
      <c r="F11" s="1191"/>
      <c r="G11" s="2415" t="str">
        <f>COVER!T19</f>
        <v>MORRIS</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TMACK@MACKCPAS.COM</v>
      </c>
      <c r="J13" s="2437"/>
      <c r="K13" s="2437"/>
      <c r="L13" s="2438"/>
    </row>
    <row r="14" spans="1:29" ht="13.5" customHeight="1" x14ac:dyDescent="0.2">
      <c r="A14" s="2415" t="str">
        <f>COVER!A19</f>
        <v>600 EAST LIONS ROAD</v>
      </c>
      <c r="B14" s="2428"/>
      <c r="C14" s="2428"/>
      <c r="D14" s="2428"/>
      <c r="E14" s="2428"/>
      <c r="F14" s="2429"/>
      <c r="G14" s="1196" t="s">
        <v>1247</v>
      </c>
      <c r="H14" s="1194"/>
      <c r="I14" s="1194"/>
      <c r="J14" s="1194"/>
      <c r="K14" s="1194"/>
      <c r="L14" s="1195"/>
    </row>
    <row r="15" spans="1:29" ht="13.5" customHeight="1" x14ac:dyDescent="0.2">
      <c r="A15" s="2415" t="str">
        <f>COVER!A21</f>
        <v>SANDWICH</v>
      </c>
      <c r="B15" s="2428"/>
      <c r="C15" s="2428"/>
      <c r="D15" s="2428"/>
      <c r="E15" s="2428"/>
      <c r="F15" s="2429"/>
      <c r="G15" s="2425" t="str">
        <f>COVER!T15</f>
        <v>TAWNYA R. MACK</v>
      </c>
      <c r="H15" s="2426"/>
      <c r="I15" s="2426"/>
      <c r="J15" s="2426"/>
      <c r="K15" s="2426"/>
      <c r="L15" s="2427"/>
    </row>
    <row r="16" spans="1:29" ht="12.2" customHeight="1" x14ac:dyDescent="0.2">
      <c r="A16" s="2405">
        <f>COVER!A25</f>
        <v>60548</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815-942-3306</v>
      </c>
      <c r="H18" s="2403"/>
      <c r="I18" s="2403"/>
      <c r="J18" s="2403"/>
      <c r="K18" s="2402" t="str">
        <f>COVER!X21</f>
        <v>815-942-9430</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Indian Valley Voc Ctr</v>
      </c>
      <c r="B1" s="2439"/>
      <c r="C1" s="2439"/>
      <c r="D1" s="2439"/>
    </row>
    <row r="2" spans="1:11" s="1215" customFormat="1" ht="12.75" x14ac:dyDescent="0.2">
      <c r="A2" s="2444">
        <f>'Single Audit Cover'!E7</f>
        <v>16019430040</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Indian Valley Voc Ctr</v>
      </c>
      <c r="B1" s="2447"/>
      <c r="C1" s="2447"/>
      <c r="D1" s="2447"/>
      <c r="E1" s="2447"/>
    </row>
    <row r="2" spans="1:5" x14ac:dyDescent="0.2">
      <c r="A2" s="2448">
        <f>'Single Audit Cover'!E7</f>
        <v>16019430040</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38888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38888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38888</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38888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Indian Valley Voc Ctr</v>
      </c>
      <c r="B1" s="2452"/>
      <c r="C1" s="2452"/>
      <c r="D1" s="2452"/>
      <c r="E1" s="2452"/>
      <c r="F1" s="2452"/>
    </row>
    <row r="2" spans="1:7" ht="13.5" customHeight="1" x14ac:dyDescent="0.2">
      <c r="A2" s="2453">
        <f>'Single Audit Cover'!E7</f>
        <v>16019430040</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Indian Valley Voc Ctr</v>
      </c>
      <c r="C1" s="2464"/>
      <c r="D1" s="2464"/>
      <c r="E1" s="2464"/>
      <c r="F1" s="2464"/>
      <c r="G1" s="2464"/>
      <c r="H1" s="2464"/>
      <c r="I1" s="2464"/>
      <c r="J1" s="2464"/>
      <c r="K1" s="2464"/>
      <c r="L1" s="2464"/>
      <c r="M1" s="2464"/>
    </row>
    <row r="2" spans="2:14" ht="15" x14ac:dyDescent="0.2">
      <c r="B2" s="2453">
        <f>'Single Audit Cover'!E7</f>
        <v>16019430040</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2085</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t="s">
        <v>2118</v>
      </c>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Indian Valley Voc Ctr</v>
      </c>
      <c r="C1" s="2472"/>
      <c r="D1" s="2472"/>
      <c r="E1" s="2472"/>
      <c r="F1" s="2472"/>
      <c r="G1" s="2472"/>
      <c r="H1" s="2472"/>
      <c r="I1" s="2472"/>
      <c r="J1" s="1422"/>
    </row>
    <row r="2" spans="2:10" s="317" customFormat="1" ht="12.75" customHeight="1" x14ac:dyDescent="0.2">
      <c r="B2" s="2473">
        <f>'Single Audit Cover'!E7</f>
        <v>16019430040</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1951</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Indian Valley Voc Ctr</v>
      </c>
      <c r="C1" s="2471"/>
      <c r="D1" s="2471"/>
      <c r="E1" s="2471"/>
      <c r="F1" s="2471"/>
      <c r="G1" s="2471"/>
      <c r="H1" s="2471"/>
      <c r="I1" s="2471"/>
      <c r="J1" s="2471"/>
      <c r="K1" s="2471"/>
      <c r="L1" s="1374"/>
      <c r="M1" s="1374"/>
    </row>
    <row r="2" spans="1:13" ht="12" customHeight="1" x14ac:dyDescent="0.2">
      <c r="B2" s="2473">
        <f>'Single Audit Cover'!E7</f>
        <v>16019430040</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Indian Valley Voc Ctr</v>
      </c>
      <c r="C1" s="2498"/>
      <c r="D1" s="2498"/>
      <c r="E1" s="2498"/>
      <c r="F1" s="2498"/>
      <c r="G1" s="2498"/>
      <c r="H1" s="2498"/>
      <c r="I1" s="2498"/>
      <c r="J1" s="2498"/>
      <c r="K1" s="2498"/>
      <c r="L1" s="1465"/>
    </row>
    <row r="2" spans="1:12" ht="12.75" customHeight="1" x14ac:dyDescent="0.2">
      <c r="B2" s="2499">
        <f>'Single Audit Cover'!E7</f>
        <v>16019430040</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Indian Valley Voc Ctr</v>
      </c>
      <c r="C1" s="2471"/>
      <c r="D1" s="2471"/>
      <c r="E1" s="1491"/>
    </row>
    <row r="2" spans="2:5" s="1282" customFormat="1" ht="12.75" customHeight="1" x14ac:dyDescent="0.2">
      <c r="B2" s="2473">
        <f>'Single Audit Cover'!E7</f>
        <v>16019430040</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2114903</v>
      </c>
      <c r="E16" s="356"/>
      <c r="F16" s="1755">
        <f>SUM('Acct Summary 7-8'!C17,'Acct Summary 7-8'!D17,'Acct Summary 7-8'!F17)</f>
        <v>1921320</v>
      </c>
      <c r="G16" s="356"/>
      <c r="H16" s="1755">
        <f>SUM(D16-F16)</f>
        <v>193583</v>
      </c>
      <c r="I16" s="222"/>
      <c r="J16" s="1755">
        <f>SUM('Acct Summary 7-8'!C81,'Acct Summary 7-8'!D81,'Acct Summary 7-8'!F81,'Acct Summary 7-8'!I81)</f>
        <v>345045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Indian Valley Voc Ctr</v>
      </c>
      <c r="E7" s="391"/>
      <c r="G7" s="252"/>
      <c r="H7" s="387"/>
      <c r="I7" s="387"/>
      <c r="J7" s="387"/>
      <c r="K7" s="387"/>
      <c r="L7" s="329"/>
      <c r="M7" s="329"/>
      <c r="N7" s="329"/>
      <c r="O7" s="329"/>
      <c r="P7" s="329"/>
    </row>
    <row r="8" spans="1:18" ht="12.75" x14ac:dyDescent="0.2">
      <c r="A8" s="329"/>
      <c r="B8" s="329"/>
      <c r="C8" s="389" t="s">
        <v>1187</v>
      </c>
      <c r="D8" s="392">
        <f>COVER!A13</f>
        <v>16019430040</v>
      </c>
      <c r="E8" s="393"/>
      <c r="G8" s="329"/>
      <c r="H8" s="329"/>
      <c r="I8" s="329"/>
      <c r="J8" s="329"/>
      <c r="K8" s="329"/>
      <c r="L8" s="329"/>
      <c r="M8" s="329"/>
      <c r="N8" s="329"/>
      <c r="O8" s="329"/>
      <c r="P8" s="329"/>
    </row>
    <row r="9" spans="1:18" ht="12.75" x14ac:dyDescent="0.2">
      <c r="A9" s="329"/>
      <c r="B9" s="329"/>
      <c r="C9" s="389" t="s">
        <v>737</v>
      </c>
      <c r="D9" s="394" t="str">
        <f>COVER!A15</f>
        <v>DEKALB</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345045</v>
      </c>
      <c r="I12" s="404"/>
      <c r="J12" s="404"/>
      <c r="K12" s="405">
        <f>TRUNC((H12/H13*100000),5)/100000</f>
        <v>0.16314932640000002</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2114903</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1921320</v>
      </c>
      <c r="I17" s="404"/>
      <c r="J17" s="416"/>
      <c r="K17" s="405">
        <f>TRUNC((H17/H18*100000),5)/100000</f>
        <v>0.90846719679999999</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2114903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345045</v>
      </c>
      <c r="I24" s="422"/>
      <c r="J24" s="422"/>
      <c r="K24" s="423">
        <f>TRUNC(((H24/H25*100000)/100000),2)</f>
        <v>64.650000000000006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5337</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A40" sqref="A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345045</v>
      </c>
      <c r="D4" s="466"/>
      <c r="E4" s="466"/>
      <c r="F4" s="466"/>
      <c r="G4" s="466"/>
      <c r="H4" s="466"/>
      <c r="I4" s="466"/>
      <c r="J4" s="467"/>
      <c r="K4" s="466"/>
      <c r="L4" s="466">
        <v>14399</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345045</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14399</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102964</v>
      </c>
      <c r="N16" s="484"/>
    </row>
    <row r="17" spans="1:14" s="485" customFormat="1" ht="12.75" customHeight="1" x14ac:dyDescent="0.2">
      <c r="A17" s="482" t="s">
        <v>1470</v>
      </c>
      <c r="B17" s="483">
        <v>230</v>
      </c>
      <c r="C17" s="477"/>
      <c r="D17" s="477"/>
      <c r="E17" s="477"/>
      <c r="F17" s="477"/>
      <c r="G17" s="477"/>
      <c r="H17" s="477"/>
      <c r="I17" s="477"/>
      <c r="J17" s="477"/>
      <c r="K17" s="477"/>
      <c r="L17" s="477"/>
      <c r="M17" s="467">
        <f>2278468</f>
        <v>2278468</v>
      </c>
      <c r="N17" s="484"/>
    </row>
    <row r="18" spans="1:14" s="485" customFormat="1" ht="12.75" customHeight="1" x14ac:dyDescent="0.2">
      <c r="A18" s="482" t="s">
        <v>1471</v>
      </c>
      <c r="B18" s="483">
        <v>240</v>
      </c>
      <c r="C18" s="477"/>
      <c r="D18" s="477"/>
      <c r="E18" s="477"/>
      <c r="F18" s="477"/>
      <c r="G18" s="477"/>
      <c r="H18" s="477"/>
      <c r="I18" s="477"/>
      <c r="J18" s="477"/>
      <c r="K18" s="477"/>
      <c r="L18" s="477"/>
      <c r="M18" s="467">
        <f>76175</f>
        <v>76175</v>
      </c>
      <c r="N18" s="484"/>
    </row>
    <row r="19" spans="1:14" s="485" customFormat="1" ht="12.75" customHeight="1" x14ac:dyDescent="0.2">
      <c r="A19" s="482" t="s">
        <v>1472</v>
      </c>
      <c r="B19" s="483">
        <v>250</v>
      </c>
      <c r="C19" s="477"/>
      <c r="D19" s="477"/>
      <c r="E19" s="477"/>
      <c r="F19" s="477"/>
      <c r="G19" s="477"/>
      <c r="H19" s="477"/>
      <c r="I19" s="477"/>
      <c r="J19" s="477"/>
      <c r="K19" s="477"/>
      <c r="L19" s="477"/>
      <c r="M19" s="467">
        <f>63867+15558</f>
        <v>79425</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2537032</v>
      </c>
      <c r="N23" s="1710">
        <f>SUM(N21:N22)</f>
        <v>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14399</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14399</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v>65003</v>
      </c>
      <c r="D38" s="466"/>
      <c r="E38" s="466"/>
      <c r="F38" s="466"/>
      <c r="G38" s="466"/>
      <c r="H38" s="466"/>
      <c r="I38" s="466"/>
      <c r="J38" s="467"/>
      <c r="K38" s="466"/>
      <c r="L38" s="481"/>
      <c r="M38" s="497"/>
      <c r="N38" s="497"/>
    </row>
    <row r="39" spans="1:14" s="329" customFormat="1" ht="13.5" customHeight="1" x14ac:dyDescent="0.2">
      <c r="A39" s="496" t="s">
        <v>360</v>
      </c>
      <c r="B39" s="483">
        <v>730</v>
      </c>
      <c r="C39" s="466">
        <f>345045-C38</f>
        <v>280042</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2537032</f>
        <v>2537032</v>
      </c>
      <c r="N40" s="497"/>
    </row>
    <row r="41" spans="1:14" ht="13.5" customHeight="1" thickBot="1" x14ac:dyDescent="0.25">
      <c r="A41" s="1758" t="s">
        <v>676</v>
      </c>
      <c r="B41" s="1728"/>
      <c r="C41" s="1710">
        <f>(SUM(C34,C37,C38,C39))</f>
        <v>345045</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14399</v>
      </c>
      <c r="M41" s="1710">
        <f>SUM(M40)</f>
        <v>2537032</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6" activePane="bottomLeft" state="frozenSplit"/>
      <selection activeCell="A47" sqref="A47"/>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1626407</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449608</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38888</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2114903</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117659</v>
      </c>
      <c r="D9" s="516"/>
      <c r="E9" s="481"/>
      <c r="F9" s="481"/>
      <c r="G9" s="517"/>
      <c r="H9" s="481"/>
      <c r="I9" s="509" t="s">
        <v>1231</v>
      </c>
      <c r="J9" s="478"/>
      <c r="K9" s="481"/>
      <c r="L9" s="347"/>
    </row>
    <row r="10" spans="1:13" s="519" customFormat="1" ht="13.5" thickBot="1" x14ac:dyDescent="0.25">
      <c r="A10" s="1758" t="s">
        <v>1235</v>
      </c>
      <c r="B10" s="1731"/>
      <c r="C10" s="1710">
        <f>SUM(C8:C9)</f>
        <v>2232562</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1310929</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608691</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1700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1921320</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117659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2038979</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4" t="s">
        <v>1754</v>
      </c>
      <c r="B20" s="2145"/>
      <c r="C20" s="1768">
        <f>C8-C17</f>
        <v>193583</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193583</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2071</v>
      </c>
      <c r="B79" s="534"/>
      <c r="C79" s="478">
        <v>151462</v>
      </c>
      <c r="D79" s="535"/>
      <c r="E79" s="535"/>
      <c r="F79" s="535"/>
      <c r="G79" s="535"/>
      <c r="H79" s="535"/>
      <c r="I79" s="535"/>
      <c r="J79" s="535"/>
      <c r="K79" s="535"/>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10">
        <f>(SUM(C78:C80))</f>
        <v>345045</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193583</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0.5610369661928154</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00" activePane="bottomLeft" state="frozen"/>
      <selection activeCell="A47" sqref="A47"/>
      <selection pane="bottomLeft" activeCell="C227" sqref="C227"/>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f>465882+43379+41796+44810+33726+39900+21375+79332+307023+47816+58428+189050+1900</f>
        <v>1374417</v>
      </c>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1374417</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2837</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2837</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f>30+444+1758+402+1185+1722+254+1005+922+1452+2499+2666+1379+3960+3011+1021+2085+4031+12417+1125</f>
        <v>43368</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43368</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f>10155</f>
        <v>10155</v>
      </c>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10155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f>700</f>
        <v>700</v>
      </c>
      <c r="D95" s="551"/>
      <c r="E95" s="521"/>
      <c r="F95" s="521"/>
      <c r="G95" s="521"/>
      <c r="H95" s="521"/>
      <c r="I95" s="521"/>
      <c r="J95" s="521"/>
      <c r="K95" s="521"/>
    </row>
    <row r="96" spans="1:11" ht="12.75" customHeight="1" x14ac:dyDescent="0.2">
      <c r="A96" s="463" t="s">
        <v>409</v>
      </c>
      <c r="B96" s="470">
        <v>1920</v>
      </c>
      <c r="C96" s="551">
        <f>16673</f>
        <v>16673</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f>27181+12753</f>
        <v>39934</v>
      </c>
      <c r="D98" s="466"/>
      <c r="E98" s="512"/>
      <c r="F98" s="466"/>
      <c r="G98" s="512"/>
      <c r="H98" s="512"/>
      <c r="I98" s="510"/>
      <c r="J98" s="512"/>
      <c r="K98" s="512"/>
    </row>
    <row r="99" spans="1:12" ht="12.75" customHeight="1" x14ac:dyDescent="0.2">
      <c r="A99" s="463" t="s">
        <v>875</v>
      </c>
      <c r="B99" s="470">
        <v>1950</v>
      </c>
      <c r="C99" s="489">
        <f>38</f>
        <v>38</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f>17280+41+4421+46256+650+10343+3610+4194+115</f>
        <v>86910</v>
      </c>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51375</v>
      </c>
      <c r="D107" s="466"/>
      <c r="E107" s="466"/>
      <c r="F107" s="466"/>
      <c r="G107" s="466"/>
      <c r="H107" s="466"/>
      <c r="I107" s="466"/>
      <c r="J107" s="467"/>
      <c r="K107" s="466"/>
    </row>
    <row r="108" spans="1:12" ht="12.75" customHeight="1" thickBot="1" x14ac:dyDescent="0.25">
      <c r="A108" s="1730" t="s">
        <v>508</v>
      </c>
      <c r="B108" s="1734"/>
      <c r="C108" s="1729">
        <f>SUM(C95:C107)</f>
        <v>195630</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1626407</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f>160573+289035</f>
        <v>449608</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449608</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449608</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449608</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38888</v>
      </c>
      <c r="D227" s="466"/>
      <c r="E227" s="468"/>
      <c r="F227" s="468"/>
      <c r="G227" s="466"/>
      <c r="H227" s="468"/>
      <c r="I227" s="468"/>
      <c r="J227" s="468"/>
      <c r="K227" s="468"/>
    </row>
    <row r="228" spans="1:11" ht="12.75" customHeight="1" thickBot="1" x14ac:dyDescent="0.25">
      <c r="A228" s="1745" t="s">
        <v>1145</v>
      </c>
      <c r="B228" s="1746"/>
      <c r="C228" s="1729">
        <f>SUM(C226:C227)</f>
        <v>38888</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38888</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38888</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2114903</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2" firstPageNumber="9" fitToHeight="0"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59" activePane="bottomLeft" state="frozen"/>
      <selection activeCell="A47" sqref="A47"/>
      <selection pane="bottomLeft" activeCell="G100" sqref="G10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10296+1115</f>
        <v>11411</v>
      </c>
      <c r="D5" s="466">
        <f>181+164</f>
        <v>345</v>
      </c>
      <c r="E5" s="466"/>
      <c r="F5" s="466">
        <f>152+332</f>
        <v>484</v>
      </c>
      <c r="G5" s="466"/>
      <c r="H5" s="466"/>
      <c r="I5" s="467"/>
      <c r="J5" s="467"/>
      <c r="K5" s="1693">
        <f>SUM(C5:J5)</f>
        <v>12240</v>
      </c>
      <c r="L5" s="466">
        <v>13403</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16232</v>
      </c>
      <c r="D10" s="466">
        <v>3164</v>
      </c>
      <c r="E10" s="466">
        <v>48</v>
      </c>
      <c r="F10" s="466">
        <v>9</v>
      </c>
      <c r="G10" s="466"/>
      <c r="H10" s="466"/>
      <c r="I10" s="467"/>
      <c r="J10" s="467"/>
      <c r="K10" s="1693">
        <f t="shared" si="0"/>
        <v>19453</v>
      </c>
      <c r="L10" s="466">
        <v>18973</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881746</v>
      </c>
      <c r="D13" s="466">
        <f>115455+87</f>
        <v>115542</v>
      </c>
      <c r="E13" s="466">
        <v>14911</v>
      </c>
      <c r="F13" s="466">
        <v>215812</v>
      </c>
      <c r="G13" s="466">
        <v>22571</v>
      </c>
      <c r="H13" s="466">
        <v>3000</v>
      </c>
      <c r="I13" s="467"/>
      <c r="J13" s="467"/>
      <c r="K13" s="1693">
        <f t="shared" si="0"/>
        <v>1253582</v>
      </c>
      <c r="L13" s="466">
        <v>1245025</v>
      </c>
    </row>
    <row r="14" spans="1:14" x14ac:dyDescent="0.2">
      <c r="A14" s="1526" t="s">
        <v>1020</v>
      </c>
      <c r="B14" s="615">
        <v>1500</v>
      </c>
      <c r="C14" s="466">
        <v>4500</v>
      </c>
      <c r="D14" s="466">
        <v>131</v>
      </c>
      <c r="E14" s="466">
        <v>77</v>
      </c>
      <c r="F14" s="466">
        <v>116</v>
      </c>
      <c r="G14" s="466"/>
      <c r="H14" s="466"/>
      <c r="I14" s="467"/>
      <c r="J14" s="467"/>
      <c r="K14" s="1693">
        <f t="shared" si="0"/>
        <v>4824</v>
      </c>
      <c r="L14" s="466">
        <v>10025</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v>20830</v>
      </c>
      <c r="I27" s="617"/>
      <c r="J27" s="477"/>
      <c r="K27" s="1693">
        <f t="shared" si="0"/>
        <v>20830</v>
      </c>
      <c r="L27" s="471">
        <v>26600</v>
      </c>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913889</v>
      </c>
      <c r="D33" s="1692">
        <f t="shared" ref="D33:L33" si="1">SUM(D5:D32)</f>
        <v>119182</v>
      </c>
      <c r="E33" s="1692">
        <f t="shared" si="1"/>
        <v>15036</v>
      </c>
      <c r="F33" s="1692">
        <f t="shared" si="1"/>
        <v>216421</v>
      </c>
      <c r="G33" s="1692">
        <f t="shared" si="1"/>
        <v>22571</v>
      </c>
      <c r="H33" s="1692">
        <f t="shared" si="1"/>
        <v>23830</v>
      </c>
      <c r="I33" s="1692">
        <f t="shared" si="1"/>
        <v>0</v>
      </c>
      <c r="J33" s="1692">
        <f t="shared" si="1"/>
        <v>0</v>
      </c>
      <c r="K33" s="1692">
        <f t="shared" si="1"/>
        <v>1310929</v>
      </c>
      <c r="L33" s="1692">
        <f t="shared" si="1"/>
        <v>1314026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0</v>
      </c>
      <c r="F42" s="1692">
        <f t="shared" si="3"/>
        <v>0</v>
      </c>
      <c r="G42" s="1692">
        <f t="shared" si="3"/>
        <v>0</v>
      </c>
      <c r="H42" s="1692">
        <f t="shared" si="3"/>
        <v>0</v>
      </c>
      <c r="I42" s="1692">
        <f t="shared" si="3"/>
        <v>0</v>
      </c>
      <c r="J42" s="1692">
        <f t="shared" si="3"/>
        <v>0</v>
      </c>
      <c r="K42" s="1692">
        <f t="shared" si="3"/>
        <v>0</v>
      </c>
      <c r="L42" s="1692">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600</v>
      </c>
      <c r="F44" s="481"/>
      <c r="G44" s="481"/>
      <c r="H44" s="481"/>
      <c r="I44" s="467"/>
      <c r="J44" s="467"/>
      <c r="K44" s="1694">
        <f>SUM(C44:J44)</f>
        <v>600</v>
      </c>
      <c r="L44" s="481">
        <v>1920</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0</v>
      </c>
      <c r="D47" s="1692">
        <f t="shared" ref="D47:K47" si="4">SUM(D44:D46)</f>
        <v>0</v>
      </c>
      <c r="E47" s="1692">
        <f t="shared" si="4"/>
        <v>600</v>
      </c>
      <c r="F47" s="1692">
        <f t="shared" si="4"/>
        <v>0</v>
      </c>
      <c r="G47" s="1692">
        <f t="shared" si="4"/>
        <v>0</v>
      </c>
      <c r="H47" s="1692">
        <f t="shared" si="4"/>
        <v>0</v>
      </c>
      <c r="I47" s="1692">
        <f t="shared" si="4"/>
        <v>0</v>
      </c>
      <c r="J47" s="1692">
        <f t="shared" si="4"/>
        <v>0</v>
      </c>
      <c r="K47" s="1692">
        <f t="shared" si="4"/>
        <v>600</v>
      </c>
      <c r="L47" s="1692">
        <f>SUM(L44:L46)</f>
        <v>1920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2756</v>
      </c>
      <c r="D49" s="481"/>
      <c r="E49" s="481">
        <v>62182</v>
      </c>
      <c r="F49" s="481">
        <v>761</v>
      </c>
      <c r="G49" s="481"/>
      <c r="H49" s="481"/>
      <c r="I49" s="467"/>
      <c r="J49" s="467"/>
      <c r="K49" s="1694">
        <f>SUM(C49:J49)</f>
        <v>65699</v>
      </c>
      <c r="L49" s="481">
        <v>68956</v>
      </c>
    </row>
    <row r="50" spans="1:14" x14ac:dyDescent="0.2">
      <c r="A50" s="1526" t="s">
        <v>872</v>
      </c>
      <c r="B50" s="615">
        <v>2320</v>
      </c>
      <c r="C50" s="466">
        <v>154932</v>
      </c>
      <c r="D50" s="466">
        <v>37005</v>
      </c>
      <c r="E50" s="466">
        <v>1988</v>
      </c>
      <c r="F50" s="466">
        <v>5204</v>
      </c>
      <c r="G50" s="466"/>
      <c r="H50" s="466">
        <v>1544</v>
      </c>
      <c r="I50" s="467"/>
      <c r="J50" s="467"/>
      <c r="K50" s="1694">
        <f>SUM(C50:J50)</f>
        <v>200673</v>
      </c>
      <c r="L50" s="466">
        <v>203860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v>8951</v>
      </c>
      <c r="F52" s="474"/>
      <c r="G52" s="474"/>
      <c r="H52" s="474"/>
      <c r="I52" s="474"/>
      <c r="J52" s="474"/>
      <c r="K52" s="1694">
        <f>SUM(C52:J52)</f>
        <v>8951</v>
      </c>
      <c r="L52" s="474">
        <v>12000</v>
      </c>
    </row>
    <row r="53" spans="1:14" ht="12.75" customHeight="1" thickBot="1" x14ac:dyDescent="0.25">
      <c r="A53" s="1690" t="s">
        <v>741</v>
      </c>
      <c r="B53" s="1691" t="s">
        <v>33</v>
      </c>
      <c r="C53" s="1692">
        <f>SUM(C49:C52)</f>
        <v>157688</v>
      </c>
      <c r="D53" s="1692">
        <f t="shared" ref="D53:L53" si="5">SUM(D49:D52)</f>
        <v>37005</v>
      </c>
      <c r="E53" s="1692">
        <f t="shared" si="5"/>
        <v>73121</v>
      </c>
      <c r="F53" s="1692">
        <f t="shared" si="5"/>
        <v>5965</v>
      </c>
      <c r="G53" s="1692">
        <f t="shared" si="5"/>
        <v>0</v>
      </c>
      <c r="H53" s="1692">
        <f t="shared" si="5"/>
        <v>1544</v>
      </c>
      <c r="I53" s="1692">
        <f t="shared" si="5"/>
        <v>0</v>
      </c>
      <c r="J53" s="1692">
        <f t="shared" si="5"/>
        <v>0</v>
      </c>
      <c r="K53" s="1692">
        <f t="shared" si="5"/>
        <v>275323</v>
      </c>
      <c r="L53" s="1692">
        <f t="shared" si="5"/>
        <v>284816</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73429</v>
      </c>
      <c r="D55" s="481">
        <v>18415</v>
      </c>
      <c r="E55" s="481">
        <v>342</v>
      </c>
      <c r="F55" s="481">
        <v>121</v>
      </c>
      <c r="G55" s="481"/>
      <c r="H55" s="481">
        <v>385</v>
      </c>
      <c r="I55" s="467"/>
      <c r="J55" s="467"/>
      <c r="K55" s="1694">
        <f>SUM(C55:J55)</f>
        <v>92692</v>
      </c>
      <c r="L55" s="481">
        <v>95330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73429</v>
      </c>
      <c r="D57" s="1696">
        <f t="shared" ref="D57:K57" si="6">SUM(D55:D56)</f>
        <v>18415</v>
      </c>
      <c r="E57" s="1696">
        <f t="shared" si="6"/>
        <v>342</v>
      </c>
      <c r="F57" s="1696">
        <f t="shared" si="6"/>
        <v>121</v>
      </c>
      <c r="G57" s="1696">
        <f t="shared" si="6"/>
        <v>0</v>
      </c>
      <c r="H57" s="1696">
        <f t="shared" si="6"/>
        <v>385</v>
      </c>
      <c r="I57" s="1696">
        <f t="shared" si="6"/>
        <v>0</v>
      </c>
      <c r="J57" s="1696">
        <f t="shared" si="6"/>
        <v>0</v>
      </c>
      <c r="K57" s="1696">
        <f t="shared" si="6"/>
        <v>92692</v>
      </c>
      <c r="L57" s="1692">
        <f>SUM(L55:L56)</f>
        <v>95330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43647</v>
      </c>
      <c r="D60" s="466">
        <v>14986</v>
      </c>
      <c r="E60" s="466">
        <v>360</v>
      </c>
      <c r="F60" s="466">
        <v>587</v>
      </c>
      <c r="G60" s="466"/>
      <c r="H60" s="466"/>
      <c r="I60" s="467"/>
      <c r="J60" s="467"/>
      <c r="K60" s="1694">
        <f t="shared" si="7"/>
        <v>59580</v>
      </c>
      <c r="L60" s="466">
        <v>60993</v>
      </c>
      <c r="M60" s="610"/>
      <c r="N60" s="610"/>
    </row>
    <row r="61" spans="1:14" s="343" customFormat="1" x14ac:dyDescent="0.2">
      <c r="A61" s="1526" t="s">
        <v>206</v>
      </c>
      <c r="B61" s="615">
        <v>2540</v>
      </c>
      <c r="C61" s="466">
        <v>43860</v>
      </c>
      <c r="D61" s="466">
        <v>15845</v>
      </c>
      <c r="E61" s="466">
        <v>30360</v>
      </c>
      <c r="F61" s="466">
        <v>83485</v>
      </c>
      <c r="G61" s="466">
        <v>3256</v>
      </c>
      <c r="H61" s="466"/>
      <c r="I61" s="467"/>
      <c r="J61" s="467"/>
      <c r="K61" s="1694">
        <f t="shared" si="7"/>
        <v>176806</v>
      </c>
      <c r="L61" s="466">
        <v>170774</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87507</v>
      </c>
      <c r="D65" s="1692">
        <f t="shared" ref="D65:L65" si="8">SUM(D59:D64)</f>
        <v>30831</v>
      </c>
      <c r="E65" s="1692">
        <f t="shared" si="8"/>
        <v>30720</v>
      </c>
      <c r="F65" s="1692">
        <f t="shared" si="8"/>
        <v>84072</v>
      </c>
      <c r="G65" s="1692">
        <f t="shared" si="8"/>
        <v>3256</v>
      </c>
      <c r="H65" s="1692">
        <f t="shared" si="8"/>
        <v>0</v>
      </c>
      <c r="I65" s="1692">
        <f t="shared" si="8"/>
        <v>0</v>
      </c>
      <c r="J65" s="1692">
        <f t="shared" si="8"/>
        <v>0</v>
      </c>
      <c r="K65" s="1692">
        <f t="shared" si="8"/>
        <v>236386</v>
      </c>
      <c r="L65" s="1692">
        <f t="shared" si="8"/>
        <v>231767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v>3690</v>
      </c>
      <c r="D69" s="466"/>
      <c r="E69" s="466"/>
      <c r="F69" s="466"/>
      <c r="G69" s="466"/>
      <c r="H69" s="466"/>
      <c r="I69" s="467"/>
      <c r="J69" s="467"/>
      <c r="K69" s="1694">
        <f>SUM(C69:J69)</f>
        <v>3690</v>
      </c>
      <c r="L69" s="466">
        <v>3690</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3690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3690</v>
      </c>
      <c r="L72" s="1692">
        <f>SUM(L67:L71)</f>
        <v>3690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322314</v>
      </c>
      <c r="D74" s="1699">
        <f t="shared" ref="D74:K74" si="10">SUM(D42,D47,D53,D57,D65,D72,D73)</f>
        <v>86251</v>
      </c>
      <c r="E74" s="1699">
        <f t="shared" si="10"/>
        <v>104783</v>
      </c>
      <c r="F74" s="1699">
        <f t="shared" si="10"/>
        <v>90158</v>
      </c>
      <c r="G74" s="1699">
        <f t="shared" si="10"/>
        <v>3256</v>
      </c>
      <c r="H74" s="1699">
        <f t="shared" si="10"/>
        <v>1929</v>
      </c>
      <c r="I74" s="1699">
        <f t="shared" si="10"/>
        <v>0</v>
      </c>
      <c r="J74" s="1699">
        <f t="shared" si="10"/>
        <v>0</v>
      </c>
      <c r="K74" s="1699">
        <f t="shared" si="10"/>
        <v>608691</v>
      </c>
      <c r="L74" s="1699">
        <f>SUM(L42,L47,L53,L57,L65,L72,L73)</f>
        <v>617523</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v>1700</v>
      </c>
      <c r="F83" s="617"/>
      <c r="G83" s="617"/>
      <c r="H83" s="466"/>
      <c r="I83" s="477"/>
      <c r="J83" s="477"/>
      <c r="K83" s="1693">
        <f t="shared" si="11"/>
        <v>1700</v>
      </c>
      <c r="L83" s="466">
        <v>1700</v>
      </c>
    </row>
    <row r="84" spans="1:12" ht="13.5" thickBot="1" x14ac:dyDescent="0.25">
      <c r="A84" s="1690" t="s">
        <v>1565</v>
      </c>
      <c r="B84" s="1700">
        <v>4100</v>
      </c>
      <c r="C84" s="617"/>
      <c r="D84" s="617"/>
      <c r="E84" s="1692">
        <f>SUM(E78:E83)</f>
        <v>1700</v>
      </c>
      <c r="F84" s="617"/>
      <c r="G84" s="617"/>
      <c r="H84" s="1692">
        <f>SUM(H78:H83)</f>
        <v>0</v>
      </c>
      <c r="I84" s="477"/>
      <c r="J84" s="477"/>
      <c r="K84" s="1692">
        <f>SUM(K78:K83)</f>
        <v>1700</v>
      </c>
      <c r="L84" s="1692">
        <f>SUM(L78:L83)</f>
        <v>1700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1700</v>
      </c>
      <c r="F102" s="617"/>
      <c r="G102" s="617"/>
      <c r="H102" s="1699">
        <f>SUM(H84,H92,H100,H101)</f>
        <v>0</v>
      </c>
      <c r="I102" s="477"/>
      <c r="J102" s="477"/>
      <c r="K102" s="1699">
        <f>SUM(K84,K92,K100,K101)</f>
        <v>1700</v>
      </c>
      <c r="L102" s="1699">
        <f>SUM(L84,L92,L100,L101)</f>
        <v>1700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1236203</v>
      </c>
      <c r="D114" s="1692">
        <f t="shared" ref="D114:K114" si="13">SUM(D33,D74,D75,D102,D112,D113)</f>
        <v>205433</v>
      </c>
      <c r="E114" s="1692">
        <f t="shared" si="13"/>
        <v>121519</v>
      </c>
      <c r="F114" s="1692">
        <f t="shared" si="13"/>
        <v>306579</v>
      </c>
      <c r="G114" s="1692">
        <f t="shared" si="13"/>
        <v>25827</v>
      </c>
      <c r="H114" s="1692">
        <f>SUM(H33,H74,H75,H102,H112,H113)</f>
        <v>25759</v>
      </c>
      <c r="I114" s="1692">
        <f t="shared" si="13"/>
        <v>0</v>
      </c>
      <c r="J114" s="1692">
        <f t="shared" si="13"/>
        <v>0</v>
      </c>
      <c r="K114" s="1692">
        <f t="shared" si="13"/>
        <v>1921320</v>
      </c>
      <c r="L114" s="1692">
        <f>SUM(L33,L74,L75,L102,L112,L113)</f>
        <v>1933249</v>
      </c>
    </row>
    <row r="115" spans="1:14" ht="13.5" thickTop="1" x14ac:dyDescent="0.2">
      <c r="A115" s="2174" t="s">
        <v>1053</v>
      </c>
      <c r="B115" s="2175"/>
      <c r="C115" s="619"/>
      <c r="D115" s="619"/>
      <c r="E115" s="619"/>
      <c r="F115" s="619"/>
      <c r="G115" s="619"/>
      <c r="H115" s="619"/>
      <c r="I115" s="619"/>
      <c r="J115" s="619"/>
      <c r="K115" s="1706">
        <f>'Revenues 9-14'!C275-'Expenditures 15-22'!K114</f>
        <v>193583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4" t="s">
        <v>1240</v>
      </c>
      <c r="B152" s="2195"/>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4" t="s">
        <v>1053</v>
      </c>
      <c r="B175" s="2175"/>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74" t="s">
        <v>1053</v>
      </c>
      <c r="B211" s="2175"/>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74" t="s">
        <v>1053</v>
      </c>
      <c r="B296" s="2175"/>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7" t="s">
        <v>1053</v>
      </c>
      <c r="B343" s="2188"/>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4" t="s">
        <v>1053</v>
      </c>
      <c r="B368" s="2175"/>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6ce3111e-7420-4802-b50a-75d4e9a0b980"/>
    <ds:schemaRef ds:uri="http://purl.org/dc/dcmitype/"/>
    <ds:schemaRef ds:uri="http://purl.org/dc/elements/1.1/"/>
    <ds:schemaRef ds:uri="http://schemas.microsoft.com/office/2006/documentManagement/types"/>
    <ds:schemaRef ds:uri="http://schemas.microsoft.com/sharepoint/v3"/>
    <ds:schemaRef ds:uri="4d435f69-8686-490b-bd6d-b153bf22ab50"/>
    <ds:schemaRef ds:uri="http://schemas.microsoft.com/office/infopath/2007/PartnerControls"/>
    <ds:schemaRef ds:uri="http://purl.org/dc/terms/"/>
    <ds:schemaRef ds:uri="http://schemas.openxmlformats.org/package/2006/metadata/core-properties"/>
    <ds:schemaRef ds:uri="d21dc803-237d-4c68-8692-8d731fd29118"/>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2018-10-09T18:29:22Z</cp:lastPrinted>
  <dcterms:created xsi:type="dcterms:W3CDTF">2003-10-29T19:06:34Z</dcterms:created>
  <dcterms:modified xsi:type="dcterms:W3CDTF">2018-10-09T21:21:06Z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03ce89f2-9d6a-4811-8b97-1f3a4cf3969c</vt:lpwstr>
  </property>
</Properties>
</file>