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2070" yWindow="13650" windowWidth="28830" windowHeight="6450" tabRatio="85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A2" i="170"/>
  <c r="B2" i="174" l="1"/>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D22" i="37"/>
  <c r="J22" i="37"/>
  <c r="L22" i="37"/>
  <c r="D24" i="37"/>
  <c r="B4270" i="106" s="1"/>
  <c r="D4270" i="106" s="1"/>
  <c r="L5" i="11"/>
  <c r="B2056" i="106" s="1"/>
  <c r="D2056" i="106" s="1"/>
  <c r="D4" i="7"/>
  <c r="B1760" i="106" s="1"/>
  <c r="D1760" i="106" s="1"/>
  <c r="D13" i="7"/>
  <c r="B3726" i="106" s="1"/>
  <c r="D3726" i="106" s="1"/>
  <c r="D9" i="7"/>
  <c r="B1767" i="106" s="1"/>
  <c r="D1767" i="106" s="1"/>
  <c r="F130" i="34"/>
  <c r="F128" i="34"/>
  <c r="B5847" i="106"/>
  <c r="D5847" i="106" s="1"/>
  <c r="K274" i="5"/>
  <c r="D109" i="5"/>
  <c r="B5356" i="106" s="1"/>
  <c r="D5356" i="106" s="1"/>
  <c r="B1746" i="106"/>
  <c r="D1746" i="106" s="1"/>
  <c r="D17" i="7"/>
  <c r="B4104" i="106" s="1"/>
  <c r="D4104" i="106" s="1"/>
  <c r="D12" i="7"/>
  <c r="B1769" i="106" s="1"/>
  <c r="D1769" i="106" s="1"/>
  <c r="D11" i="7"/>
  <c r="B1768" i="106" s="1"/>
  <c r="D1768" i="106" s="1"/>
  <c r="D15" i="7"/>
  <c r="B1772" i="106" s="1"/>
  <c r="D1772" i="106" s="1"/>
  <c r="G30" i="108" l="1"/>
  <c r="E30" i="108"/>
  <c r="F28" i="108"/>
  <c r="F41" i="108" s="1"/>
  <c r="G43" i="108" s="1"/>
  <c r="E28" i="108"/>
  <c r="N22" i="3"/>
  <c r="B283" i="106" s="1"/>
  <c r="D283" i="106" s="1"/>
  <c r="D69" i="36"/>
  <c r="D4" i="4"/>
  <c r="B2564" i="106" s="1"/>
  <c r="D2564" i="106" s="1"/>
  <c r="B7071" i="106"/>
  <c r="D7071" i="106" s="1"/>
  <c r="F66" i="34"/>
  <c r="H109" i="5"/>
  <c r="F111" i="34"/>
  <c r="F131" i="34"/>
  <c r="B7041" i="106"/>
  <c r="D7041" i="106" s="1"/>
  <c r="G109" i="5"/>
  <c r="B3649" i="106"/>
  <c r="D3649" i="106" s="1"/>
  <c r="G367" i="29"/>
  <c r="D7" i="7"/>
  <c r="B1763" i="106" s="1"/>
  <c r="D1763" i="106" s="1"/>
  <c r="C172" i="5"/>
  <c r="B5214" i="106" s="1"/>
  <c r="D5214" i="106" s="1"/>
  <c r="F127" i="34"/>
  <c r="F136" i="34"/>
  <c r="D5" i="7"/>
  <c r="B1761" i="106" s="1"/>
  <c r="D1761" i="106" s="1"/>
  <c r="D11" i="37"/>
  <c r="B6006" i="106"/>
  <c r="D6006" i="106" s="1"/>
  <c r="K173" i="5"/>
  <c r="K6" i="4" s="1"/>
  <c r="B3570" i="106" s="1"/>
  <c r="D3570" i="106" s="1"/>
  <c r="E109" i="5"/>
  <c r="E4" i="4" s="1"/>
  <c r="B2630" i="106" s="1"/>
  <c r="D2630" i="106" s="1"/>
  <c r="L342" i="29"/>
  <c r="H342" i="29"/>
  <c r="B6858" i="106"/>
  <c r="D6858" i="106" s="1"/>
  <c r="F36" i="34"/>
  <c r="C173" i="5"/>
  <c r="B5223" i="106" s="1"/>
  <c r="D5223" i="106" s="1"/>
  <c r="F106" i="34"/>
  <c r="H173" i="5"/>
  <c r="B5752" i="106"/>
  <c r="D5752" i="106" s="1"/>
  <c r="B5770" i="106"/>
  <c r="D5770" i="106" s="1"/>
  <c r="H33" i="118"/>
  <c r="C109" i="5"/>
  <c r="B5121" i="106" s="1"/>
  <c r="D5121" i="106" s="1"/>
  <c r="D31" i="36"/>
  <c r="B6889" i="106"/>
  <c r="D6889" i="106" s="1"/>
  <c r="F45" i="34"/>
  <c r="J41" i="3"/>
  <c r="K350" i="29"/>
  <c r="F21" i="8"/>
  <c r="B1223" i="106"/>
  <c r="D1223" i="106" s="1"/>
  <c r="K24" i="12"/>
  <c r="B3621" i="106"/>
  <c r="D3621" i="106" s="1"/>
  <c r="C367" i="29"/>
  <c r="F172" i="5"/>
  <c r="B5644" i="106" s="1"/>
  <c r="D5644" i="106" s="1"/>
  <c r="L312" i="29"/>
  <c r="D52" i="36"/>
  <c r="K285"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C114" i="29"/>
  <c r="B757" i="106" s="1"/>
  <c r="D757"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J7" i="4"/>
  <c r="B2657" i="106"/>
  <c r="D2657" i="106" s="1"/>
  <c r="D274" i="5"/>
  <c r="B3447" i="106"/>
  <c r="D3447" i="106" s="1"/>
  <c r="B7270" i="106"/>
  <c r="N23" i="3" l="1"/>
  <c r="B284" i="106" s="1"/>
  <c r="D284" i="106" s="1"/>
  <c r="L114" i="29"/>
  <c r="B5527" i="106"/>
  <c r="D5527" i="106" s="1"/>
  <c r="C6" i="4"/>
  <c r="B2553" i="106" s="1"/>
  <c r="D2553" i="106" s="1"/>
  <c r="C4" i="4"/>
  <c r="B2551" i="106" s="1"/>
  <c r="D2551" i="106" s="1"/>
  <c r="L16" i="11"/>
  <c r="B2061" i="106" s="1"/>
  <c r="D2061" i="106" s="1"/>
  <c r="B1879" i="106"/>
  <c r="D1879" i="106" s="1"/>
  <c r="H22" i="37"/>
  <c r="B6025" i="106"/>
  <c r="D6025" i="106" s="1"/>
  <c r="H4" i="4"/>
  <c r="F274" i="5"/>
  <c r="F275" i="5" s="1"/>
  <c r="B3670" i="106"/>
  <c r="D3670" i="106" s="1"/>
  <c r="K352" i="29"/>
  <c r="B6024" i="106"/>
  <c r="D6024" i="106" s="1"/>
  <c r="G4" i="4"/>
  <c r="B2603" i="106" s="1"/>
  <c r="D2603" i="106" s="1"/>
  <c r="D19" i="7"/>
  <c r="B1775" i="106" s="1"/>
  <c r="D1775" i="106" s="1"/>
  <c r="H275" i="5"/>
  <c r="K342" i="29"/>
  <c r="F13" i="34" s="1"/>
  <c r="B7733" i="106"/>
  <c r="D7733" i="106" s="1"/>
  <c r="K26" i="12"/>
  <c r="B7743" i="106" s="1"/>
  <c r="D7743" i="106" s="1"/>
  <c r="B5906" i="106"/>
  <c r="D5906" i="106" s="1"/>
  <c r="H6" i="4"/>
  <c r="B2656" i="106" s="1"/>
  <c r="D2656" i="106" s="1"/>
  <c r="K367" i="29"/>
  <c r="F73" i="34"/>
  <c r="G15" i="4"/>
  <c r="B6032" i="106" s="1"/>
  <c r="D6032" i="106" s="1"/>
  <c r="H367" i="29"/>
  <c r="B3660" i="106" s="1"/>
  <c r="D366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1145" i="106" l="1"/>
  <c r="D1145" i="106" s="1"/>
  <c r="E41" i="108"/>
  <c r="E44" i="108" s="1"/>
  <c r="E45" i="108" s="1"/>
  <c r="B2655" i="106"/>
  <c r="D2655" i="106" s="1"/>
  <c r="H8" i="4"/>
  <c r="K13" i="4"/>
  <c r="B3572" i="106" s="1"/>
  <c r="D3572" i="106" s="1"/>
  <c r="B3672" i="106"/>
  <c r="D3672"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B2658" i="106"/>
  <c r="D2658" i="106" s="1"/>
  <c r="H10" i="4"/>
  <c r="B4127" i="106" s="1"/>
  <c r="D4127"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<sst xmlns="http://schemas.openxmlformats.org/spreadsheetml/2006/main" count="5017" uniqueCount="2096">
  <si>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</si>
  <si>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</si>
  <si>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</si>
  <si>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</si>
  <si>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</si>
  <si>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</si>
  <si>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</si>
  <si>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</si>
  <si>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</si>
  <si>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</si>
  <si>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</si>
  <si>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</si>
  <si>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</si>
  <si>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</si>
  <si>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</si>
  <si>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</si>
  <si>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</si>
  <si>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</si>
  <si>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</si>
  <si>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</si>
  <si>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</si>
  <si>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</si>
  <si>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</si>
  <si>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</si>
  <si>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</si>
  <si>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</si>
  <si>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</si>
  <si>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</si>
  <si>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</si>
  <si>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</si>
  <si>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</si>
  <si>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</si>
  <si>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</si>
  <si>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</si>
  <si>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</si>
  <si>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</si>
  <si>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</si>
  <si>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</si>
  <si>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</si>
  <si>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</si>
  <si>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</si>
  <si>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</si>
  <si>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</si>
  <si>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</si>
  <si>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</si>
  <si>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</si>
  <si>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</si>
  <si>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</si>
  <si>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</si>
  <si>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</si>
  <si>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</si>
  <si>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</si>
  <si>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</si>
  <si>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</si>
  <si>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</si>
  <si>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</si>
  <si>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</si>
  <si>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</si>
  <si>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</si>
  <si>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</si>
  <si>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</si>
  <si>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</si>
  <si>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</si>
  <si>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</si>
  <si>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</si>
  <si>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</si>
  <si>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</si>
  <si>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</si>
  <si>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</si>
  <si>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</si>
  <si>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</si>
  <si>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</si>
  <si>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</si>
  <si>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</si>
  <si>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</si>
  <si>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</si>
  <si>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</si>
  <si>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</si>
  <si>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</si>
  <si>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</si>
  <si>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</si>
  <si>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</si>
  <si>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</si>
  <si>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</si>
  <si>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</si>
  <si>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</si>
  <si>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</si>
  <si>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</si>
  <si>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</si>
  <si>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</si>
  <si>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</si>
  <si>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</si>
  <si>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</si>
  <si>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</si>
  <si>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</si>
  <si>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</si>
  <si>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</si>
  <si>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</si>
  <si>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</si>
  <si>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</si>
  <si>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</si>
  <si>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</si>
  <si>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</si>
  <si>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</si>
  <si>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</si>
  <si>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</si>
  <si>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</si>
  <si>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</si>
  <si>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</si>
  <si>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</si>
  <si>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</si>
  <si>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</si>
  <si>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</si>
  <si>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</si>
  <si>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</si>
  <si>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</si>
  <si>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</si>
  <si>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</si>
  <si>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</si>
  <si>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</si>
  <si>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</si>
  <si>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</si>
  <si>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</si>
  <si>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</si>
  <si>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</si>
  <si>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</si>
  <si>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</si>
  <si>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</si>
  <si>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</si>
  <si>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</si>
  <si>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</si>
  <si>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</si>
  <si>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</si>
  <si>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</si>
  <si>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</si>
  <si>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</si>
  <si>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</si>
  <si>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</si>
  <si>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</si>
  <si>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</si>
  <si>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</si>
  <si>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</si>
  <si>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</si>
  <si>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</si>
  <si>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</si>
  <si>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</si>
  <si>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</si>
  <si>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</si>
  <si>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</si>
  <si>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</si>
  <si>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</si>
  <si>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</si>
  <si>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</si>
  <si>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</si>
  <si>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</si>
  <si>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</si>
  <si>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</si>
  <si>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</si>
  <si>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</si>
  <si>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</si>
  <si>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</si>
  <si>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</si>
  <si>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</si>
  <si>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</si>
  <si>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</si>
  <si>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</si>
  <si>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</si>
  <si>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</si>
  <si>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</si>
  <si>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</si>
  <si>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</si>
  <si>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</si>
  <si>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</si>
  <si>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</si>
  <si>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</si>
  <si>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</si>
  <si>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</si>
  <si>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</si>
  <si>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</si>
  <si>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</si>
  <si>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</si>
  <si>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</si>
  <si>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</si>
  <si>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</si>
  <si>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</si>
  <si>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</si>
  <si>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</si>
  <si>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</si>
  <si>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</si>
  <si>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</si>
  <si>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</si>
  <si>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</si>
  <si>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</si>
  <si>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</si>
  <si>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</si>
  <si>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</si>
  <si>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</si>
  <si>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</si>
  <si>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</si>
  <si>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</si>
  <si>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</si>
  <si>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</si>
  <si>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</si>
  <si>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</si>
  <si>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</si>
  <si>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</si>
  <si>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</si>
  <si>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</si>
  <si>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</si>
  <si>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</si>
  <si>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</si>
  <si>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</si>
  <si>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</si>
  <si>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</si>
  <si>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</si>
  <si>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</si>
  <si>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</si>
  <si>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</si>
  <si>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</si>
  <si>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</si>
  <si>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</si>
  <si>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</si>
  <si>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</si>
  <si>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</si>
  <si>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</si>
  <si>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</si>
  <si>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</si>
  <si>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</si>
  <si>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</si>
  <si>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</si>
  <si>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</si>
  <si>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</si>
  <si>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</si>
  <si>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</si>
  <si>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</si>
  <si>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</si>
  <si>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</si>
  <si>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</si>
  <si>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</si>
  <si>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</si>
  <si>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</si>
  <si>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</si>
  <si>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</si>
  <si>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</si>
  <si>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</si>
  <si>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</si>
  <si>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</si>
  <si>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</si>
  <si>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</si>
  <si>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</si>
  <si>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</si>
  <si>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</si>
  <si>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</si>
  <si>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</si>
  <si>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</si>
  <si>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</si>
  <si>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</si>
  <si>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</si>
  <si>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</si>
  <si>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</si>
  <si>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</si>
  <si>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</si>
  <si>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</si>
  <si>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</si>
  <si>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</si>
  <si>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</si>
  <si>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</si>
  <si>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</si>
  <si>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</si>
  <si>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</si>
  <si>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</si>
  <si>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</si>
  <si>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</si>
  <si>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</si>
  <si>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</si>
  <si>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</si>
  <si>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</si>
  <si>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</si>
  <si>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</si>
  <si>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</si>
  <si>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</si>
  <si>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</si>
  <si>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</si>
  <si>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</si>
  <si>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</si>
  <si>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</si>
  <si>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</si>
  <si>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</si>
  <si>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</si>
  <si>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</si>
  <si>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</si>
  <si>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</si>
  <si>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</si>
  <si>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</si>
  <si>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</si>
  <si>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</si>
  <si>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</si>
  <si>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</si>
  <si>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</si>
  <si>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</si>
  <si>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</si>
  <si>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</si>
  <si>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</si>
  <si>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</si>
  <si>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</si>
  <si>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</si>
  <si>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</si>
  <si>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</si>
  <si>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</si>
  <si>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</si>
  <si>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</si>
  <si>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</si>
  <si>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</si>
  <si>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</si>
  <si>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</si>
  <si>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</si>
  <si>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</si>
  <si>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</si>
  <si>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</si>
  <si>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</si>
  <si>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</si>
  <si>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</si>
  <si>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</si>
  <si>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</si>
  <si>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</si>
  <si>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</si>
  <si>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</si>
  <si>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</si>
  <si>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</si>
  <si>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</si>
  <si>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</si>
  <si>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</si>
  <si>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</si>
  <si>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</si>
  <si>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</si>
  <si>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</si>
  <si>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</si>
  <si>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</si>
  <si>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</si>
  <si>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</si>
  <si>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</si>
  <si>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</si>
  <si>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</si>
  <si>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</si>
  <si>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</si>
  <si>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</si>
  <si>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</si>
  <si>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</si>
  <si>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</si>
  <si>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</si>
  <si>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</si>
  <si>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</si>
  <si>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</si>
  <si>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</si>
  <si>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</si>
  <si>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</si>
  <si>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</si>
  <si>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</si>
  <si>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</si>
  <si>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</si>
  <si>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</si>
  <si>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</si>
  <si>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</si>
  <si>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</si>
  <si>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</si>
  <si>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</si>
  <si>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</si>
  <si>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</si>
  <si>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</si>
  <si>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</si>
  <si>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</si>
  <si>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</si>
  <si>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</si>
  <si>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</si>
  <si>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</si>
  <si>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</si>
  <si>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</si>
  <si>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</si>
  <si>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</si>
  <si>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</si>
  <si>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</si>
  <si>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</si>
  <si>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</si>
  <si>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</si>
  <si>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</si>
  <si>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</si>
  <si>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</si>
  <si>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</si>
  <si>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</si>
  <si>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</si>
  <si>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</si>
  <si>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</si>
  <si>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</si>
  <si>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</si>
  <si>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</si>
  <si>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</si>
  <si>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</si>
  <si>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</si>
  <si>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</si>
  <si>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</si>
  <si>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</si>
  <si>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</si>
  <si>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</si>
  <si>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</si>
  <si>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</si>
  <si>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</si>
  <si>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</si>
  <si>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</si>
  <si>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</si>
  <si>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</si>
  <si>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</si>
  <si>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</si>
  <si>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</si>
  <si>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</si>
  <si>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</si>
  <si>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</si>
  <si>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</si>
  <si>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</si>
  <si>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</si>
  <si>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</si>
  <si>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</si>
  <si>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</si>
  <si>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</si>
  <si>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</si>
  <si>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</si>
  <si>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</si>
  <si>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</si>
  <si>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</si>
  <si>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</si>
  <si>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</si>
  <si>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</si>
  <si>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</si>
  <si>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</si>
  <si>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</si>
  <si>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</si>
  <si>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</si>
  <si>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</si>
  <si>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</si>
  <si>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</si>
  <si>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</si>
  <si>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</si>
  <si>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</si>
  <si>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</si>
  <si>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</si>
  <si>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</si>
  <si>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</si>
  <si>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</si>
  <si>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</si>
  <si>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</si>
  <si>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</si>
  <si>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</si>
  <si>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</si>
  <si>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</si>
  <si>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</si>
  <si>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</si>
  <si>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</si>
  <si>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</si>
  <si>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</si>
  <si>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</si>
  <si>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</si>
  <si>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</si>
  <si>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</si>
  <si>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</si>
  <si>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</si>
  <si>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</si>
  <si>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</si>
  <si>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</si>
  <si>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</si>
  <si>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</si>
  <si>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</si>
  <si>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</si>
  <si>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</si>
  <si>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</si>
  <si>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</si>
  <si>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</si>
  <si>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</si>
  <si>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</si>
  <si>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</si>
  <si>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</si>
  <si>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</si>
  <si>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</si>
  <si>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</si>
  <si>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</si>
  <si>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</si>
  <si>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</si>
  <si>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</si>
  <si>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</si>
  <si>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</si>
  <si>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</si>
  <si>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</si>
  <si>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</si>
  <si>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</si>
  <si>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</si>
  <si>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</si>
  <si>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</si>
  <si>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</si>
  <si>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</si>
  <si>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</si>
  <si>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</si>
  <si>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</si>
  <si>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</si>
  <si>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</si>
  <si>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</si>
  <si>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</si>
  <si>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</si>
  <si>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</si>
  <si>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</si>
  <si>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</si>
  <si>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</si>
  <si>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</si>
  <si>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</si>
  <si>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</si>
  <si>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</si>
  <si>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</si>
  <si>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</si>
  <si>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</si>
  <si>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</si>
  <si>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</si>
  <si>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</si>
  <si>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</si>
  <si>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</si>
  <si>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</si>
  <si>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</si>
  <si>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</si>
  <si>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</si>
  <si>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</si>
  <si>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</si>
  <si>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</si>
  <si>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</si>
  <si>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</si>
  <si>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</si>
  <si>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</si>
  <si>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</si>
  <si>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</si>
  <si>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</si>
  <si>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</si>
  <si>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</si>
  <si>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</si>
  <si>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</si>
  <si>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</si>
  <si>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</si>
  <si>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</si>
  <si>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</si>
  <si>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</si>
  <si>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</si>
  <si>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</si>
  <si>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</si>
  <si>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</si>
  <si>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</si>
  <si>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</si>
  <si>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</si>
  <si>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</si>
  <si>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</si>
  <si>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</si>
  <si>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</si>
  <si>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</si>
  <si>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</si>
  <si>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</si>
  <si>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</si>
  <si>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</si>
  <si>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</si>
  <si>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</si>
  <si>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</si>
  <si>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</si>
  <si>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</si>
  <si>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</si>
  <si>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</si>
  <si>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</si>
  <si>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</si>
  <si>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</si>
  <si>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</si>
  <si>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</si>
  <si>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</si>
  <si>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</si>
  <si>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</si>
  <si>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</si>
  <si>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</si>
  <si>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</si>
  <si>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</si>
  <si>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</si>
  <si>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</si>
  <si>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</si>
  <si>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</si>
  <si>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</si>
  <si>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</si>
  <si>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</si>
  <si>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</si>
  <si>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</si>
  <si>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</si>
  <si>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</si>
  <si>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</si>
  <si>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</si>
  <si>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</si>
  <si>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</si>
  <si>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</si>
  <si>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</si>
  <si>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</si>
  <si>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</si>
  <si>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</si>
  <si>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</si>
  <si>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</si>
  <si>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</si>
  <si>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</si>
  <si>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</si>
  <si>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</si>
  <si>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</si>
  <si>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</si>
  <si>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</si>
  <si>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</si>
  <si>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</si>
  <si>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</si>
  <si>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</si>
  <si>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</si>
  <si>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</si>
  <si>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</si>
  <si>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</si>
  <si>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</si>
  <si>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</si>
  <si>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</si>
  <si>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</si>
  <si>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</si>
  <si>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</si>
  <si>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</si>
  <si>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</si>
  <si>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</si>
  <si>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</si>
  <si>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</si>
  <si>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</si>
  <si>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</si>
  <si>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</si>
  <si>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</si>
  <si>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</si>
  <si>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</si>
  <si>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</si>
  <si>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</si>
  <si>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</si>
  <si>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</si>
  <si>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</si>
  <si>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</si>
  <si>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</si>
  <si>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</si>
  <si>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</si>
  <si>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</si>
  <si>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</si>
  <si>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</si>
  <si>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</si>
  <si>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</si>
  <si>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</si>
  <si>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</si>
  <si>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</si>
  <si>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</si>
  <si>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</si>
  <si>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</si>
  <si>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</si>
  <si>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</si>
  <si>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</si>
  <si>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</si>
  <si>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</si>
  <si>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</si>
  <si>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</si>
  <si>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</si>
  <si>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</si>
  <si>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</si>
  <si>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</si>
  <si>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</si>
  <si>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</si>
  <si>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</si>
  <si>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</si>
  <si>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</si>
  <si>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</si>
  <si>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</si>
  <si>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</si>
  <si>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</si>
  <si>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</si>
  <si>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</si>
  <si>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</si>
  <si>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</si>
  <si>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</si>
  <si>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</si>
  <si>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</si>
  <si>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</si>
  <si>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</si>
  <si>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</si>
  <si>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</si>
  <si>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</si>
  <si>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</si>
  <si>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</si>
  <si>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</si>
  <si>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</si>
  <si>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</si>
  <si>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</si>
  <si>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</si>
  <si>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</si>
  <si>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</si>
  <si>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</si>
  <si>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</si>
  <si>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</si>
  <si>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</si>
  <si>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</si>
  <si>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</si>
  <si>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</si>
  <si>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</si>
  <si>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</si>
  <si>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</si>
  <si>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</si>
  <si>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</si>
  <si>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</si>
  <si>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</si>
  <si>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</si>
  <si>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</si>
  <si>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</si>
  <si>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</si>
  <si>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</si>
  <si>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</si>
  <si>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</si>
  <si>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</si>
  <si>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</si>
  <si>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</si>
  <si>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</si>
  <si>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</si>
  <si>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</si>
  <si>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</si>
  <si>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</si>
  <si>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</si>
  <si>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</si>
  <si>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</si>
  <si>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</si>
  <si>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</si>
  <si>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</si>
  <si>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</si>
  <si>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</si>
  <si>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</si>
  <si>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</si>
  <si>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</si>
  <si>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</si>
  <si>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</si>
  <si>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</si>
  <si>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</si>
  <si>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</si>
  <si>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</si>
  <si>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</si>
  <si>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</si>
  <si>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</si>
  <si>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</si>
  <si>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</si>
  <si>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</si>
  <si>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</si>
  <si>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</si>
  <si>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</si>
  <si>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</si>
  <si>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</si>
  <si>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</si>
  <si>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</si>
  <si>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</si>
  <si>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</si>
  <si>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</si>
  <si>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</si>
  <si>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</si>
  <si>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</si>
  <si>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</si>
  <si>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</si>
  <si>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</si>
  <si>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</si>
  <si>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</si>
  <si>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</si>
  <si>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</si>
  <si>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</si>
  <si>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</si>
  <si>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</si>
  <si>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</si>
  <si>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</si>
  <si>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</si>
  <si>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</si>
  <si>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</si>
  <si>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</si>
  <si>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</si>
  <si>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</si>
  <si>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</si>
  <si>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</si>
  <si>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</si>
  <si>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</si>
  <si>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</si>
  <si>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</si>
  <si>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</si>
  <si>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</si>
  <si>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</si>
  <si>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</si>
  <si>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</si>
  <si>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</si>
  <si>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</si>
  <si>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</si>
  <si>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</si>
  <si>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</si>
  <si>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</si>
  <si>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</si>
  <si>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</si>
  <si>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</si>
  <si>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</si>
  <si>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</si>
  <si>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</si>
  <si>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</si>
  <si>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</si>
  <si>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</si>
  <si>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</si>
  <si>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</si>
  <si>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</si>
  <si>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</si>
  <si>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</si>
  <si>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</si>
  <si>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</si>
  <si>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</si>
  <si>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</si>
  <si>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</si>
  <si>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</si>
  <si>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</si>
  <si>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</si>
  <si>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</si>
  <si>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</si>
  <si>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</si>
  <si>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</si>
  <si>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</si>
  <si>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</si>
  <si>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</si>
  <si>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</si>
  <si>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</si>
  <si>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</si>
  <si>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</si>
  <si>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</si>
  <si>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</si>
  <si>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</si>
  <si>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</si>
  <si>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</si>
  <si>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</si>
  <si>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</si>
  <si>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</si>
  <si>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</si>
  <si>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</si>
  <si>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</si>
  <si>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</si>
  <si>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</si>
  <si>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</si>
  <si>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</si>
  <si>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</si>
  <si>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</si>
  <si>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</si>
  <si>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</si>
  <si>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</si>
  <si>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</si>
  <si>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</si>
  <si>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</si>
  <si>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</si>
  <si>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</si>
  <si>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</si>
  <si>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</si>
  <si>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</si>
  <si>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</si>
  <si>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</si>
  <si>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</si>
  <si>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</si>
  <si>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</si>
  <si>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</si>
  <si>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</si>
  <si>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</si>
  <si>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</si>
  <si>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</si>
  <si>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</si>
  <si>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</si>
  <si>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</si>
  <si>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</si>
  <si>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</si>
  <si>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</si>
  <si>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</si>
  <si>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</si>
  <si>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</si>
  <si>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</si>
  <si>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</si>
  <si>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</si>
  <si>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</si>
  <si>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</si>
  <si>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</si>
  <si>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</si>
  <si>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</si>
  <si>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</si>
  <si>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</si>
  <si>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</si>
  <si>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</si>
  <si>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</si>
  <si>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</si>
  <si>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</si>
  <si>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</si>
  <si>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</si>
  <si>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</si>
  <si>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</si>
  <si>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</si>
  <si>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</si>
  <si>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</si>
  <si>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</si>
  <si>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</si>
  <si>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</si>
  <si>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</si>
  <si>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</si>
  <si>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</si>
  <si>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</si>
  <si>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</si>
  <si>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</si>
  <si>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</si>
  <si>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</si>
  <si>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</si>
  <si>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</si>
  <si>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</si>
  <si>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</si>
  <si>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</si>
  <si>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</si>
  <si>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</si>
  <si>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</si>
  <si>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</si>
  <si>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</si>
  <si>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</si>
  <si>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</si>
  <si>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</si>
  <si>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</si>
  <si>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</si>
  <si>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</si>
  <si>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</si>
  <si>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</si>
  <si>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</si>
  <si>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</si>
  <si>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</si>
  <si>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</si>
  <si>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</si>
  <si>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</si>
  <si>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</si>
  <si>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</si>
  <si>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</si>
  <si>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</si>
  <si>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</si>
  <si>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</si>
  <si>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</si>
  <si>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</si>
  <si>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</si>
  <si>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</si>
  <si>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</si>
  <si>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</si>
  <si>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</si>
  <si>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</si>
  <si>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</si>
  <si>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</si>
  <si>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</si>
  <si>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</si>
  <si>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</si>
  <si>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</si>
  <si>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</si>
  <si>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</si>
  <si>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</si>
  <si>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</si>
  <si>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</si>
  <si>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</si>
  <si>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</si>
  <si>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</si>
  <si>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</si>
  <si>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</si>
  <si>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</si>
  <si>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</si>
  <si>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</si>
  <si>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</si>
  <si>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</si>
  <si>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</si>
  <si>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</si>
  <si>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</si>
  <si>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</si>
  <si>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</si>
  <si>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</si>
  <si>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</si>
  <si>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</si>
  <si>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</si>
  <si>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</si>
  <si>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</si>
  <si>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</si>
  <si>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</si>
  <si>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</si>
  <si>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</si>
  <si>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</si>
  <si>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</si>
  <si>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</si>
  <si>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</si>
  <si>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</si>
  <si>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</si>
  <si>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</si>
  <si>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</si>
  <si>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</si>
  <si>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</si>
  <si>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</si>
  <si>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</si>
  <si>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</si>
  <si>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</si>
  <si>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</si>
  <si>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</si>
  <si>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</si>
  <si>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</si>
  <si>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</si>
  <si>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</si>
  <si>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</si>
  <si>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</si>
  <si>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</si>
  <si>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</si>
  <si>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</si>
  <si>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</si>
  <si>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</si>
  <si>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</si>
  <si>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</si>
  <si>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</si>
  <si>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</si>
  <si>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</si>
  <si>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</si>
  <si>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</si>
  <si>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</si>
  <si>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</si>
  <si>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</si>
  <si>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</si>
  <si>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</si>
  <si>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</si>
  <si>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</si>
  <si>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</si>
  <si>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</si>
  <si>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</si>
  <si>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</si>
  <si>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</si>
  <si>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</si>
  <si>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</si>
  <si>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</si>
  <si>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</si>
  <si>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</si>
  <si>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</si>
  <si>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</si>
  <si>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</si>
  <si>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</si>
  <si>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</si>
  <si>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</si>
  <si>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</si>
  <si>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</si>
  <si>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</si>
  <si>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</si>
  <si>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</si>
  <si>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</si>
  <si>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</si>
  <si>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</si>
  <si>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</si>
  <si>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</si>
  <si>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</si>
  <si>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</si>
  <si>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</si>
  <si>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</si>
  <si>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</si>
  <si>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</si>
  <si>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</si>
  <si>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</si>
  <si>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</si>
  <si>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</si>
  <si>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</si>
  <si>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</si>
  <si>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</si>
  <si>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</si>
  <si>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</si>
  <si>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</si>
  <si>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</si>
  <si>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</si>
  <si>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</si>
  <si>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</si>
  <si>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</si>
  <si>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</si>
  <si>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</si>
  <si>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</si>
  <si>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</si>
  <si>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</si>
  <si>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</si>
  <si>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</si>
  <si>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</si>
  <si>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</si>
  <si>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</si>
  <si>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</si>
  <si>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</si>
  <si>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</si>
  <si>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</si>
  <si>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</si>
  <si>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</si>
  <si>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</si>
  <si>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</si>
  <si>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</si>
  <si>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</si>
  <si>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</si>
  <si>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</si>
  <si>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</si>
  <si>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</si>
  <si>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</si>
  <si>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</si>
  <si>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</si>
  <si>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</si>
  <si>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</si>
  <si>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</si>
  <si>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</si>
  <si>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</si>
  <si>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</si>
  <si>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</si>
  <si>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</si>
  <si>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</si>
  <si>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</si>
  <si>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</si>
  <si>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</si>
  <si>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</si>
  <si>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</si>
  <si>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</si>
  <si>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</si>
  <si>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</si>
  <si>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</si>
  <si>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</si>
  <si>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</si>
  <si>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</si>
  <si>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</si>
  <si>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</si>
  <si>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</si>
  <si>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</si>
  <si>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</si>
  <si>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</si>
  <si>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</si>
  <si>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</si>
  <si>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</si>
  <si>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</si>
  <si>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</si>
  <si>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</si>
  <si>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</si>
  <si>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</si>
  <si>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</si>
  <si>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</si>
  <si>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</si>
  <si>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</si>
  <si>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</si>
  <si>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</si>
  <si>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</si>
  <si>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</si>
  <si>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</si>
  <si>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</si>
  <si>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</si>
  <si>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</si>
  <si>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</si>
  <si>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</si>
  <si>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</si>
  <si>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</si>
  <si>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</si>
  <si>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</si>
  <si>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</si>
  <si>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</si>
  <si>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</si>
  <si>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</si>
  <si>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</si>
  <si>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</si>
  <si>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</si>
  <si>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</si>
  <si>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</si>
  <si>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</si>
  <si>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</si>
  <si>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</si>
  <si>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</si>
  <si>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</si>
  <si>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</si>
  <si>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</si>
  <si>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</si>
  <si>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</si>
  <si>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</si>
  <si>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</si>
  <si>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</si>
  <si>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</si>
  <si>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</si>
  <si>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</si>
  <si>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</si>
  <si>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</si>
  <si>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</si>
  <si>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</si>
  <si>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</si>
  <si>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</si>
  <si>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</si>
  <si>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</si>
  <si>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</si>
  <si>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</si>
  <si>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</si>
  <si>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</si>
  <si>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</si>
  <si>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</si>
  <si>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</si>
  <si>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</si>
  <si>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</si>
  <si>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</si>
  <si>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</si>
  <si>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</si>
  <si>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</si>
  <si>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</si>
  <si>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</si>
  <si>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</si>
  <si>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</si>
  <si>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</si>
  <si>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</si>
  <si>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</si>
  <si>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</si>
  <si>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</si>
  <si>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</si>
  <si>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</si>
  <si>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</si>
  <si>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</si>
  <si>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</si>
  <si>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</si>
  <si>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</si>
  <si>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</si>
  <si>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</si>
  <si>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</si>
  <si>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</si>
  <si>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</si>
  <si>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</si>
  <si>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</si>
  <si>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</si>
  <si>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</si>
  <si>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</si>
  <si>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</si>
  <si>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</si>
  <si>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</si>
  <si>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</si>
  <si>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</si>
  <si>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</si>
  <si>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</si>
  <si>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</si>
  <si>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</si>
  <si>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</si>
  <si>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</si>
  <si>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</si>
  <si>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</si>
  <si>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</si>
  <si>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</si>
  <si>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</si>
  <si>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</si>
  <si>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</si>
  <si>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</si>
  <si>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</si>
  <si>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</si>
  <si>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</si>
  <si>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</si>
  <si>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</si>
  <si>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</si>
  <si>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</si>
  <si>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</si>
  <si>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</si>
  <si>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</si>
  <si>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</si>
  <si>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</si>
  <si>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</si>
  <si>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</si>
  <si>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</si>
  <si>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</si>
  <si>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</si>
  <si>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</si>
  <si>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</si>
  <si>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</si>
  <si>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</si>
  <si>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</si>
  <si>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</si>
  <si>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</si>
  <si>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</si>
  <si>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</si>
  <si>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</si>
  <si>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</si>
  <si>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</si>
  <si>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</si>
  <si>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</si>
  <si>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</si>
  <si>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</si>
  <si>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</si>
  <si>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</si>
  <si>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</si>
  <si>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</si>
  <si>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</si>
  <si>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</si>
  <si>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</si>
  <si>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</si>
  <si>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</si>
  <si>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</si>
  <si>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</si>
  <si>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</si>
  <si>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</si>
  <si>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</si>
  <si>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</si>
  <si>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</si>
  <si>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</si>
  <si>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</si>
  <si>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</si>
  <si>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</si>
  <si>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</si>
  <si>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</si>
  <si>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</si>
  <si>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</si>
  <si>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</si>
  <si>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</si>
  <si>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</si>
  <si>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</si>
  <si>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</si>
  <si>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</si>
  <si>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</si>
  <si>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</si>
  <si>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</si>
  <si>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</si>
  <si>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</si>
  <si>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</si>
  <si>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</si>
  <si>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</si>
  <si>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</si>
  <si>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</si>
  <si>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</si>
  <si>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</si>
  <si>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</si>
  <si>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</si>
  <si>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</si>
  <si>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</si>
  <si>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</si>
  <si>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</si>
  <si>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</si>
  <si>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</si>
  <si>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</si>
  <si>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</si>
  <si>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</si>
  <si>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</si>
  <si>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</si>
  <si>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</si>
  <si>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</si>
  <si>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</si>
  <si>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</si>
  <si>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</si>
  <si>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</si>
  <si>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</si>
  <si>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</si>
  <si>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</si>
  <si>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</si>
  <si>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</si>
  <si>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</si>
  <si>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</si>
  <si>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</si>
  <si>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</si>
  <si>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</si>
  <si>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</si>
  <si>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</si>
  <si>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</si>
  <si>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</si>
  <si>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</si>
  <si>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</si>
  <si>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</si>
  <si>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</si>
  <si>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</si>
  <si>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</si>
  <si>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</si>
  <si>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</si>
  <si>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</si>
  <si>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</si>
  <si>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</si>
  <si>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</si>
  <si>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</si>
  <si>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</si>
  <si>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</si>
  <si>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</si>
  <si>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</si>
  <si>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</si>
  <si>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</si>
  <si>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</si>
  <si>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</si>
  <si>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</si>
  <si>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</si>
  <si>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</si>
  <si>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</si>
  <si>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</si>
  <si>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</si>
  <si>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</si>
  <si>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</si>
  <si>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</si>
  <si>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</si>
  <si>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</si>
  <si>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</si>
  <si>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</si>
  <si>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</si>
  <si>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</si>
  <si>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</si>
  <si>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</si>
  <si>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</si>
  <si>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</si>
  <si>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</si>
  <si>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</si>
  <si>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</si>
  <si>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</si>
  <si>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</si>
  <si>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</si>
  <si>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</si>
  <si>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</si>
  <si>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</si>
  <si>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</si>
  <si>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</si>
  <si>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</si>
  <si>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</si>
  <si>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</si>
  <si>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</si>
  <si>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</si>
  <si>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</si>
  <si>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</si>
  <si>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</si>
  <si>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</si>
  <si>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</si>
  <si>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</si>
  <si>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</si>
  <si>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</si>
  <si>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</si>
  <si>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</si>
  <si>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</si>
  <si>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</si>
  <si>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</si>
  <si>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</si>
  <si>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</si>
  <si>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</si>
  <si>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</si>
  <si>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</si>
  <si>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</si>
  <si>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</si>
  <si>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</si>
  <si>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</si>
  <si>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</si>
  <si>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</si>
  <si>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</si>
  <si>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</si>
  <si>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</si>
  <si>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</si>
  <si>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</si>
  <si>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</si>
  <si>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</si>
  <si>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</si>
  <si>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</si>
  <si>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</si>
  <si>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</si>
  <si>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</si>
  <si>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</si>
  <si>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</si>
  <si>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</si>
  <si>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</si>
  <si>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</si>
  <si>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</si>
  <si>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</si>
  <si>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</si>
  <si>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</si>
  <si>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</si>
  <si>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</si>
  <si>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</si>
  <si>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</si>
  <si>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</si>
  <si>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</si>
  <si>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</si>
  <si>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</si>
  <si>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</si>
  <si>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</si>
  <si>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</si>
  <si>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</si>
  <si>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</si>
  <si>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</si>
  <si>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</si>
  <si>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</si>
  <si>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</si>
  <si>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</si>
  <si>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</si>
  <si>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</si>
  <si>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</si>
  <si>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</si>
  <si>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</si>
  <si>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</si>
  <si>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</si>
  <si>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</si>
  <si>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</si>
  <si>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</si>
  <si>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</si>
  <si>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</si>
  <si>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</si>
  <si>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</si>
  <si>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</si>
  <si>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</si>
  <si>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</si>
  <si>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</si>
  <si>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</si>
  <si>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</si>
  <si>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</si>
  <si>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</si>
  <si>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</si>
  <si>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</si>
  <si>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</si>
  <si>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</si>
  <si>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</si>
  <si>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</si>
  <si>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</si>
  <si>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</si>
  <si>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</si>
  <si>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</si>
  <si>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</si>
  <si>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</si>
  <si>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</si>
  <si>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</si>
  <si>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</si>
  <si>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</si>
  <si>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</si>
  <si>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</si>
  <si>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</si>
  <si>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</si>
  <si>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</si>
  <si>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</si>
  <si>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</si>
  <si>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</si>
  <si>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</si>
  <si>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</si>
  <si>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</si>
  <si>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</si>
  <si>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</si>
  <si>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</si>
  <si>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</si>
  <si>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</si>
  <si>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</si>
  <si>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</si>
  <si>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</si>
  <si>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</si>
  <si>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</si>
  <si>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</si>
  <si>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</si>
  <si>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</si>
  <si>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</si>
  <si>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</si>
  <si>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</si>
  <si>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</si>
  <si>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</si>
  <si>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</si>
  <si>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</si>
  <si>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</si>
  <si>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</si>
  <si>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</si>
  <si>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</si>
  <si>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</si>
  <si>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</si>
  <si>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</si>
  <si>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</si>
  <si>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</si>
  <si>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</si>
  <si>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</si>
  <si>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</si>
  <si>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</si>
  <si>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</si>
  <si>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</si>
  <si>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</si>
  <si>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</si>
  <si>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</si>
  <si>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</si>
  <si>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</si>
  <si>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</si>
  <si>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</si>
  <si>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</si>
  <si>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</si>
  <si>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</si>
  <si>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</si>
  <si>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</si>
  <si>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</si>
  <si>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</si>
  <si>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</si>
  <si>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</si>
  <si>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</si>
  <si>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</si>
  <si>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</si>
  <si>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</si>
  <si>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</si>
  <si>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</si>
  <si>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</si>
  <si>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</si>
  <si>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</si>
  <si>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</si>
  <si>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</si>
  <si>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</si>
  <si>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</si>
  <si>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</si>
  <si>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</si>
  <si>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</si>
  <si>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</si>
  <si>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</si>
  <si>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</si>
  <si>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</si>
  <si>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</si>
  <si>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</si>
  <si>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</si>
  <si>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</si>
  <si>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</si>
  <si>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</si>
  <si>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</si>
  <si>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</si>
  <si>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</si>
  <si>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</si>
  <si>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</si>
  <si>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</si>
  <si>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</si>
  <si>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</si>
  <si>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</si>
  <si>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</si>
  <si>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</si>
  <si>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</si>
  <si>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</si>
  <si>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</si>
  <si>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</si>
  <si>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</si>
  <si>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</si>
  <si>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</si>
  <si>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</si>
  <si>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</si>
  <si>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</si>
  <si>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</si>
  <si>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</si>
  <si>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</si>
  <si>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</si>
  <si>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</si>
  <si>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</si>
  <si>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</si>
  <si>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</si>
  <si>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</si>
  <si>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</si>
  <si>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</si>
  <si>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</si>
  <si>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</si>
  <si>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</si>
  <si>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</si>
  <si>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</si>
  <si>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</si>
  <si>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</si>
  <si>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</si>
  <si>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</si>
  <si>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</si>
  <si>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</si>
  <si>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</si>
  <si>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</si>
  <si>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</si>
  <si>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</si>
  <si>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</si>
  <si>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</si>
  <si>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</si>
  <si>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</si>
  <si>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</si>
  <si>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</si>
  <si>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</si>
  <si>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</si>
  <si>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</si>
  <si>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</si>
  <si>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</si>
  <si>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</si>
  <si>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</si>
  <si>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</si>
  <si>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</si>
  <si>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</si>
  <si>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</si>
  <si>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</si>
  <si>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</si>
  <si>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</si>
  <si>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</si>
  <si>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</si>
  <si>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</si>
  <si>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</si>
  <si>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</si>
  <si>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</si>
  <si>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</si>
  <si>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</si>
  <si>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</si>
  <si>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</si>
  <si>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</si>
  <si>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</si>
  <si>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</si>
  <si>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</si>
  <si>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</si>
  <si>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</si>
  <si>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</si>
  <si>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</si>
  <si>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</si>
  <si>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</si>
  <si>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</si>
  <si>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</si>
  <si>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</si>
  <si>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</si>
  <si>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</si>
  <si>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</si>
  <si>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</si>
  <si>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</si>
  <si>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</si>
  <si>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</si>
  <si>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</si>
  <si>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</si>
  <si>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</si>
  <si>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</si>
  <si>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</si>
  <si>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</si>
  <si>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</si>
  <si>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</si>
  <si>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</si>
  <si>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</si>
  <si>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</si>
  <si>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</si>
  <si>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</si>
  <si>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</si>
  <si>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</si>
  <si>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</si>
  <si>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</si>
  <si>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</si>
  <si>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</si>
  <si>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</si>
  <si>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</si>
  <si>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</si>
  <si>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</si>
  <si>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</si>
  <si>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</si>
  <si>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</si>
  <si>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</si>
  <si>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</si>
  <si>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</si>
  <si>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</si>
  <si>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</si>
  <si>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</si>
  <si>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</si>
  <si>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</si>
  <si>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</si>
  <si>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</si>
  <si>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</si>
  <si>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</si>
  <si>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</si>
  <si>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</si>
  <si>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</si>
  <si>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</si>
  <si>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</si>
  <si>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</si>
  <si>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</si>
  <si>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</si>
  <si>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</si>
  <si>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</si>
  <si>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</si>
  <si>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</si>
  <si>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</si>
  <si>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</si>
  <si>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</si>
  <si>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</si>
  <si>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</si>
  <si>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</si>
  <si>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</si>
  <si>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</si>
  <si>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</si>
  <si>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</si>
  <si>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</si>
  <si>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</si>
  <si>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</si>
  <si>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</si>
  <si>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</si>
  <si>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</si>
  <si>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</si>
  <si>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</si>
  <si>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</si>
  <si>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</si>
  <si>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</si>
  <si>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</si>
  <si>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</si>
  <si>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</si>
  <si>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</si>
  <si>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</si>
  <si>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</si>
  <si>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</si>
  <si>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</si>
  <si>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</si>
  <si>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</si>
  <si>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</si>
  <si>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</si>
  <si>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</si>
  <si>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</si>
  <si>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</si>
  <si>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</si>
  <si>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</si>
  <si>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</si>
  <si>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</si>
  <si>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</si>
  <si>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</si>
  <si>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</si>
  <si>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</si>
  <si>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</si>
  <si>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</si>
  <si>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</si>
  <si>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</si>
  <si>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</si>
  <si>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</si>
  <si>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</si>
  <si>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</si>
  <si>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</si>
  <si>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</si>
  <si>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</si>
  <si>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</si>
  <si>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</si>
  <si>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</si>
  <si>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</si>
  <si>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</si>
  <si>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</si>
  <si>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</si>
  <si>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</si>
  <si>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</si>
  <si>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</si>
  <si>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</si>
  <si>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</si>
  <si>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</si>
  <si>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</si>
  <si>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</si>
  <si>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</si>
  <si>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</si>
  <si>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</si>
  <si>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</si>
  <si>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</si>
  <si>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</si>
  <si>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</si>
  <si>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</si>
  <si>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</si>
  <si>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</si>
  <si>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</si>
  <si>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</si>
  <si>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</si>
  <si>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</si>
  <si>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</si>
  <si>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</si>
  <si>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</si>
  <si>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</si>
  <si>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</si>
  <si>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</si>
  <si>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</si>
  <si>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</si>
  <si>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</si>
  <si>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</si>
  <si>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</si>
  <si>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</si>
  <si>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</si>
  <si>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</si>
  <si>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</si>
  <si>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</si>
  <si>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</si>
  <si>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</si>
  <si>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</si>
  <si>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</si>
  <si>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</si>
  <si>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</si>
  <si>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</si>
  <si>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</si>
  <si>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</si>
  <si>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</si>
  <si>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</si>
  <si>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</si>
  <si>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</si>
  <si>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</si>
  <si>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</si>
  <si>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</si>
  <si>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</si>
  <si>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</si>
  <si>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</si>
  <si>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</si>
  <si>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</si>
  <si>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</si>
  <si>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</si>
  <si>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</si>
  <si>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</si>
  <si>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</si>
  <si>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</si>
  <si>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</si>
  <si>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</si>
  <si>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</si>
  <si>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</si>
  <si>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</si>
  <si>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</si>
  <si>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</si>
  <si>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</si>
  <si>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</si>
  <si>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</si>
  <si>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</si>
  <si>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</si>
  <si>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</si>
  <si>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</si>
  <si>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</si>
  <si>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</si>
  <si>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</si>
  <si>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</si>
  <si>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</si>
  <si>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</si>
  <si>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</si>
  <si>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</si>
  <si>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</si>
  <si>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</si>
  <si>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</si>
  <si>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</si>
  <si>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</si>
  <si>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</si>
  <si>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</si>
  <si>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</si>
  <si>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</si>
  <si>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</si>
  <si>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</si>
  <si>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</si>
  <si>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</si>
  <si>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</si>
  <si>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</si>
  <si>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</si>
  <si>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</si>
  <si>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</si>
  <si>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</si>
  <si>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</si>
  <si>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</si>
  <si>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</si>
  <si>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</si>
  <si>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</si>
  <si>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</si>
  <si>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</si>
  <si>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</si>
  <si>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</si>
  <si>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</si>
  <si>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</si>
  <si>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</si>
  <si>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</si>
  <si>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</si>
  <si>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</si>
  <si>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</si>
  <si>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</si>
  <si>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</si>
  <si>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</si>
  <si>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</si>
  <si>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</si>
  <si>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</si>
  <si>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</si>
  <si>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</si>
  <si>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</si>
  <si>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</si>
  <si>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</si>
  <si>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</si>
  <si>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</si>
  <si>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</si>
  <si>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</si>
  <si>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</si>
  <si>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</si>
  <si>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</si>
  <si>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</si>
  <si>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</si>
  <si>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</si>
  <si>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</si>
  <si>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</si>
  <si>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</si>
  <si>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</si>
  <si>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</si>
  <si>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</si>
  <si>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</si>
  <si>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</si>
  <si>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</si>
  <si>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</si>
  <si>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</si>
  <si>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</si>
  <si>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</si>
  <si>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</si>
  <si>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</si>
  <si>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</si>
  <si>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</si>
  <si>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</si>
  <si>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</si>
  <si>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</si>
  <si>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</si>
  <si>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</si>
  <si>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</si>
  <si>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</si>
  <si>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</si>
  <si>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</si>
  <si>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</si>
  <si>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</si>
  <si>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</si>
  <si>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</si>
  <si>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</si>
  <si>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</si>
  <si>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</si>
  <si>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</si>
  <si>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</si>
  <si>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</si>
  <si>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</si>
  <si>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</si>
  <si>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</si>
  <si>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</si>
  <si>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</si>
  <si>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</si>
  <si>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</si>
  <si>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</si>
  <si>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</si>
  <si>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</si>
  <si>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</si>
  <si>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</si>
  <si>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</si>
  <si>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</si>
  <si>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</si>
  <si>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</si>
  <si>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</si>
  <si>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</si>
  <si>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</si>
  <si>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</si>
  <si>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</si>
  <si>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</si>
  <si>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</si>
  <si>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</si>
  <si>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</si>
  <si>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</si>
  <si>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</si>
  <si>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</si>
  <si>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</si>
  <si>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</si>
  <si>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</si>
  <si>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</si>
  <si>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</si>
  <si>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</si>
  <si>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</si>
  <si>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</si>
  <si>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</si>
  <si>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</si>
  <si>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</si>
  <si>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</si>
  <si>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</si>
  <si>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</si>
  <si>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</si>
  <si>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</si>
  <si>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</si>
  <si>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</si>
  <si>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</si>
  <si>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</si>
  <si>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</si>
  <si>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</si>
  <si>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</si>
  <si>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</si>
  <si>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</si>
  <si>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</si>
  <si>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</si>
  <si>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</si>
  <si>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</si>
  <si>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</si>
  <si>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</si>
  <si>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</si>
  <si>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</si>
  <si>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</si>
  <si>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</si>
  <si>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</si>
  <si>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</si>
  <si>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</si>
  <si>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</si>
  <si>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</si>
  <si>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</si>
  <si>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</si>
  <si>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</si>
  <si>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</si>
  <si>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</si>
  <si>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</si>
  <si>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</si>
  <si>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</si>
  <si>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</si>
  <si>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</si>
  <si>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</si>
  <si>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</si>
  <si>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</si>
  <si>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</si>
  <si>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</si>
  <si>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</si>
  <si>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</si>
  <si>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</si>
  <si>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</si>
  <si>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</si>
  <si>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</si>
  <si>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</si>
  <si>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</si>
  <si>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</si>
  <si>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</si>
  <si>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</si>
  <si>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</si>
  <si>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</si>
  <si>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</si>
  <si>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Refunding Debt Certificates, Series 2013</t>
  </si>
  <si>
    <t>X</t>
  </si>
  <si>
    <t>Sikich LLP</t>
  </si>
  <si>
    <t>Brian D. LeFevre, Partner</t>
  </si>
  <si>
    <t>1415 W. Diehl Rd, Suite 400</t>
  </si>
  <si>
    <t>Naperville</t>
  </si>
  <si>
    <t xml:space="preserve">IL </t>
  </si>
  <si>
    <t>630-566-8400</t>
  </si>
  <si>
    <t>630-566-8401</t>
  </si>
  <si>
    <t>066-003284</t>
  </si>
  <si>
    <t>brian.lefevre@sikich.com</t>
  </si>
  <si>
    <t>Dekalb</t>
  </si>
  <si>
    <t>Kishwaukee Education Consortium</t>
  </si>
  <si>
    <t>21255 Malta Road</t>
  </si>
  <si>
    <t>Malta</t>
  </si>
  <si>
    <t>None</t>
  </si>
  <si>
    <t>Refunding Debt Certificates</t>
  </si>
  <si>
    <t>Per Revenues 9-14, account 4799, CTE - other: Perkins Grant, National School Lunch Program, and School Breakfast Program.</t>
  </si>
  <si>
    <t>Per Revenues 9-14, account 3999, other restricted revenue from state sources: RSSP Grant, RSSCEP Grant, and State Free Lunch &amp; Breakfast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</si>
</sst>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6B2A1F5-CE33-40E5-B8BA-A6C97B6380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c r="C5" s="26" t="s">
        <v>966</v>
      </c>
      <c r="D5" s="84"/>
      <c r="E5" s="84"/>
      <c r="H5" s="38"/>
      <c r="I5" s="2045" t="s">
        <v>701</v>
      </c>
      <c r="J5" s="1990"/>
      <c r="K5" s="1990"/>
      <c r="L5" s="1990"/>
      <c r="M5" s="1990"/>
      <c r="N5" s="1990"/>
      <c r="O5" s="1990"/>
      <c r="P5" s="1990"/>
      <c r="Q5" s="1990"/>
      <c r="R5" s="1990"/>
      <c r="S5" s="1990"/>
    </row>
    <row r="6" spans="1:28" ht="14.1" customHeight="1" x14ac:dyDescent="0.2">
      <c r="B6" s="104" t="s">
        <v>2078</v>
      </c>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t="s">
        <v>2078</v>
      </c>
      <c r="P12" s="100" t="s">
        <v>211</v>
      </c>
      <c r="Q12" s="74"/>
      <c r="R12" s="30"/>
      <c r="S12" s="30"/>
      <c r="T12" s="85" t="s">
        <v>283</v>
      </c>
      <c r="U12" s="51"/>
      <c r="V12" s="51"/>
      <c r="W12" s="51"/>
      <c r="X12" s="51"/>
      <c r="Y12" s="45"/>
      <c r="Z12" s="45"/>
      <c r="AA12" s="46"/>
    </row>
    <row r="13" spans="1:28" ht="13.5" customHeight="1" x14ac:dyDescent="0.2">
      <c r="A13" s="2006">
        <v>16000000046</v>
      </c>
      <c r="B13" s="2007"/>
      <c r="C13" s="2007"/>
      <c r="D13" s="2007"/>
      <c r="E13" s="2007"/>
      <c r="F13" s="2007"/>
      <c r="G13" s="2007"/>
      <c r="H13" s="2008"/>
      <c r="I13" s="31"/>
      <c r="J13" s="30"/>
      <c r="K13" s="28"/>
      <c r="L13" s="30"/>
      <c r="M13" s="30"/>
      <c r="N13" s="30"/>
      <c r="O13" s="30"/>
      <c r="P13" s="30"/>
      <c r="Q13" s="30"/>
      <c r="R13" s="30"/>
      <c r="S13" s="30"/>
      <c r="T13" s="2011" t="s">
        <v>2079</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2088</v>
      </c>
      <c r="B15" s="2009"/>
      <c r="C15" s="2009"/>
      <c r="D15" s="2009"/>
      <c r="E15" s="2009"/>
      <c r="F15" s="2009"/>
      <c r="G15" s="2009"/>
      <c r="H15" s="2010"/>
      <c r="T15" s="1972" t="s">
        <v>2080</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2089</v>
      </c>
      <c r="B17" s="2034"/>
      <c r="C17" s="2034"/>
      <c r="D17" s="2034"/>
      <c r="E17" s="2034"/>
      <c r="F17" s="2034"/>
      <c r="G17" s="2034"/>
      <c r="H17" s="2035"/>
      <c r="T17" s="2021" t="s">
        <v>2081</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2090</v>
      </c>
      <c r="B19" s="2005"/>
      <c r="C19" s="2005"/>
      <c r="D19" s="2005"/>
      <c r="E19" s="2005"/>
      <c r="F19" s="2005"/>
      <c r="G19" s="2005"/>
      <c r="H19" s="2003"/>
      <c r="I19" s="30"/>
      <c r="J19" s="99"/>
      <c r="K19" s="40"/>
      <c r="L19" s="38"/>
      <c r="M19" s="112" t="s">
        <v>333</v>
      </c>
      <c r="P19" s="27"/>
      <c r="Q19" s="27"/>
      <c r="R19" s="27"/>
      <c r="S19" s="31"/>
      <c r="T19" s="2004" t="s">
        <v>2082</v>
      </c>
      <c r="U19" s="2002"/>
      <c r="V19" s="2002"/>
      <c r="W19" s="2003"/>
      <c r="X19" s="2019" t="s">
        <v>2083</v>
      </c>
      <c r="Y19" s="2020"/>
      <c r="Z19" s="2017">
        <v>60563</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2091</v>
      </c>
      <c r="B21" s="2002"/>
      <c r="C21" s="2002"/>
      <c r="D21" s="2002"/>
      <c r="E21" s="2002"/>
      <c r="F21" s="2002"/>
      <c r="G21" s="2002"/>
      <c r="H21" s="2003"/>
      <c r="I21" s="2027" t="s">
        <v>699</v>
      </c>
      <c r="J21" s="1990"/>
      <c r="K21" s="1990"/>
      <c r="L21" s="1990"/>
      <c r="M21" s="1990"/>
      <c r="N21" s="1990"/>
      <c r="O21" s="1990"/>
      <c r="P21" s="1990"/>
      <c r="Q21" s="1990"/>
      <c r="R21" s="1990"/>
      <c r="S21" s="1991"/>
      <c r="T21" s="1969" t="s">
        <v>2084</v>
      </c>
      <c r="U21" s="1970"/>
      <c r="V21" s="1970"/>
      <c r="W21" s="1970"/>
      <c r="X21" s="1983" t="s">
        <v>2085</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c r="B23" s="2025"/>
      <c r="C23" s="2025"/>
      <c r="D23" s="2025"/>
      <c r="E23" s="2025"/>
      <c r="F23" s="2025"/>
      <c r="G23" s="2025"/>
      <c r="H23" s="2026"/>
      <c r="T23" s="1964" t="s">
        <v>2086</v>
      </c>
      <c r="U23" s="1965"/>
      <c r="V23" s="1965"/>
      <c r="W23" s="1965"/>
      <c r="X23" s="1980"/>
      <c r="Y23" s="1981"/>
      <c r="Z23" s="1981"/>
      <c r="AA23" s="1982"/>
    </row>
    <row r="24" spans="1:27" ht="14.1" customHeight="1" x14ac:dyDescent="0.2">
      <c r="A24" s="88" t="s">
        <v>698</v>
      </c>
      <c r="B24" s="49"/>
      <c r="C24" s="49"/>
      <c r="D24" s="49"/>
      <c r="E24" s="49"/>
      <c r="F24" s="49"/>
      <c r="G24" s="49"/>
      <c r="H24" s="61"/>
      <c r="J24" s="2066" t="str">
        <f>IF(B5="x",IF(AUDITCHECK!D29="AFR form Incomplete.","",IF(AUDITCHECK!D29="Deficit reduction plan is required.","School District must complete a deficit reduction plan in the 2018-2019 Budget",)),"")</f>
        <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60150</v>
      </c>
      <c r="B25" s="2002"/>
      <c r="C25" s="2002"/>
      <c r="D25" s="2002"/>
      <c r="E25" s="2002"/>
      <c r="F25" s="2002"/>
      <c r="G25" s="2002"/>
      <c r="H25" s="2003"/>
      <c r="I25" s="113"/>
      <c r="J25" s="2068"/>
      <c r="K25" s="2068"/>
      <c r="L25" s="2068"/>
      <c r="M25" s="2068"/>
      <c r="N25" s="2068"/>
      <c r="O25" s="2068"/>
      <c r="P25" s="2068"/>
      <c r="Q25" s="2068"/>
      <c r="R25" s="2068"/>
      <c r="S25" s="2069"/>
      <c r="T25" s="1961" t="s">
        <v>2087</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2078</v>
      </c>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c r="B42" s="2051"/>
      <c r="C42" s="2052"/>
      <c r="D42" s="2065"/>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activeCell="A17" sqref="A17:H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election activeCell="A17" sqref="A17:H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2079</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31" colorId="8" zoomScaleNormal="100" workbookViewId="0">
      <selection activeCell="A17" sqref="A17:H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2260732</v>
      </c>
      <c r="E16" s="356"/>
      <c r="F16" s="1755">
        <f>SUM('Acct Summary 7-8'!C17,'Acct Summary 7-8'!D17,'Acct Summary 7-8'!F17)</f>
        <v>2259667</v>
      </c>
      <c r="G16" s="356"/>
      <c r="H16" s="1755">
        <f>SUM(D16-F16)</f>
        <v>1065</v>
      </c>
      <c r="I16" s="222"/>
      <c r="J16" s="1755">
        <f>SUM('Acct Summary 7-8'!C81,'Acct Summary 7-8'!D81,'Acct Summary 7-8'!F81,'Acct Summary 7-8'!I81)</f>
        <v>349245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3130000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Normal="100" workbookViewId="0">
      <selection activeCell="A17" sqref="A17:H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Kishwaukee Education Consortium</v>
      </c>
      <c r="E7" s="391"/>
      <c r="G7" s="252"/>
      <c r="H7" s="387"/>
      <c r="I7" s="387"/>
      <c r="J7" s="387"/>
      <c r="K7" s="387"/>
      <c r="L7" s="329"/>
      <c r="M7" s="329"/>
      <c r="N7" s="329"/>
      <c r="O7" s="329"/>
      <c r="P7" s="329"/>
    </row>
    <row r="8" spans="1:18" ht="12.75" x14ac:dyDescent="0.2">
      <c r="A8" s="329"/>
      <c r="B8" s="329"/>
      <c r="C8" s="389" t="s">
        <v>1187</v>
      </c>
      <c r="D8" s="392">
        <f>COVER!A13</f>
        <v>16000000046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349245</v>
      </c>
      <c r="I12" s="404"/>
      <c r="J12" s="404"/>
      <c r="K12" s="405">
        <f>TRUNC((H12/H13*100000),5)/100000</f>
        <v>0.15448314969999999</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2260732</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2259667</v>
      </c>
      <c r="I17" s="404"/>
      <c r="J17" s="416"/>
      <c r="K17" s="405">
        <f>TRUNC((H17/H18*100000),5)/100000</f>
        <v>0.99952891359999996</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2260732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786959</v>
      </c>
      <c r="I24" s="422"/>
      <c r="J24" s="422"/>
      <c r="K24" s="423">
        <f>TRUNC(((H24/H25*100000)/100000),2)</f>
        <v>125.37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6276.8527800000002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3130000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521233</v>
      </c>
      <c r="D4" s="466">
        <v>87414</v>
      </c>
      <c r="E4" s="466"/>
      <c r="F4" s="466"/>
      <c r="G4" s="466"/>
      <c r="H4" s="466"/>
      <c r="I4" s="466"/>
      <c r="J4" s="467"/>
      <c r="K4" s="466"/>
      <c r="L4" s="466"/>
      <c r="M4" s="468"/>
      <c r="N4" s="469"/>
    </row>
    <row r="5" spans="1:14" x14ac:dyDescent="0.2">
      <c r="A5" s="463" t="s">
        <v>1049</v>
      </c>
      <c r="B5" s="470">
        <v>120</v>
      </c>
      <c r="C5" s="465"/>
      <c r="D5" s="466">
        <v>178312</v>
      </c>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178091</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699324</v>
      </c>
      <c r="D13" s="1759">
        <f t="shared" ref="D13:L13" si="0">SUM(D4:D12)</f>
        <v>265726</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5131509</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310855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3130000</v>
      </c>
    </row>
    <row r="23" spans="1:14" ht="13.5" customHeight="1" thickBot="1" x14ac:dyDescent="0.25">
      <c r="A23" s="1758" t="s">
        <v>664</v>
      </c>
      <c r="B23" s="1763"/>
      <c r="C23" s="468"/>
      <c r="D23" s="468"/>
      <c r="E23" s="468"/>
      <c r="F23" s="468"/>
      <c r="G23" s="468"/>
      <c r="H23" s="468"/>
      <c r="I23" s="468"/>
      <c r="J23" s="468"/>
      <c r="K23" s="468"/>
      <c r="L23" s="468"/>
      <c r="M23" s="1710">
        <f>SUM(M15:M22)</f>
        <v>5442364</v>
      </c>
      <c r="N23" s="1710">
        <f>SUM(N21:N22)</f>
        <v>3130000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44633</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500000</v>
      </c>
      <c r="D32" s="492">
        <v>71172</v>
      </c>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544633</v>
      </c>
      <c r="D34" s="1762">
        <f t="shared" ref="D34:K34" si="1">SUM(D25:D33)</f>
        <v>71172</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3130000</v>
      </c>
    </row>
    <row r="37" spans="1:14" ht="13.5" thickBot="1" x14ac:dyDescent="0.25">
      <c r="A37" s="1758" t="s">
        <v>674</v>
      </c>
      <c r="B37" s="1763"/>
      <c r="C37" s="477"/>
      <c r="D37" s="477"/>
      <c r="E37" s="477"/>
      <c r="F37" s="477"/>
      <c r="G37" s="477"/>
      <c r="H37" s="477"/>
      <c r="I37" s="477"/>
      <c r="J37" s="477"/>
      <c r="K37" s="477"/>
      <c r="L37" s="480"/>
      <c r="M37" s="468"/>
      <c r="N37" s="1710">
        <f>SUM(N36:N36)</f>
        <v>3130000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154691</v>
      </c>
      <c r="D39" s="466">
        <v>194554</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5442364</v>
      </c>
      <c r="N40" s="497"/>
    </row>
    <row r="41" spans="1:14" ht="13.5" customHeight="1" thickBot="1" x14ac:dyDescent="0.25">
      <c r="A41" s="1758" t="s">
        <v>676</v>
      </c>
      <c r="B41" s="1728"/>
      <c r="C41" s="1710">
        <f>(SUM(C34,C37,C38,C39))</f>
        <v>699324</v>
      </c>
      <c r="D41" s="1710">
        <f t="shared" ref="D41:L41" si="2">SUM(D34,D37,D38:D39)</f>
        <v>265726</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5442364</v>
      </c>
      <c r="N41" s="1710">
        <f>SUM(N37)</f>
        <v>3130000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17" sqref="A17:H17"/>
      <selection pane="bottomLeft" activeCell="A17" sqref="A17:H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1408103</v>
      </c>
      <c r="D4" s="1764">
        <f>'Revenues 9-14'!D109</f>
        <v>8252</v>
      </c>
      <c r="E4" s="1764">
        <f>'Revenues 9-14'!E109</f>
        <v>401683</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659677</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184700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2252480</v>
      </c>
      <c r="D8" s="1710">
        <f t="shared" ref="D8:K8" si="0">SUM(D4:D7)</f>
        <v>8252</v>
      </c>
      <c r="E8" s="1710">
        <f t="shared" si="0"/>
        <v>401683</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2252480</v>
      </c>
      <c r="D10" s="1710">
        <f t="shared" ref="D10:K10" si="1">SUM(D8:D9)</f>
        <v>8252</v>
      </c>
      <c r="E10" s="1710">
        <f t="shared" si="1"/>
        <v>401683</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929242</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485568</v>
      </c>
      <c r="D13" s="1765">
        <f>'Expenditures 15-22'!K129</f>
        <v>7375</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837482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401683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2252292</v>
      </c>
      <c r="D17" s="1710">
        <f t="shared" si="2"/>
        <v>7375</v>
      </c>
      <c r="E17" s="1710">
        <f t="shared" si="2"/>
        <v>401683</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2252292</v>
      </c>
      <c r="D19" s="1710">
        <f t="shared" si="4"/>
        <v>7375</v>
      </c>
      <c r="E19" s="1710">
        <f t="shared" si="4"/>
        <v>401683</v>
      </c>
      <c r="F19" s="1710">
        <f t="shared" si="4"/>
        <v>0</v>
      </c>
      <c r="G19" s="1710">
        <f t="shared" si="4"/>
        <v>0</v>
      </c>
      <c r="H19" s="1710">
        <f t="shared" si="4"/>
        <v>0</v>
      </c>
      <c r="I19" s="468"/>
      <c r="J19" s="1710">
        <f>SUM(J17:J18)</f>
        <v>0</v>
      </c>
      <c r="K19" s="1710">
        <f>SUM(K17:K18)</f>
        <v>0</v>
      </c>
      <c r="L19" s="347"/>
    </row>
    <row r="20" spans="1:12" ht="16.5" thickTop="1" thickBot="1" x14ac:dyDescent="0.25">
      <c r="A20" s="2146" t="s">
        <v>1754</v>
      </c>
      <c r="B20" s="2147"/>
      <c r="C20" s="1768">
        <f>C8-C17</f>
        <v>188</v>
      </c>
      <c r="D20" s="1768">
        <f t="shared" ref="D20:K20" si="5">D8-D17</f>
        <v>877</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1239</v>
      </c>
      <c r="B77" s="213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618</v>
      </c>
      <c r="B78" s="2143"/>
      <c r="C78" s="1724">
        <f t="shared" ref="C78:K78" si="9">C20+C77</f>
        <v>188</v>
      </c>
      <c r="D78" s="1724">
        <f t="shared" si="9"/>
        <v>877</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154503</v>
      </c>
      <c r="D79" s="535">
        <v>193677</v>
      </c>
      <c r="E79" s="535"/>
      <c r="F79" s="535"/>
      <c r="G79" s="535"/>
      <c r="H79" s="535"/>
      <c r="I79" s="535"/>
      <c r="J79" s="535"/>
      <c r="K79" s="535"/>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2072</v>
      </c>
      <c r="B81" s="2141"/>
      <c r="C81" s="1710">
        <f>(SUM(C78:C80))</f>
        <v>154691</v>
      </c>
      <c r="D81" s="1710">
        <f>SUM(D78:D80)</f>
        <v>194554</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188</v>
      </c>
      <c r="D82" s="538">
        <f t="shared" ref="D82:K82" si="11">(D81-D79)</f>
        <v>877</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1.215326037067444E-3</v>
      </c>
      <c r="D83" s="540">
        <f t="shared" ref="D83:K83" si="12">D82/D81</f>
        <v>4.5077459214408339E-3</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120" workbookViewId="0">
      <pane ySplit="2" topLeftCell="A30" activePane="bottomLeft" state="frozen"/>
      <selection activeCell="A17" sqref="A17:H17"/>
      <selection pane="bottomLeft" activeCell="A17" sqref="A17:H1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798720</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537844</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1336564</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363</v>
      </c>
      <c r="D65" s="466">
        <v>2227</v>
      </c>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363</v>
      </c>
      <c r="D67" s="1710">
        <f t="shared" ref="D67:K67" si="2">SUM(D65:D66)</f>
        <v>2227</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2233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2233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22522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22522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21803</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24000</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v>6025</v>
      </c>
      <c r="E104" s="481">
        <v>401683</v>
      </c>
      <c r="F104" s="467"/>
      <c r="G104" s="467"/>
      <c r="H104" s="466"/>
      <c r="I104" s="468"/>
      <c r="J104" s="468"/>
      <c r="K104" s="468"/>
    </row>
    <row r="105" spans="1:12" ht="12.75" customHeight="1" x14ac:dyDescent="0.2">
      <c r="A105" s="463" t="s">
        <v>876</v>
      </c>
      <c r="B105" s="470">
        <v>1992</v>
      </c>
      <c r="C105" s="466">
        <v>618</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46421</v>
      </c>
      <c r="D108" s="1729">
        <f t="shared" ref="D108:K108" si="3">SUM(D95:D107)</f>
        <v>6025</v>
      </c>
      <c r="E108" s="1729">
        <f t="shared" si="3"/>
        <v>401683</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1408103</v>
      </c>
      <c r="D109" s="1737">
        <f t="shared" si="4"/>
        <v>8252</v>
      </c>
      <c r="E109" s="1737">
        <f t="shared" si="4"/>
        <v>401683</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187241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187241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359625</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359625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112811</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472436</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659677</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19654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9078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28732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155968</v>
      </c>
      <c r="D227" s="466"/>
      <c r="E227" s="468"/>
      <c r="F227" s="468"/>
      <c r="G227" s="466"/>
      <c r="H227" s="468"/>
      <c r="I227" s="468"/>
      <c r="J227" s="468"/>
      <c r="K227" s="468"/>
    </row>
    <row r="228" spans="1:11" ht="12.75" customHeight="1" thickBot="1" x14ac:dyDescent="0.25">
      <c r="A228" s="1745" t="s">
        <v>1145</v>
      </c>
      <c r="B228" s="1746"/>
      <c r="C228" s="1729">
        <f>SUM(C226:C227)</f>
        <v>155968</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184700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184700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2252480</v>
      </c>
      <c r="D275" s="1737">
        <f t="shared" si="12"/>
        <v>8252</v>
      </c>
      <c r="E275" s="1737">
        <f t="shared" si="12"/>
        <v>401683</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6" activePane="bottomLeft" state="frozen"/>
      <selection activeCell="A17" sqref="A17:H17"/>
      <selection pane="bottomLeft" activeCell="A17" sqref="A17:H1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327304</v>
      </c>
      <c r="F13" s="466">
        <v>77775</v>
      </c>
      <c r="G13" s="466">
        <v>16877</v>
      </c>
      <c r="H13" s="466">
        <v>23200</v>
      </c>
      <c r="I13" s="467"/>
      <c r="J13" s="467"/>
      <c r="K13" s="1693">
        <f t="shared" si="0"/>
        <v>445156</v>
      </c>
      <c r="L13" s="466">
        <v>425000</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v>470196</v>
      </c>
      <c r="F19" s="466">
        <v>13890</v>
      </c>
      <c r="G19" s="466"/>
      <c r="H19" s="466"/>
      <c r="I19" s="467"/>
      <c r="J19" s="467"/>
      <c r="K19" s="1693">
        <f t="shared" si="0"/>
        <v>484086</v>
      </c>
      <c r="L19" s="466">
        <v>477659</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0</v>
      </c>
      <c r="D33" s="1692">
        <f t="shared" ref="D33:L33" si="1">SUM(D5:D32)</f>
        <v>0</v>
      </c>
      <c r="E33" s="1692">
        <f t="shared" si="1"/>
        <v>797500</v>
      </c>
      <c r="F33" s="1692">
        <f t="shared" si="1"/>
        <v>91665</v>
      </c>
      <c r="G33" s="1692">
        <f t="shared" si="1"/>
        <v>16877</v>
      </c>
      <c r="H33" s="1692">
        <f t="shared" si="1"/>
        <v>23200</v>
      </c>
      <c r="I33" s="1692">
        <f t="shared" si="1"/>
        <v>0</v>
      </c>
      <c r="J33" s="1692">
        <f t="shared" si="1"/>
        <v>0</v>
      </c>
      <c r="K33" s="1692">
        <f t="shared" si="1"/>
        <v>929242</v>
      </c>
      <c r="L33" s="1692">
        <f t="shared" si="1"/>
        <v>902659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v>37579</v>
      </c>
      <c r="F37" s="466">
        <v>2967</v>
      </c>
      <c r="G37" s="466"/>
      <c r="H37" s="466"/>
      <c r="I37" s="467"/>
      <c r="J37" s="467"/>
      <c r="K37" s="1693">
        <f t="shared" si="2"/>
        <v>40546</v>
      </c>
      <c r="L37" s="466">
        <v>40318</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37579</v>
      </c>
      <c r="F42" s="1692">
        <f t="shared" si="3"/>
        <v>2967</v>
      </c>
      <c r="G42" s="1692">
        <f t="shared" si="3"/>
        <v>0</v>
      </c>
      <c r="H42" s="1692">
        <f t="shared" si="3"/>
        <v>0</v>
      </c>
      <c r="I42" s="1692">
        <f t="shared" si="3"/>
        <v>0</v>
      </c>
      <c r="J42" s="1692">
        <f t="shared" si="3"/>
        <v>0</v>
      </c>
      <c r="K42" s="1692">
        <f t="shared" si="3"/>
        <v>40546</v>
      </c>
      <c r="L42" s="1692">
        <f t="shared" si="3"/>
        <v>40318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118603</v>
      </c>
      <c r="F44" s="481">
        <v>5871</v>
      </c>
      <c r="G44" s="481"/>
      <c r="H44" s="481"/>
      <c r="I44" s="467"/>
      <c r="J44" s="467"/>
      <c r="K44" s="1694">
        <f>SUM(C44:J44)</f>
        <v>124474</v>
      </c>
      <c r="L44" s="481">
        <v>119045</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118603</v>
      </c>
      <c r="F47" s="1692">
        <f t="shared" si="4"/>
        <v>5871</v>
      </c>
      <c r="G47" s="1692">
        <f t="shared" si="4"/>
        <v>0</v>
      </c>
      <c r="H47" s="1692">
        <f t="shared" si="4"/>
        <v>0</v>
      </c>
      <c r="I47" s="1692">
        <f t="shared" si="4"/>
        <v>0</v>
      </c>
      <c r="J47" s="1692">
        <f t="shared" si="4"/>
        <v>0</v>
      </c>
      <c r="K47" s="1692">
        <f t="shared" si="4"/>
        <v>124474</v>
      </c>
      <c r="L47" s="1692">
        <f>SUM(L44:L46)</f>
        <v>119045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v>15257</v>
      </c>
      <c r="F50" s="466">
        <v>474</v>
      </c>
      <c r="G50" s="466"/>
      <c r="H50" s="466"/>
      <c r="I50" s="467"/>
      <c r="J50" s="467"/>
      <c r="K50" s="1694">
        <f>SUM(C50:J50)</f>
        <v>15731</v>
      </c>
      <c r="L50" s="466">
        <v>16590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0</v>
      </c>
      <c r="D53" s="1692">
        <f t="shared" ref="D53:L53" si="5">SUM(D49:D52)</f>
        <v>0</v>
      </c>
      <c r="E53" s="1692">
        <f t="shared" si="5"/>
        <v>15257</v>
      </c>
      <c r="F53" s="1692">
        <f t="shared" si="5"/>
        <v>474</v>
      </c>
      <c r="G53" s="1692">
        <f t="shared" si="5"/>
        <v>0</v>
      </c>
      <c r="H53" s="1692">
        <f t="shared" si="5"/>
        <v>0</v>
      </c>
      <c r="I53" s="1692">
        <f t="shared" si="5"/>
        <v>0</v>
      </c>
      <c r="J53" s="1692">
        <f t="shared" si="5"/>
        <v>0</v>
      </c>
      <c r="K53" s="1692">
        <f t="shared" si="5"/>
        <v>15731</v>
      </c>
      <c r="L53" s="1692">
        <f t="shared" si="5"/>
        <v>16590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v>58871</v>
      </c>
      <c r="F55" s="481">
        <v>34442</v>
      </c>
      <c r="G55" s="481">
        <v>4216</v>
      </c>
      <c r="H55" s="481"/>
      <c r="I55" s="467"/>
      <c r="J55" s="467"/>
      <c r="K55" s="1694">
        <f>SUM(C55:J55)</f>
        <v>97529</v>
      </c>
      <c r="L55" s="481">
        <v>99548</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58871</v>
      </c>
      <c r="F57" s="1696">
        <f t="shared" si="6"/>
        <v>34442</v>
      </c>
      <c r="G57" s="1696">
        <f t="shared" si="6"/>
        <v>4216</v>
      </c>
      <c r="H57" s="1696">
        <f t="shared" si="6"/>
        <v>0</v>
      </c>
      <c r="I57" s="1696">
        <f t="shared" si="6"/>
        <v>0</v>
      </c>
      <c r="J57" s="1696">
        <f t="shared" si="6"/>
        <v>0</v>
      </c>
      <c r="K57" s="1696">
        <f t="shared" si="6"/>
        <v>97529</v>
      </c>
      <c r="L57" s="1692">
        <f>SUM(L55:L56)</f>
        <v>99548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v>128829</v>
      </c>
      <c r="F61" s="466">
        <v>46097</v>
      </c>
      <c r="G61" s="466"/>
      <c r="H61" s="466"/>
      <c r="I61" s="467"/>
      <c r="J61" s="467"/>
      <c r="K61" s="1694">
        <f t="shared" si="7"/>
        <v>174926</v>
      </c>
      <c r="L61" s="466">
        <v>165000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534</v>
      </c>
      <c r="F63" s="466">
        <v>31828</v>
      </c>
      <c r="G63" s="466"/>
      <c r="H63" s="466"/>
      <c r="I63" s="467"/>
      <c r="J63" s="467"/>
      <c r="K63" s="1694">
        <f t="shared" si="7"/>
        <v>32362</v>
      </c>
      <c r="L63" s="466">
        <v>41000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129363</v>
      </c>
      <c r="F65" s="1692">
        <f t="shared" si="8"/>
        <v>77925</v>
      </c>
      <c r="G65" s="1692">
        <f t="shared" si="8"/>
        <v>0</v>
      </c>
      <c r="H65" s="1692">
        <f t="shared" si="8"/>
        <v>0</v>
      </c>
      <c r="I65" s="1692">
        <f t="shared" si="8"/>
        <v>0</v>
      </c>
      <c r="J65" s="1692">
        <f t="shared" si="8"/>
        <v>0</v>
      </c>
      <c r="K65" s="1692">
        <f t="shared" si="8"/>
        <v>207288</v>
      </c>
      <c r="L65" s="1692">
        <f t="shared" si="8"/>
        <v>206000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0</v>
      </c>
      <c r="D74" s="1699">
        <f t="shared" ref="D74:K74" si="10">SUM(D42,D47,D53,D57,D65,D72,D73)</f>
        <v>0</v>
      </c>
      <c r="E74" s="1699">
        <f t="shared" si="10"/>
        <v>359673</v>
      </c>
      <c r="F74" s="1699">
        <f t="shared" si="10"/>
        <v>121679</v>
      </c>
      <c r="G74" s="1699">
        <f t="shared" si="10"/>
        <v>4216</v>
      </c>
      <c r="H74" s="1699">
        <f t="shared" si="10"/>
        <v>0</v>
      </c>
      <c r="I74" s="1699">
        <f t="shared" si="10"/>
        <v>0</v>
      </c>
      <c r="J74" s="1699">
        <f t="shared" si="10"/>
        <v>0</v>
      </c>
      <c r="K74" s="1699">
        <f t="shared" si="10"/>
        <v>485568</v>
      </c>
      <c r="L74" s="1699">
        <f>SUM(L42,L47,L53,L57,L65,L72,L73)</f>
        <v>481501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261419</v>
      </c>
      <c r="F79" s="617"/>
      <c r="G79" s="617"/>
      <c r="H79" s="466">
        <v>2235</v>
      </c>
      <c r="I79" s="477"/>
      <c r="J79" s="477"/>
      <c r="K79" s="1693">
        <f t="shared" si="11"/>
        <v>263654</v>
      </c>
      <c r="L79" s="466">
        <v>238951</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573828</v>
      </c>
      <c r="F81" s="617"/>
      <c r="G81" s="617"/>
      <c r="H81" s="466"/>
      <c r="I81" s="477"/>
      <c r="J81" s="477"/>
      <c r="K81" s="1693">
        <f t="shared" si="11"/>
        <v>573828</v>
      </c>
      <c r="L81" s="466">
        <v>577271</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835247</v>
      </c>
      <c r="F84" s="617"/>
      <c r="G84" s="617"/>
      <c r="H84" s="1692">
        <f>SUM(H78:H83)</f>
        <v>2235</v>
      </c>
      <c r="I84" s="477"/>
      <c r="J84" s="477"/>
      <c r="K84" s="1692">
        <f>SUM(K78:K83)</f>
        <v>837482</v>
      </c>
      <c r="L84" s="1692">
        <f>SUM(L78:L83)</f>
        <v>816222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835247</v>
      </c>
      <c r="F102" s="617"/>
      <c r="G102" s="617"/>
      <c r="H102" s="1699">
        <f>SUM(H84,H92,H100,H101)</f>
        <v>2235</v>
      </c>
      <c r="I102" s="477"/>
      <c r="J102" s="477"/>
      <c r="K102" s="1699">
        <f>SUM(K84,K92,K100,K101)</f>
        <v>837482</v>
      </c>
      <c r="L102" s="1699">
        <f>SUM(L84,L92,L100,L101)</f>
        <v>816222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0</v>
      </c>
      <c r="D114" s="1692">
        <f t="shared" ref="D114:K114" si="13">SUM(D33,D74,D75,D102,D112,D113)</f>
        <v>0</v>
      </c>
      <c r="E114" s="1692">
        <f t="shared" si="13"/>
        <v>1992420</v>
      </c>
      <c r="F114" s="1692">
        <f t="shared" si="13"/>
        <v>213344</v>
      </c>
      <c r="G114" s="1692">
        <f t="shared" si="13"/>
        <v>21093</v>
      </c>
      <c r="H114" s="1692">
        <f>SUM(H33,H74,H75,H102,H112,H113)</f>
        <v>25435</v>
      </c>
      <c r="I114" s="1692">
        <f t="shared" si="13"/>
        <v>0</v>
      </c>
      <c r="J114" s="1692">
        <f t="shared" si="13"/>
        <v>0</v>
      </c>
      <c r="K114" s="1692">
        <f t="shared" si="13"/>
        <v>2252292</v>
      </c>
      <c r="L114" s="1692">
        <f>SUM(L33,L74,L75,L102,L112,L113)</f>
        <v>2200382</v>
      </c>
    </row>
    <row r="115" spans="1:14" ht="13.5" thickTop="1" x14ac:dyDescent="0.2">
      <c r="A115" s="2201" t="s">
        <v>1053</v>
      </c>
      <c r="B115" s="2202"/>
      <c r="C115" s="619"/>
      <c r="D115" s="619"/>
      <c r="E115" s="619"/>
      <c r="F115" s="619"/>
      <c r="G115" s="619"/>
      <c r="H115" s="619"/>
      <c r="I115" s="619"/>
      <c r="J115" s="619"/>
      <c r="K115" s="1706">
        <f>'Revenues 9-14'!C275-'Expenditures 15-22'!K114</f>
        <v>188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v>7375</v>
      </c>
      <c r="H124" s="466"/>
      <c r="I124" s="467"/>
      <c r="J124" s="467"/>
      <c r="K124" s="1692">
        <f>SUM(C124:J124)</f>
        <v>7375</v>
      </c>
      <c r="L124" s="466">
        <v>6025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7375</v>
      </c>
      <c r="H127" s="1692">
        <f t="shared" si="14"/>
        <v>0</v>
      </c>
      <c r="I127" s="1692">
        <f t="shared" si="14"/>
        <v>0</v>
      </c>
      <c r="J127" s="1692">
        <f t="shared" si="14"/>
        <v>0</v>
      </c>
      <c r="K127" s="1692">
        <f t="shared" si="14"/>
        <v>7375</v>
      </c>
      <c r="L127" s="1692">
        <f t="shared" si="14"/>
        <v>6025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7375</v>
      </c>
      <c r="H129" s="1699">
        <f t="shared" si="15"/>
        <v>0</v>
      </c>
      <c r="I129" s="1699">
        <f t="shared" si="15"/>
        <v>0</v>
      </c>
      <c r="J129" s="1699">
        <f t="shared" si="15"/>
        <v>0</v>
      </c>
      <c r="K129" s="1699">
        <f t="shared" si="15"/>
        <v>7375</v>
      </c>
      <c r="L129" s="1699">
        <f t="shared" si="15"/>
        <v>6025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2">
        <f>SUM(C129,C130,C139,C149,C150)</f>
        <v>0</v>
      </c>
      <c r="D151" s="1692">
        <f t="shared" ref="D151:K151" si="16">SUM(D129,D130,D139,D149,D150)</f>
        <v>0</v>
      </c>
      <c r="E151" s="1692">
        <f t="shared" si="16"/>
        <v>0</v>
      </c>
      <c r="F151" s="1692">
        <f t="shared" si="16"/>
        <v>0</v>
      </c>
      <c r="G151" s="1692">
        <f t="shared" si="16"/>
        <v>7375</v>
      </c>
      <c r="H151" s="1692">
        <f t="shared" si="16"/>
        <v>0</v>
      </c>
      <c r="I151" s="1692">
        <f t="shared" si="16"/>
        <v>0</v>
      </c>
      <c r="J151" s="1692">
        <f t="shared" si="16"/>
        <v>0</v>
      </c>
      <c r="K151" s="1692">
        <f t="shared" si="16"/>
        <v>7375</v>
      </c>
      <c r="L151" s="1692">
        <f>SUM(L129,L130,L139,L149,L150)</f>
        <v>6025</v>
      </c>
    </row>
    <row r="152" spans="1:14" ht="12.75" customHeight="1" thickTop="1" x14ac:dyDescent="0.2">
      <c r="A152" s="2194" t="s">
        <v>1240</v>
      </c>
      <c r="B152" s="2195"/>
      <c r="C152" s="619"/>
      <c r="D152" s="619"/>
      <c r="E152" s="619"/>
      <c r="F152" s="619"/>
      <c r="G152" s="619"/>
      <c r="H152" s="619"/>
      <c r="I152" s="619"/>
      <c r="J152" s="617"/>
      <c r="K152" s="1706">
        <f>'Revenues 9-14'!D275-'Expenditures 15-22'!K151</f>
        <v>877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106683</v>
      </c>
      <c r="I169" s="617"/>
      <c r="J169" s="617"/>
      <c r="K169" s="1693">
        <f>SUM(C169:H169)</f>
        <v>106683</v>
      </c>
      <c r="L169" s="657">
        <v>106683</v>
      </c>
    </row>
    <row r="170" spans="1:14" ht="33.75" customHeight="1" x14ac:dyDescent="0.2">
      <c r="A170" s="670" t="s">
        <v>1769</v>
      </c>
      <c r="B170" s="672" t="s">
        <v>31</v>
      </c>
      <c r="C170" s="617"/>
      <c r="D170" s="617"/>
      <c r="E170" s="617"/>
      <c r="F170" s="617"/>
      <c r="G170" s="617"/>
      <c r="H170" s="569">
        <v>295000</v>
      </c>
      <c r="I170" s="617"/>
      <c r="J170" s="617"/>
      <c r="K170" s="1693">
        <f>SUM(C170:J170)</f>
        <v>295000</v>
      </c>
      <c r="L170" s="569">
        <v>295000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401683</v>
      </c>
      <c r="I172" s="639"/>
      <c r="J172" s="617"/>
      <c r="K172" s="1699">
        <f>SUM(K168,K169,K170,K171)</f>
        <v>401683</v>
      </c>
      <c r="L172" s="1699">
        <f>SUM(L168,L169,L170,L171)</f>
        <v>401683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401683</v>
      </c>
      <c r="I174" s="639"/>
      <c r="J174" s="617"/>
      <c r="K174" s="1699">
        <f>SUM(K160,K172,K173)</f>
        <v>401683</v>
      </c>
      <c r="L174" s="1699">
        <f>SUM(L160,L172,L173)</f>
        <v>401683</v>
      </c>
    </row>
    <row r="175" spans="1:14" ht="13.5" thickTop="1" x14ac:dyDescent="0.2">
      <c r="A175" s="2201" t="s">
        <v>1053</v>
      </c>
      <c r="B175" s="2202"/>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201" t="s">
        <v>1053</v>
      </c>
      <c r="B211" s="2202"/>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201" t="s">
        <v>1053</v>
      </c>
      <c r="B296" s="2202"/>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7" t="s">
        <v>1053</v>
      </c>
      <c r="B343" s="2188"/>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1" t="s">
        <v>1053</v>
      </c>
      <c r="B368" s="2202"/>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A17" sqref="A17:H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1905</v>
      </c>
      <c r="B2" s="1550" t="s">
        <v>2035</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A17" sqref="A17:H1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9" t="s">
        <v>2036</v>
      </c>
      <c r="D2" s="724" t="s">
        <v>2043</v>
      </c>
      <c r="E2" s="724" t="s">
        <v>2044</v>
      </c>
      <c r="F2" s="1909" t="s">
        <v>2037</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7">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7" t="s">
        <v>652</v>
      </c>
      <c r="B15" s="2208"/>
      <c r="C15" s="1777">
        <f>SUM(C6:C14)</f>
        <v>0</v>
      </c>
      <c r="D15" s="1777">
        <f>SUM(D6:D14)</f>
        <v>0</v>
      </c>
      <c r="E15" s="1777">
        <f>SUM(E6:E14)</f>
        <v>0</v>
      </c>
      <c r="F15" s="1777">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406</v>
      </c>
      <c r="B19" s="2231"/>
      <c r="C19" s="727"/>
      <c r="D19" s="585"/>
      <c r="E19" s="727"/>
      <c r="F19" s="1777">
        <f>SUM(C19+D19)-E19</f>
        <v>0</v>
      </c>
    </row>
    <row r="20" spans="1:11" ht="12.75" customHeight="1" thickTop="1" thickBot="1" x14ac:dyDescent="0.25">
      <c r="A20" s="2230" t="s">
        <v>468</v>
      </c>
      <c r="B20" s="2231"/>
      <c r="C20" s="727"/>
      <c r="D20" s="585"/>
      <c r="E20" s="727"/>
      <c r="F20" s="1777">
        <f>SUM(C20+D20)-E20</f>
        <v>0</v>
      </c>
    </row>
    <row r="21" spans="1:11" ht="14.25" thickTop="1" thickBot="1" x14ac:dyDescent="0.25">
      <c r="A21" s="2207" t="s">
        <v>653</v>
      </c>
      <c r="B21" s="2208"/>
      <c r="C21" s="1777">
        <f>SUM(C17:C20)</f>
        <v>0</v>
      </c>
      <c r="D21" s="1777">
        <f>SUM(D17:D20)</f>
        <v>0</v>
      </c>
      <c r="E21" s="1777">
        <f>SUM(E17:E20)</f>
        <v>0</v>
      </c>
      <c r="F21" s="1777">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7">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7">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7">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1956" t="s">
        <v>2077</v>
      </c>
      <c r="B31" s="1957">
        <v>41577</v>
      </c>
      <c r="C31" s="1958">
        <v>4285000</v>
      </c>
      <c r="D31" s="1959">
        <v>7</v>
      </c>
      <c r="E31" s="1958">
        <v>3425000</v>
      </c>
      <c r="F31" s="735"/>
      <c r="G31" s="735"/>
      <c r="H31" s="735">
        <v>295000</v>
      </c>
      <c r="I31" s="1778">
        <f>((E31+F31)-H31)+G31</f>
        <v>3130000</v>
      </c>
      <c r="J31" s="735">
        <v>3130000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4285000</v>
      </c>
      <c r="D49" s="746"/>
      <c r="E49" s="1778">
        <f t="shared" ref="E49:J49" si="2">SUM(E31:E48)</f>
        <v>3425000</v>
      </c>
      <c r="F49" s="1778">
        <f t="shared" si="2"/>
        <v>0</v>
      </c>
      <c r="G49" s="1778">
        <f t="shared" si="2"/>
        <v>0</v>
      </c>
      <c r="H49" s="1778">
        <f t="shared" si="2"/>
        <v>295000</v>
      </c>
      <c r="I49" s="1778">
        <f t="shared" si="2"/>
        <v>3130000</v>
      </c>
      <c r="J49" s="1778">
        <f t="shared" si="2"/>
        <v>3130000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t="s">
        <v>2093</v>
      </c>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A17" sqref="A17: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9"/>
      <c r="G12" s="1780">
        <f>SUM(G5:G11)</f>
        <v>0</v>
      </c>
      <c r="H12" s="1780">
        <f>SUM(H5:H11)</f>
        <v>0</v>
      </c>
      <c r="I12" s="1780">
        <f>SUM(I5:I11)</f>
        <v>0</v>
      </c>
      <c r="J12" s="1780">
        <f>SUM(J5:J11)</f>
        <v>0</v>
      </c>
      <c r="K12" s="1780">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1"/>
      <c r="G21" s="793"/>
      <c r="H21" s="797"/>
      <c r="I21" s="797"/>
      <c r="J21" s="1782">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3"/>
      <c r="G23" s="1780">
        <f>SUM(G14:G16,G21,G22)</f>
        <v>0</v>
      </c>
      <c r="H23" s="1780">
        <f>SUM(H14:H16,H21,H22)</f>
        <v>0</v>
      </c>
      <c r="I23" s="1780">
        <f>SUM(I14:I16,I21,I22)</f>
        <v>0</v>
      </c>
      <c r="J23" s="1780">
        <f>SUM(J14:J16,J21,J22)</f>
        <v>0</v>
      </c>
      <c r="K23" s="1780">
        <f>SUM(K14:K16,K21,K22)</f>
        <v>0</v>
      </c>
    </row>
    <row r="24" spans="1:11" ht="14.25" thickTop="1" thickBot="1" x14ac:dyDescent="0.25">
      <c r="A24" s="2255" t="s">
        <v>2024</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A17" sqref="A17:H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5131509</v>
      </c>
      <c r="D8" s="845"/>
      <c r="E8" s="845"/>
      <c r="F8" s="1782">
        <f>(C8+D8)-E8</f>
        <v>5131509</v>
      </c>
      <c r="G8" s="844">
        <v>50</v>
      </c>
      <c r="H8" s="766"/>
      <c r="I8" s="766"/>
      <c r="J8" s="766"/>
      <c r="K8" s="1791">
        <f>(H8+I8)-J8</f>
        <v>0</v>
      </c>
      <c r="L8" s="1791">
        <f>F8-K8</f>
        <v>5131509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281178</v>
      </c>
      <c r="D12" s="845">
        <v>29677</v>
      </c>
      <c r="E12" s="845"/>
      <c r="F12" s="1782">
        <f>(C12+D12)-E12</f>
        <v>310855</v>
      </c>
      <c r="G12" s="844">
        <v>10</v>
      </c>
      <c r="H12" s="766"/>
      <c r="I12" s="766"/>
      <c r="J12" s="766"/>
      <c r="K12" s="1791">
        <f>(H12+I12)-J12</f>
        <v>0</v>
      </c>
      <c r="L12" s="1791">
        <f>F12-K12</f>
        <v>310855</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5412687</v>
      </c>
      <c r="D16" s="1782">
        <f>SUM(D3,D5:D6,D8:D10,D12:D15)</f>
        <v>29677</v>
      </c>
      <c r="E16" s="1782">
        <f>SUM(E3,E5:E6,E8:E10,E12:E15)</f>
        <v>0</v>
      </c>
      <c r="F16" s="1782">
        <f>SUM(F3,F5:F6,F8:F10,F12:F15)</f>
        <v>5442364</v>
      </c>
      <c r="G16" s="844"/>
      <c r="H16" s="1782">
        <f>SUM(H3,H6,H8:H10,H12:H14,)</f>
        <v>0</v>
      </c>
      <c r="I16" s="1782">
        <f>SUM(I3,I6,I8:I10,I12:I14,)</f>
        <v>0</v>
      </c>
      <c r="J16" s="1782">
        <f>SUM(J3,J6,J8:J10,J12:J14,)</f>
        <v>0</v>
      </c>
      <c r="K16" s="1782">
        <f>(H16+I16)-J16</f>
        <v>0</v>
      </c>
      <c r="L16" s="1782">
        <f>F16-K16</f>
        <v>5442364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70" activePane="bottomLeft" state="frozen"/>
      <selection activeCell="A17" sqref="A17:H17"/>
      <selection pane="bottomLeft" activeCell="A17" sqref="A17:H1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2252292</v>
      </c>
      <c r="G8" s="866"/>
    </row>
    <row r="9" spans="1:7" x14ac:dyDescent="0.2">
      <c r="A9" s="870" t="s">
        <v>480</v>
      </c>
      <c r="B9" s="871" t="s">
        <v>1988</v>
      </c>
      <c r="C9" s="872"/>
      <c r="D9" s="870" t="s">
        <v>522</v>
      </c>
      <c r="E9" s="869"/>
      <c r="F9" s="1935">
        <f>'Expenditures 15-22'!K151</f>
        <v>7375</v>
      </c>
      <c r="G9" s="873"/>
    </row>
    <row r="10" spans="1:7" x14ac:dyDescent="0.2">
      <c r="A10" s="870" t="s">
        <v>520</v>
      </c>
      <c r="B10" s="871" t="s">
        <v>1989</v>
      </c>
      <c r="C10" s="872"/>
      <c r="D10" s="870" t="s">
        <v>522</v>
      </c>
      <c r="E10" s="869"/>
      <c r="F10" s="1935">
        <f>'Expenditures 15-22'!K174</f>
        <v>401683</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2661350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837482</v>
      </c>
      <c r="G53" s="866"/>
    </row>
    <row r="54" spans="1:7" x14ac:dyDescent="0.2">
      <c r="A54" s="870" t="s">
        <v>479</v>
      </c>
      <c r="B54" s="870" t="s">
        <v>1552</v>
      </c>
      <c r="C54" s="890" t="s">
        <v>1039</v>
      </c>
      <c r="D54" s="886" t="s">
        <v>1157</v>
      </c>
      <c r="E54" s="869"/>
      <c r="F54" s="1939">
        <f>'Expenditures 15-22'!G114</f>
        <v>21093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7375</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295000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1160950</v>
      </c>
      <c r="G76" s="866"/>
    </row>
    <row r="77" spans="1:8" s="894" customFormat="1" ht="12" customHeight="1" thickTop="1" thickBot="1" x14ac:dyDescent="0.25">
      <c r="A77" s="1801"/>
      <c r="B77" s="1798"/>
      <c r="C77" s="1794"/>
      <c r="D77" s="1799" t="s">
        <v>2011</v>
      </c>
      <c r="E77" s="1796"/>
      <c r="F77" s="1802">
        <f>(F14-F76)</f>
        <v>1500400</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2233</v>
      </c>
      <c r="G94" s="913"/>
    </row>
    <row r="95" spans="1:7" x14ac:dyDescent="0.2">
      <c r="A95" s="909" t="s">
        <v>142</v>
      </c>
      <c r="B95" s="909" t="s">
        <v>177</v>
      </c>
      <c r="C95" s="911">
        <v>1700</v>
      </c>
      <c r="D95" s="919" t="str">
        <f>'Revenues 9-14'!A82</f>
        <v>Total District/School Activity Income</v>
      </c>
      <c r="E95" s="907"/>
      <c r="F95" s="1811">
        <f>SUM('Revenues 9-14'!C82,'Revenues 9-14'!D82)</f>
        <v>22522</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24000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407708</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359625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112811</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28732</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155968</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1113599</v>
      </c>
    </row>
    <row r="179" spans="1:7" ht="12" customHeight="1" x14ac:dyDescent="0.2">
      <c r="A179" s="1792"/>
      <c r="B179" s="1806"/>
      <c r="C179" s="1807"/>
      <c r="D179" s="1808" t="s">
        <v>2014</v>
      </c>
      <c r="E179" s="1809"/>
      <c r="F179" s="1811">
        <f>'PCTC-OEPP 27-28'!F77-F178</f>
        <v>386801</v>
      </c>
    </row>
    <row r="180" spans="1:7" ht="12" customHeight="1" x14ac:dyDescent="0.2">
      <c r="A180" s="1792"/>
      <c r="B180" s="1806"/>
      <c r="C180" s="1807"/>
      <c r="D180" s="1808" t="s">
        <v>1924</v>
      </c>
      <c r="E180" s="1809"/>
      <c r="F180" s="1811">
        <f>'Cap Outlay Deprec 26'!I18</f>
        <v>0</v>
      </c>
    </row>
    <row r="181" spans="1:7" ht="12" customHeight="1" x14ac:dyDescent="0.2">
      <c r="A181" s="1792"/>
      <c r="B181" s="1806"/>
      <c r="C181" s="1807"/>
      <c r="D181" s="1808" t="s">
        <v>2015</v>
      </c>
      <c r="E181" s="1809"/>
      <c r="F181" s="1811">
        <f>F179+F180</f>
        <v>386801</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A17" sqref="A17:H17"/>
      <selection pane="bottomLeft" activeCell="A17" sqref="A17:H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2076</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2075</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2092</v>
      </c>
      <c r="B17" s="1960"/>
      <c r="C17" s="1960"/>
      <c r="D17" s="1960"/>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960"/>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Normal="100" workbookViewId="0">
      <selection activeCell="A17" sqref="A17:H1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7" t="s">
        <v>1944</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912365</v>
      </c>
      <c r="F19" s="1822"/>
      <c r="G19" s="1824">
        <f>'Expenditures 15-22'!K33-SUM('Expenditures 15-22'!G33,'Expenditures 15-22'!I33)+'Expenditures 15-22'!D229</f>
        <v>912365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40546</v>
      </c>
      <c r="F21" s="1825"/>
      <c r="G21" s="1828">
        <f>'Expenditures 15-22'!K42-SUM('Expenditures 15-22'!G42,'Expenditures 15-22'!I42)+'Expenditures 15-22'!K120-SUM('Expenditures 15-22'!G120,'Expenditures 15-22'!I120)+'Expenditures 15-22'!K180-SUM('Expenditures 15-22'!G180,'Expenditures 15-22'!I180)+'Expenditures 15-22'!D238</f>
        <v>40546</v>
      </c>
      <c r="H21" s="988"/>
      <c r="I21" s="162"/>
    </row>
    <row r="22" spans="1:9" s="669" customFormat="1" ht="12" customHeight="1" x14ac:dyDescent="0.2">
      <c r="A22" s="995" t="s">
        <v>585</v>
      </c>
      <c r="B22" s="996"/>
      <c r="C22" s="994">
        <v>2200</v>
      </c>
      <c r="D22" s="1825"/>
      <c r="E22" s="1827">
        <f>'Expenditures 15-22'!K47-SUM('Expenditures 15-22'!G47,'Expenditures 15-22'!I47)+'Expenditures 15-22'!D243</f>
        <v>124474</v>
      </c>
      <c r="F22" s="1825"/>
      <c r="G22" s="1828">
        <f>'Expenditures 15-22'!K47-SUM('Expenditures 15-22'!G47,'Expenditures 15-22'!I47)+'Expenditures 15-22'!D243</f>
        <v>124474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15731</v>
      </c>
      <c r="F23" s="1825"/>
      <c r="G23" s="1827">
        <f>'Expenditures 15-22'!K53-SUM('Expenditures 15-22'!G53,'Expenditures 15-22'!I53)+'Expenditures 15-22'!D257+'Expenditures 15-22'!K330-SUM('Expenditures 15-22'!G330,'Expenditures 15-22'!I330)</f>
        <v>15731</v>
      </c>
      <c r="H23" s="988"/>
      <c r="I23" s="162"/>
    </row>
    <row r="24" spans="1:9" s="669" customFormat="1" ht="12" customHeight="1" x14ac:dyDescent="0.2">
      <c r="A24" s="995" t="s">
        <v>587</v>
      </c>
      <c r="B24" s="996"/>
      <c r="C24" s="994">
        <v>2400</v>
      </c>
      <c r="D24" s="1825"/>
      <c r="E24" s="1827">
        <f>'Expenditures 15-22'!K57-SUM('Expenditures 15-22'!G57,'Expenditures 15-22'!I57)+'Expenditures 15-22'!D261</f>
        <v>93313</v>
      </c>
      <c r="F24" s="1825"/>
      <c r="G24" s="1828">
        <f>'Expenditures 15-22'!K57-SUM('Expenditures 15-22'!G57,'Expenditures 15-22'!I57)+'Expenditures 15-22'!D261</f>
        <v>93313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174926</v>
      </c>
      <c r="F28" s="1829">
        <f>'Expenditures 15-22'!K61-SUM('Expenditures 15-22'!G61,'Expenditures 15-22'!I61)+'Expenditures 15-22'!K124-SUM('Expenditures 15-22'!G124,'Expenditures 15-22'!I124)+'Expenditures 15-22'!D266-E9</f>
        <v>174926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32362</v>
      </c>
      <c r="F30" s="1825"/>
      <c r="G30" s="1827">
        <f>'Expenditures 15-22'!K63-SUM('Expenditures 15-22'!G63,'Expenditures 15-22'!I63)+'Expenditures 15-22'!D268-E10</f>
        <v>32362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1393717</v>
      </c>
      <c r="F41" s="1829">
        <f>SUM(F19:F39)</f>
        <v>174926</v>
      </c>
      <c r="G41" s="1829">
        <f>SUM(G19:G40)</f>
        <v>1218791</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0</v>
      </c>
      <c r="F43" s="1830" t="s">
        <v>495</v>
      </c>
      <c r="G43" s="1831">
        <f>F41</f>
        <v>174926</v>
      </c>
    </row>
    <row r="44" spans="1:7" ht="12" customHeight="1" x14ac:dyDescent="0.2">
      <c r="A44" s="988"/>
      <c r="B44" s="162"/>
      <c r="C44" s="1002"/>
      <c r="D44" s="1830" t="s">
        <v>494</v>
      </c>
      <c r="E44" s="1831">
        <f>E41</f>
        <v>1393717</v>
      </c>
      <c r="F44" s="1830" t="s">
        <v>494</v>
      </c>
      <c r="G44" s="1831">
        <f>G41</f>
        <v>1218791</v>
      </c>
    </row>
    <row r="45" spans="1:7" ht="12" customHeight="1" x14ac:dyDescent="0.2">
      <c r="A45" s="988"/>
      <c r="B45" s="162"/>
      <c r="C45" s="162"/>
      <c r="D45" s="1832" t="s">
        <v>1063</v>
      </c>
      <c r="E45" s="1833">
        <f>(E43/E44)</f>
        <v>0</v>
      </c>
      <c r="F45" s="1832" t="s">
        <v>1063</v>
      </c>
      <c r="G45" s="1833">
        <f>(G43/G44)</f>
        <v>0.14352419733982283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zoomScaleSheetLayoutView="100" workbookViewId="0">
      <pane ySplit="4" topLeftCell="A5" activePane="bottomLeft" state="frozen"/>
      <selection activeCell="A17" sqref="A17:H17"/>
      <selection pane="bottomLeft" activeCell="A17" sqref="A17:H1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Kishwaukee Education Consortium</v>
      </c>
      <c r="D6" s="2317"/>
      <c r="E6" s="2317"/>
      <c r="F6" s="1877"/>
    </row>
    <row r="7" spans="1:10" ht="11.25" customHeight="1" thickBot="1" x14ac:dyDescent="0.3">
      <c r="A7" s="1875"/>
      <c r="B7" s="1876"/>
      <c r="C7" s="2318">
        <f>COVER!A13</f>
        <v>16000000046</v>
      </c>
      <c r="D7" s="2318"/>
      <c r="E7" s="2318"/>
      <c r="F7" s="1877"/>
    </row>
    <row r="8" spans="1:10" ht="25.5" customHeight="1" thickBot="1" x14ac:dyDescent="0.25">
      <c r="A8" s="1918" t="s">
        <v>2023</v>
      </c>
      <c r="B8" s="1878" t="s">
        <v>2078</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1458</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A17" sqref="A17: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Kishwaukee Education Consortium</v>
      </c>
      <c r="J6" s="2338"/>
      <c r="Q6" s="1686"/>
    </row>
    <row r="7" spans="1:17" x14ac:dyDescent="0.2">
      <c r="A7" s="2339" t="s">
        <v>924</v>
      </c>
      <c r="B7" s="2340"/>
      <c r="C7" s="2340"/>
      <c r="D7" s="2340"/>
      <c r="E7" s="2341"/>
      <c r="F7" s="1018"/>
      <c r="G7" s="1010"/>
      <c r="H7" s="1017" t="s">
        <v>390</v>
      </c>
      <c r="I7" s="2342">
        <f>COVER!A13</f>
        <v>16000000046</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15731</v>
      </c>
      <c r="F12" s="1040"/>
      <c r="G12" s="1834">
        <f t="shared" ref="G12:G18" si="0">SUM(E12:F12)</f>
        <v>15731</v>
      </c>
      <c r="H12" s="1041">
        <v>14990</v>
      </c>
      <c r="I12" s="1040"/>
      <c r="J12" s="1834">
        <f t="shared" ref="J12:J18" si="1">SUM(H12:I12)</f>
        <v>14990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15731</v>
      </c>
      <c r="F19" s="1836">
        <f t="shared" si="2"/>
        <v>0</v>
      </c>
      <c r="G19" s="1836">
        <f t="shared" si="2"/>
        <v>15731</v>
      </c>
      <c r="H19" s="1836">
        <f t="shared" si="2"/>
        <v>14990</v>
      </c>
      <c r="I19" s="1836">
        <f t="shared" si="2"/>
        <v>0</v>
      </c>
      <c r="J19" s="1836">
        <f t="shared" si="2"/>
        <v>14990</v>
      </c>
    </row>
    <row r="20" spans="1:10" ht="13.5" thickTop="1" x14ac:dyDescent="0.2">
      <c r="A20" s="1036">
        <v>9</v>
      </c>
      <c r="B20" s="2349" t="s">
        <v>1703</v>
      </c>
      <c r="C20" s="2349"/>
      <c r="D20" s="2350"/>
      <c r="E20" s="1047"/>
      <c r="F20" s="1047"/>
      <c r="G20" s="1047"/>
      <c r="H20" s="1047"/>
      <c r="I20" s="1047"/>
      <c r="J20" s="1837">
        <f>IF(AND(G19&gt;0,J19&gt;0),(((J19-G19)/G19)),"Enter Budget Data")</f>
        <v>-4.7104443455597229E-2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1943</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activeCell="A17" sqref="A17:H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2095</v>
      </c>
    </row>
    <row r="6" spans="1:2" x14ac:dyDescent="0.2">
      <c r="A6" s="1069">
        <v>2</v>
      </c>
      <c r="B6" s="1" t="s">
        <v>2094</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Kishwaukee Education Consortium</v>
      </c>
    </row>
    <row r="65" spans="2:2" x14ac:dyDescent="0.2">
      <c r="B65" s="1071">
        <f>COVER!A13</f>
        <v>16000000046</v>
      </c>
    </row>
  </sheetData>
  <phoneticPr fontId="13" type="noConversion"/>
  <pageMargins left="0.2" right="0.2" top="1.17" bottom="0.75" header="0.19" footer="0.16"/>
  <pageSetup scale="7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Normal="100" workbookViewId="0">
      <selection activeCell="A17" sqref="A17:H1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2252480</v>
      </c>
      <c r="C8" s="1838">
        <f>'Acct Summary 7-8'!D8</f>
        <v>8252</v>
      </c>
      <c r="D8" s="1838">
        <f>'Acct Summary 7-8'!F8</f>
        <v>0</v>
      </c>
      <c r="E8" s="1838">
        <f>'Acct Summary 7-8'!I8</f>
        <v>0</v>
      </c>
      <c r="F8" s="1838">
        <f>SUM(B8:E8)</f>
        <v>2260732</v>
      </c>
    </row>
    <row r="9" spans="1:8" s="1080" customFormat="1" ht="14.25" customHeight="1" thickBot="1" x14ac:dyDescent="0.25">
      <c r="A9" s="1079" t="s">
        <v>1436</v>
      </c>
      <c r="B9" s="1839">
        <f>'Acct Summary 7-8'!C17</f>
        <v>2252292</v>
      </c>
      <c r="C9" s="1839">
        <f>'Acct Summary 7-8'!D17</f>
        <v>7375</v>
      </c>
      <c r="D9" s="1839">
        <f>'Acct Summary 7-8'!F17</f>
        <v>0</v>
      </c>
      <c r="E9" s="1838"/>
      <c r="F9" s="1838">
        <f>SUM(B9:E9)</f>
        <v>2259667</v>
      </c>
    </row>
    <row r="10" spans="1:8" s="1080" customFormat="1" ht="14.25" thickTop="1" thickBot="1" x14ac:dyDescent="0.25">
      <c r="A10" s="1081" t="s">
        <v>1437</v>
      </c>
      <c r="B10" s="1840">
        <f>(B8-B9)</f>
        <v>188</v>
      </c>
      <c r="C10" s="1840">
        <f>(C8-C9)</f>
        <v>877</v>
      </c>
      <c r="D10" s="1840">
        <f>(D8-D9)</f>
        <v>0</v>
      </c>
      <c r="E10" s="1839">
        <f>(E8-E9)</f>
        <v>0</v>
      </c>
      <c r="F10" s="1841">
        <f>SUM(F8-F9)</f>
        <v>1065</v>
      </c>
    </row>
    <row r="11" spans="1:8" s="1080" customFormat="1" ht="14.25" thickTop="1" thickBot="1" x14ac:dyDescent="0.25">
      <c r="A11" s="1082" t="s">
        <v>1785</v>
      </c>
      <c r="B11" s="1842">
        <f>'Acct Summary 7-8'!C81</f>
        <v>154691</v>
      </c>
      <c r="C11" s="1842">
        <f>'Acct Summary 7-8'!D81</f>
        <v>194554</v>
      </c>
      <c r="D11" s="1842">
        <f>'Acct Summary 7-8'!F81</f>
        <v>0</v>
      </c>
      <c r="E11" s="1842">
        <f>'Acct Summary 7-8'!I81</f>
        <v>0</v>
      </c>
      <c r="F11" s="1843">
        <f>SUM(B11:E11)</f>
        <v>349245</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Normal="10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ENTER ACCOUNTING INFO</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16000000046</v>
      </c>
    </row>
    <row r="3" spans="1:2" x14ac:dyDescent="0.2">
      <c r="A3" t="s">
        <v>1013</v>
      </c>
      <c r="B3" s="138" t="str">
        <f>COVER!A15</f>
        <v>Dekalb</v>
      </c>
    </row>
    <row r="4" spans="1:2" x14ac:dyDescent="0.2">
      <c r="A4" t="s">
        <v>1064</v>
      </c>
      <c r="B4" s="138" t="str">
        <f>COVER!A17</f>
        <v>Kishwaukee Education Consortium</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066-003284</v>
      </c>
    </row>
    <row r="16" spans="1:2" x14ac:dyDescent="0.2">
      <c r="A16" t="s">
        <v>442</v>
      </c>
      <c r="B16" s="138" t="str">
        <f>COVER!T13</f>
        <v>Sikich LLP</v>
      </c>
    </row>
    <row r="17" spans="1:2" x14ac:dyDescent="0.2">
      <c r="A17" t="s">
        <v>939</v>
      </c>
      <c r="B17" s="138" t="str">
        <f>COVER!T15</f>
        <v>Brian D. LeFevre, Partner</v>
      </c>
    </row>
    <row r="18" spans="1:2" x14ac:dyDescent="0.2">
      <c r="A18" t="s">
        <v>1212</v>
      </c>
      <c r="B18" s="138" t="str">
        <f>COVER!T17</f>
        <v>1415 W. Diehl Rd, Suite 400</v>
      </c>
    </row>
    <row r="19" spans="1:2" x14ac:dyDescent="0.2">
      <c r="A19" t="s">
        <v>941</v>
      </c>
      <c r="B19" s="138" t="str">
        <f>COVER!T25</f>
        <v>brian.lefevre@sikich.com</v>
      </c>
    </row>
    <row r="20" spans="1:2" x14ac:dyDescent="0.2">
      <c r="A20" t="s">
        <v>942</v>
      </c>
      <c r="B20" s="138" t="str">
        <f>COVER!T19</f>
        <v>Naperville</v>
      </c>
    </row>
    <row r="21" spans="1:2" x14ac:dyDescent="0.2">
      <c r="A21" t="s">
        <v>500</v>
      </c>
      <c r="B21" s="138" t="str">
        <f>COVER!X19</f>
        <v xml:space="preserve">IL </v>
      </c>
    </row>
    <row r="22" spans="1:2" x14ac:dyDescent="0.2">
      <c r="A22" t="s">
        <v>943</v>
      </c>
      <c r="B22" s="138">
        <f>COVER!Z19</f>
        <v>60563</v>
      </c>
    </row>
    <row r="23" spans="1:2" x14ac:dyDescent="0.2">
      <c r="A23" t="s">
        <v>1214</v>
      </c>
      <c r="B23" s="138" t="str">
        <f>COVER!T21</f>
        <v>630-566-8400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699324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500000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544633</v>
      </c>
      <c r="C91" s="2" t="s">
        <v>594</v>
      </c>
      <c r="D91" s="2" t="str">
        <f t="shared" si="0"/>
        <v>Error?</v>
      </c>
    </row>
    <row r="92" spans="1:4" x14ac:dyDescent="0.2">
      <c r="A92" s="5">
        <v>31</v>
      </c>
      <c r="B92" s="138">
        <f>'Assets-Liab 5-6'!C39</f>
        <v>154691</v>
      </c>
      <c r="D92" s="2" t="str">
        <f t="shared" si="0"/>
        <v>Error?</v>
      </c>
    </row>
    <row r="93" spans="1:4" x14ac:dyDescent="0.2">
      <c r="A93" s="5">
        <v>32</v>
      </c>
      <c r="B93" s="138">
        <f>'Assets-Liab 5-6'!C41</f>
        <v>699324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178312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265726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71172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71172</v>
      </c>
      <c r="C122" s="2" t="s">
        <v>594</v>
      </c>
      <c r="D122" s="2" t="str">
        <f t="shared" si="0"/>
        <v>Error?</v>
      </c>
    </row>
    <row r="123" spans="1:4" x14ac:dyDescent="0.2">
      <c r="A123" s="5">
        <v>62</v>
      </c>
      <c r="B123" s="138">
        <f>'Assets-Liab 5-6'!D39</f>
        <v>194554</v>
      </c>
      <c r="D123" s="2" t="str">
        <f t="shared" si="0"/>
        <v>Error?</v>
      </c>
    </row>
    <row r="124" spans="1:4" x14ac:dyDescent="0.2">
      <c r="A124" s="5">
        <v>63</v>
      </c>
      <c r="B124" s="138">
        <f>'Assets-Liab 5-6'!D41</f>
        <v>265726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5131509</v>
      </c>
      <c r="D274" s="2" t="str">
        <f t="shared" si="3"/>
        <v>Error?</v>
      </c>
    </row>
    <row r="275" spans="1:4" x14ac:dyDescent="0.2">
      <c r="A275" s="5">
        <v>214</v>
      </c>
      <c r="B275" s="138">
        <f>'Assets-Liab 5-6'!M18</f>
        <v>0</v>
      </c>
      <c r="D275" s="2" t="str">
        <f t="shared" si="3"/>
        <v>Error?</v>
      </c>
    </row>
    <row r="276" spans="1:4" x14ac:dyDescent="0.2">
      <c r="A276" s="5">
        <v>215</v>
      </c>
      <c r="B276" s="138">
        <f>'Assets-Liab 5-6'!M19</f>
        <v>310855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5442364</v>
      </c>
      <c r="C279" s="2" t="s">
        <v>594</v>
      </c>
      <c r="D279" s="2" t="str">
        <f t="shared" si="3"/>
        <v>Error?</v>
      </c>
    </row>
    <row r="280" spans="1:4" x14ac:dyDescent="0.2">
      <c r="A280" s="5">
        <v>219</v>
      </c>
      <c r="B280" s="138">
        <f>'Assets-Liab 5-6'!M40</f>
        <v>5442364</v>
      </c>
      <c r="D280" s="2" t="str">
        <f t="shared" si="3"/>
        <v>Error?</v>
      </c>
    </row>
    <row r="281" spans="1:4" x14ac:dyDescent="0.2">
      <c r="A281" s="5">
        <v>220</v>
      </c>
      <c r="B281" s="138">
        <f>'Assets-Liab 5-6'!M41</f>
        <v>5442364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3130000</v>
      </c>
      <c r="D283" s="2" t="str">
        <f t="shared" si="3"/>
        <v>Error?</v>
      </c>
    </row>
    <row r="284" spans="1:4" x14ac:dyDescent="0.2">
      <c r="A284" s="5">
        <v>223</v>
      </c>
      <c r="B284" s="138">
        <f>'Assets-Liab 5-6'!N23</f>
        <v>3130000</v>
      </c>
      <c r="C284" s="2" t="s">
        <v>594</v>
      </c>
      <c r="D284" s="2" t="str">
        <f t="shared" si="3"/>
        <v>Error?</v>
      </c>
    </row>
    <row r="285" spans="1:4" x14ac:dyDescent="0.2">
      <c r="A285" s="5">
        <v>224</v>
      </c>
      <c r="B285" s="138">
        <f>'Assets-Liab 5-6'!N36</f>
        <v>3130000</v>
      </c>
      <c r="D285" s="2" t="str">
        <f t="shared" si="3"/>
        <v>Error?</v>
      </c>
    </row>
    <row r="286" spans="1:4" x14ac:dyDescent="0.2">
      <c r="A286" s="10">
        <v>225</v>
      </c>
      <c r="D286" s="2" t="str">
        <f t="shared" si="3"/>
        <v>OK</v>
      </c>
    </row>
    <row r="287" spans="1:4" x14ac:dyDescent="0.2">
      <c r="A287" s="5">
        <v>226</v>
      </c>
      <c r="B287" s="138">
        <f>'Assets-Liab 5-6'!N37</f>
        <v>3130000</v>
      </c>
      <c r="C287" s="2" t="s">
        <v>594</v>
      </c>
      <c r="D287" s="2" t="str">
        <f t="shared" si="3"/>
        <v>Error?</v>
      </c>
    </row>
    <row r="288" spans="1:4" x14ac:dyDescent="0.2">
      <c r="A288" s="5">
        <v>227</v>
      </c>
      <c r="B288" s="138">
        <f>'Assets-Liab 5-6'!N41</f>
        <v>3130000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327304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797500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37579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37579</v>
      </c>
      <c r="C843" s="2" t="s">
        <v>594</v>
      </c>
      <c r="D843" s="2" t="str">
        <f t="shared" si="12"/>
        <v>Error?</v>
      </c>
    </row>
    <row r="844" spans="1:4" x14ac:dyDescent="0.2">
      <c r="A844" s="5">
        <v>783</v>
      </c>
      <c r="B844" s="138">
        <f>'Expenditures 15-22'!E44</f>
        <v>118603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118603</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15257</v>
      </c>
      <c r="D849" s="2" t="str">
        <f t="shared" si="12"/>
        <v>Error?</v>
      </c>
    </row>
    <row r="850" spans="1:4" x14ac:dyDescent="0.2">
      <c r="A850" s="5">
        <v>789</v>
      </c>
      <c r="B850" s="138">
        <f>'Expenditures 15-22'!E53</f>
        <v>15257</v>
      </c>
      <c r="C850" s="2" t="s">
        <v>594</v>
      </c>
      <c r="D850" s="2" t="str">
        <f t="shared" si="12"/>
        <v>Error?</v>
      </c>
    </row>
    <row r="851" spans="1:4" x14ac:dyDescent="0.2">
      <c r="A851" s="5">
        <v>790</v>
      </c>
      <c r="B851" s="138">
        <f>'Expenditures 15-22'!E55</f>
        <v>58871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58871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128829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129363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359673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1992420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77775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91665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2967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2967</v>
      </c>
      <c r="C901" s="2" t="s">
        <v>594</v>
      </c>
      <c r="D901" s="2" t="str">
        <f t="shared" si="13"/>
        <v>Error?</v>
      </c>
    </row>
    <row r="902" spans="1:4" x14ac:dyDescent="0.2">
      <c r="A902" s="5">
        <v>841</v>
      </c>
      <c r="B902" s="138">
        <f>'Expenditures 15-22'!F44</f>
        <v>5871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5871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474</v>
      </c>
      <c r="D907" s="2" t="str">
        <f t="shared" si="13"/>
        <v>Error?</v>
      </c>
    </row>
    <row r="908" spans="1:4" x14ac:dyDescent="0.2">
      <c r="A908" s="5">
        <v>847</v>
      </c>
      <c r="B908" s="138">
        <f>'Expenditures 15-22'!F53</f>
        <v>474</v>
      </c>
      <c r="C908" s="2" t="s">
        <v>594</v>
      </c>
      <c r="D908" s="2" t="str">
        <f t="shared" si="13"/>
        <v>Error?</v>
      </c>
    </row>
    <row r="909" spans="1:4" x14ac:dyDescent="0.2">
      <c r="A909" s="5">
        <v>848</v>
      </c>
      <c r="B909" s="138">
        <f>'Expenditures 15-22'!F55</f>
        <v>34442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34442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46097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31828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77925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121679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213344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16877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16877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4216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4216</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4216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21093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23200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23200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2235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25435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445156</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929242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40546</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40546</v>
      </c>
      <c r="C1115" s="2" t="s">
        <v>594</v>
      </c>
      <c r="D1115" s="2" t="str">
        <f t="shared" si="16"/>
        <v>Error?</v>
      </c>
    </row>
    <row r="1116" spans="1:4" x14ac:dyDescent="0.2">
      <c r="A1116" s="5">
        <v>1055</v>
      </c>
      <c r="B1116" s="138">
        <f>'Expenditures 15-22'!K44</f>
        <v>124474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124474</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15731</v>
      </c>
      <c r="C1121" s="2" t="s">
        <v>594</v>
      </c>
      <c r="D1121" s="2" t="str">
        <f t="shared" si="16"/>
        <v>Error?</v>
      </c>
    </row>
    <row r="1122" spans="1:4" x14ac:dyDescent="0.2">
      <c r="A1122" s="5">
        <v>1061</v>
      </c>
      <c r="B1122" s="138">
        <f>'Expenditures 15-22'!K53</f>
        <v>15731</v>
      </c>
      <c r="C1122" s="2" t="s">
        <v>594</v>
      </c>
      <c r="D1122" s="2" t="str">
        <f t="shared" si="16"/>
        <v>Error?</v>
      </c>
    </row>
    <row r="1123" spans="1:4" x14ac:dyDescent="0.2">
      <c r="A1123" s="5">
        <v>1062</v>
      </c>
      <c r="B1123" s="138">
        <f>'Expenditures 15-22'!K55</f>
        <v>97529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97529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174926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32362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207288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485568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837482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2252292</v>
      </c>
      <c r="C1152" s="2" t="s">
        <v>594</v>
      </c>
      <c r="D1152" s="2" t="str">
        <f t="shared" si="17"/>
        <v>Error?</v>
      </c>
    </row>
    <row r="1153" spans="1:4" x14ac:dyDescent="0.2">
      <c r="A1153" s="5">
        <v>1092</v>
      </c>
      <c r="B1153" s="138">
        <f>'Expenditures 15-22'!K115</f>
        <v>188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7375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7375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7375</v>
      </c>
      <c r="C1258" s="2" t="s">
        <v>594</v>
      </c>
      <c r="D1258" s="2" t="str">
        <f t="shared" si="18"/>
        <v>Error?</v>
      </c>
    </row>
    <row r="1259" spans="1:4" x14ac:dyDescent="0.2">
      <c r="A1259" s="5">
        <v>1198</v>
      </c>
      <c r="B1259" s="138">
        <f>'Expenditures 15-22'!G151</f>
        <v>7375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7375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7375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7375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7375</v>
      </c>
      <c r="C1288" s="2" t="s">
        <v>594</v>
      </c>
      <c r="D1288" s="2" t="str">
        <f t="shared" si="19"/>
        <v>Error?</v>
      </c>
    </row>
    <row r="1289" spans="1:4" x14ac:dyDescent="0.2">
      <c r="A1289" s="5">
        <v>1228</v>
      </c>
      <c r="B1289" s="138">
        <f>'Expenditures 15-22'!K152</f>
        <v>877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106683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401683</v>
      </c>
      <c r="C1317" s="2" t="s">
        <v>594</v>
      </c>
      <c r="D1317" s="2" t="str">
        <f t="shared" si="19"/>
        <v>Error?</v>
      </c>
    </row>
    <row r="1318" spans="1:4" x14ac:dyDescent="0.2">
      <c r="A1318" s="5">
        <v>1257</v>
      </c>
      <c r="B1318" s="138">
        <f>'Expenditures 15-22'!H174</f>
        <v>401683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106683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401683</v>
      </c>
      <c r="C1331" s="2" t="s">
        <v>594</v>
      </c>
      <c r="D1331" s="2" t="str">
        <f t="shared" si="19"/>
        <v>Error?</v>
      </c>
    </row>
    <row r="1332" spans="1:4" x14ac:dyDescent="0.2">
      <c r="A1332" s="5">
        <v>1271</v>
      </c>
      <c r="B1332" s="138">
        <f>'Expenditures 15-22'!K174</f>
        <v>401683</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154503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154691</v>
      </c>
      <c r="C1630" s="2" t="s">
        <v>594</v>
      </c>
      <c r="D1630" s="2" t="str">
        <f t="shared" si="24"/>
        <v>Error?</v>
      </c>
    </row>
    <row r="1631" spans="1:4" x14ac:dyDescent="0.2">
      <c r="A1631" s="5">
        <v>1570</v>
      </c>
      <c r="B1631" s="138">
        <f>'Acct Summary 7-8'!D79</f>
        <v>193677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194554</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5131509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281178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5412687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29677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29677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5131509</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310855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5442364</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5131509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310855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5442364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2235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837482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1408103</v>
      </c>
      <c r="C2551" s="2" t="s">
        <v>594</v>
      </c>
      <c r="D2551" s="2" t="str">
        <f t="shared" si="38"/>
        <v>Error?</v>
      </c>
    </row>
    <row r="2552" spans="1:4" x14ac:dyDescent="0.2">
      <c r="A2552" s="10">
        <v>2491</v>
      </c>
      <c r="D2552" s="2" t="str">
        <f t="shared" si="38"/>
        <v>OK</v>
      </c>
    </row>
    <row r="2553" spans="1:4" x14ac:dyDescent="0.2">
      <c r="A2553" s="5">
        <v>2492</v>
      </c>
      <c r="B2553" s="138">
        <f>'Acct Summary 7-8'!C6</f>
        <v>659677</v>
      </c>
      <c r="C2553" s="2" t="s">
        <v>594</v>
      </c>
      <c r="D2553" s="2" t="str">
        <f t="shared" si="38"/>
        <v>Error?</v>
      </c>
    </row>
    <row r="2554" spans="1:4" x14ac:dyDescent="0.2">
      <c r="A2554" s="5">
        <v>2493</v>
      </c>
      <c r="B2554" s="138">
        <f>'Acct Summary 7-8'!C7</f>
        <v>184700</v>
      </c>
      <c r="C2554" s="2" t="s">
        <v>594</v>
      </c>
      <c r="D2554" s="2" t="str">
        <f t="shared" si="38"/>
        <v>Error?</v>
      </c>
    </row>
    <row r="2555" spans="1:4" x14ac:dyDescent="0.2">
      <c r="A2555" s="5">
        <v>2494</v>
      </c>
      <c r="B2555" s="138">
        <f>'Acct Summary 7-8'!C8</f>
        <v>2252480</v>
      </c>
      <c r="C2555" s="2" t="s">
        <v>594</v>
      </c>
      <c r="D2555" s="2" t="str">
        <f t="shared" si="38"/>
        <v>Error?</v>
      </c>
    </row>
    <row r="2556" spans="1:4" x14ac:dyDescent="0.2">
      <c r="A2556" s="5">
        <v>2495</v>
      </c>
      <c r="B2556" s="138">
        <f>'Acct Summary 7-8'!C12</f>
        <v>929242</v>
      </c>
      <c r="C2556" s="2" t="s">
        <v>594</v>
      </c>
      <c r="D2556" s="2" t="str">
        <f t="shared" si="38"/>
        <v>Error?</v>
      </c>
    </row>
    <row r="2557" spans="1:4" x14ac:dyDescent="0.2">
      <c r="A2557" s="5">
        <v>2496</v>
      </c>
      <c r="B2557" s="138">
        <f>'Acct Summary 7-8'!C13</f>
        <v>485568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837482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2252292</v>
      </c>
      <c r="C2561" s="2" t="s">
        <v>594</v>
      </c>
      <c r="D2561" s="2" t="str">
        <f t="shared" si="39"/>
        <v>Error?</v>
      </c>
    </row>
    <row r="2562" spans="1:4" x14ac:dyDescent="0.2">
      <c r="A2562" s="5">
        <v>2501</v>
      </c>
      <c r="B2562" s="138">
        <f>'Acct Summary 7-8'!C20</f>
        <v>188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8252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8252</v>
      </c>
      <c r="C2568" s="2" t="s">
        <v>594</v>
      </c>
      <c r="D2568" s="2" t="str">
        <f t="shared" si="39"/>
        <v>Error?</v>
      </c>
    </row>
    <row r="2569" spans="1:4" x14ac:dyDescent="0.2">
      <c r="A2569" s="5">
        <v>2508</v>
      </c>
      <c r="B2569" s="138">
        <f>'Acct Summary 7-8'!D13</f>
        <v>7375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7375</v>
      </c>
      <c r="C2573" s="2" t="s">
        <v>594</v>
      </c>
      <c r="D2573" s="2" t="str">
        <f t="shared" si="39"/>
        <v>Error?</v>
      </c>
    </row>
    <row r="2574" spans="1:4" x14ac:dyDescent="0.2">
      <c r="A2574" s="5">
        <v>2513</v>
      </c>
      <c r="B2574" s="138">
        <f>'Acct Summary 7-8'!D20</f>
        <v>877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401683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401683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401683</v>
      </c>
      <c r="C2634" s="2" t="s">
        <v>594</v>
      </c>
      <c r="D2634" s="2" t="str">
        <f t="shared" si="40"/>
        <v>Error?</v>
      </c>
    </row>
    <row r="2635" spans="1:4" x14ac:dyDescent="0.2">
      <c r="A2635" s="5">
        <v>2574</v>
      </c>
      <c r="B2635" s="138">
        <f>'Acct Summary 7-8'!E17</f>
        <v>401683</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835247</v>
      </c>
      <c r="C2789" s="2" t="s">
        <v>594</v>
      </c>
      <c r="D2789" s="2" t="str">
        <f t="shared" si="42"/>
        <v>Error?</v>
      </c>
    </row>
    <row r="2790" spans="1:4" x14ac:dyDescent="0.2">
      <c r="A2790" s="5">
        <v>2729</v>
      </c>
      <c r="B2790" s="138">
        <f>'Expenditures 15-22'!E102</f>
        <v>835247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261419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573828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263654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573828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877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470196</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13890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484086</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521233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87414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2252480</v>
      </c>
      <c r="C4122" s="2" t="s">
        <v>594</v>
      </c>
      <c r="D4122" s="2" t="str">
        <f t="shared" si="63"/>
        <v>Error?</v>
      </c>
    </row>
    <row r="4123" spans="1:4" x14ac:dyDescent="0.2">
      <c r="A4123" s="5">
        <v>4062</v>
      </c>
      <c r="B4123" s="138">
        <f>'Acct Summary 7-8'!D10</f>
        <v>8252</v>
      </c>
      <c r="C4123" s="2" t="s">
        <v>594</v>
      </c>
      <c r="D4123" s="2" t="str">
        <f t="shared" si="63"/>
        <v>Error?</v>
      </c>
    </row>
    <row r="4124" spans="1:4" x14ac:dyDescent="0.2">
      <c r="A4124" s="5">
        <v>4063</v>
      </c>
      <c r="B4124" s="138">
        <f>'Acct Summary 7-8'!E10</f>
        <v>401683</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2252292</v>
      </c>
      <c r="C4136" s="2" t="s">
        <v>594</v>
      </c>
      <c r="D4136" s="2" t="str">
        <f t="shared" si="63"/>
        <v>Error?</v>
      </c>
    </row>
    <row r="4137" spans="1:4" x14ac:dyDescent="0.2">
      <c r="A4137" s="5">
        <v>4076</v>
      </c>
      <c r="B4137" s="138">
        <f>'Acct Summary 7-8'!D19</f>
        <v>7375</v>
      </c>
      <c r="C4137" s="2" t="s">
        <v>594</v>
      </c>
      <c r="D4137" s="2" t="str">
        <f t="shared" si="63"/>
        <v>Error?</v>
      </c>
    </row>
    <row r="4138" spans="1:4" x14ac:dyDescent="0.2">
      <c r="A4138" s="5">
        <v>4077</v>
      </c>
      <c r="B4138" s="138">
        <f>'Acct Summary 7-8'!E19</f>
        <v>401683</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3130000</v>
      </c>
      <c r="C4171" s="2" t="s">
        <v>594</v>
      </c>
      <c r="D4171" s="2" t="str">
        <f t="shared" si="64"/>
        <v>Error?</v>
      </c>
    </row>
    <row r="4172" spans="1:4" x14ac:dyDescent="0.2">
      <c r="A4172" s="5">
        <v>4111</v>
      </c>
      <c r="B4172" s="138">
        <f>'Short-Term Long-Term Debt 24'!J49</f>
        <v>3130000</v>
      </c>
      <c r="C4172" s="2" t="s">
        <v>594</v>
      </c>
      <c r="D4172" s="2" t="str">
        <f t="shared" si="64"/>
        <v>Error?</v>
      </c>
    </row>
    <row r="4173" spans="1:4" x14ac:dyDescent="0.2">
      <c r="A4173" s="5">
        <v>4112</v>
      </c>
      <c r="B4173" s="138">
        <f>'Short-Term Long-Term Debt 24'!H49</f>
        <v>295000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349245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155968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112811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3130000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798720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537844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1336564</v>
      </c>
      <c r="C5087" s="2" t="s">
        <v>594</v>
      </c>
      <c r="D5087" s="2" t="str">
        <f t="shared" si="78"/>
        <v>Error?</v>
      </c>
    </row>
    <row r="5088" spans="1:4" x14ac:dyDescent="0.2">
      <c r="A5088" s="5">
        <v>5027</v>
      </c>
      <c r="B5088" s="138">
        <f>'Revenues 9-14'!C65</f>
        <v>363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2233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2233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22522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22522</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21803</v>
      </c>
      <c r="D5114" s="2" t="str">
        <f t="shared" si="78"/>
        <v>Error?</v>
      </c>
    </row>
    <row r="5115" spans="1:4" x14ac:dyDescent="0.2">
      <c r="A5115" s="5">
        <v>5054</v>
      </c>
      <c r="B5115" s="138">
        <f>'Revenues 9-14'!C98</f>
        <v>24000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618</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46421</v>
      </c>
      <c r="C5120" s="2" t="s">
        <v>594</v>
      </c>
      <c r="D5120" s="2" t="str">
        <f t="shared" si="79"/>
        <v>Error?</v>
      </c>
    </row>
    <row r="5121" spans="1:4" x14ac:dyDescent="0.2">
      <c r="A5121" s="5">
        <v>5060</v>
      </c>
      <c r="B5121" s="138">
        <f>'Revenues 9-14'!C109</f>
        <v>1408103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187241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187241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359625</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359625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472436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659677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19654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9078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28732</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155968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184700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184700</v>
      </c>
      <c r="C5326" s="2" t="s">
        <v>594</v>
      </c>
      <c r="D5326" s="2" t="str">
        <f t="shared" si="82"/>
        <v>Error?</v>
      </c>
    </row>
    <row r="5327" spans="1:4" x14ac:dyDescent="0.2">
      <c r="A5327" s="5">
        <v>5266</v>
      </c>
      <c r="B5327" s="138">
        <f>'Revenues 9-14'!C275</f>
        <v>2252480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2227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6025</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6025</v>
      </c>
      <c r="C5355" s="2" t="s">
        <v>594</v>
      </c>
      <c r="D5355" s="2" t="str">
        <f t="shared" si="82"/>
        <v>Error?</v>
      </c>
    </row>
    <row r="5356" spans="1:4" x14ac:dyDescent="0.2">
      <c r="A5356" s="5">
        <v>5295</v>
      </c>
      <c r="B5356" s="138">
        <f>'Revenues 9-14'!D109</f>
        <v>8252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8252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401683</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401683</v>
      </c>
      <c r="C5526" s="2" t="s">
        <v>594</v>
      </c>
      <c r="D5526" s="2" t="str">
        <f t="shared" si="85"/>
        <v>Error?</v>
      </c>
    </row>
    <row r="5527" spans="1:4" x14ac:dyDescent="0.2">
      <c r="A5527" s="5">
        <v>5466</v>
      </c>
      <c r="B5527" s="138">
        <f>'Revenues 9-14'!E109</f>
        <v>401683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401683</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178091</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44633</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188</v>
      </c>
      <c r="D6267" s="2" t="str">
        <f t="shared" si="96"/>
        <v>Error?</v>
      </c>
      <c r="E6267" s="2" t="s">
        <v>199</v>
      </c>
    </row>
    <row r="6268" spans="1:5" x14ac:dyDescent="0.2">
      <c r="A6268">
        <v>6207</v>
      </c>
      <c r="B6268" s="138">
        <f>'Acct Summary 7-8'!D82</f>
        <v>877</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1.215326037067444E-3</v>
      </c>
      <c r="D6276" s="2" t="str">
        <f t="shared" si="97"/>
        <v>Error?</v>
      </c>
      <c r="E6276" s="2" t="s">
        <v>199</v>
      </c>
    </row>
    <row r="6277" spans="1:5" x14ac:dyDescent="0.2">
      <c r="A6277">
        <v>6216</v>
      </c>
      <c r="B6277" s="138">
        <f>'Acct Summary 7-8'!D83</f>
        <v>4.5077459214408339E-3</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8" zoomScaleNormal="100" workbookViewId="0">
      <selection activeCell="A17" sqref="A17:H1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Kishwaukee Education Consortium</v>
      </c>
      <c r="B7" s="2424"/>
      <c r="C7" s="2424"/>
      <c r="D7" s="2425"/>
      <c r="E7" s="2426">
        <f>COVER!A13</f>
        <v>16000000046</v>
      </c>
      <c r="F7" s="2427"/>
      <c r="G7" s="2433" t="str">
        <f>COVER!T23</f>
        <v>066-003284</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Sikich LLP</v>
      </c>
      <c r="H9" s="2439"/>
      <c r="I9" s="2439"/>
      <c r="J9" s="2439"/>
      <c r="K9" s="2439"/>
      <c r="L9" s="2440"/>
    </row>
    <row r="10" spans="1:29" ht="13.5" customHeight="1" x14ac:dyDescent="0.2">
      <c r="A10" s="2413">
        <f>COVER!A38</f>
        <v>0</v>
      </c>
      <c r="B10" s="2414"/>
      <c r="C10" s="2414"/>
      <c r="D10" s="2414"/>
      <c r="E10" s="2414"/>
      <c r="F10" s="2415"/>
      <c r="G10" s="2407" t="str">
        <f>COVER!T17</f>
        <v>1415 W. Diehl Rd, Suite 400</v>
      </c>
      <c r="H10" s="2408"/>
      <c r="I10" s="2408"/>
      <c r="J10" s="2408"/>
      <c r="K10" s="2408"/>
      <c r="L10" s="2409"/>
    </row>
    <row r="11" spans="1:29" ht="13.5" customHeight="1" x14ac:dyDescent="0.2">
      <c r="A11" s="1185" t="s">
        <v>1599</v>
      </c>
      <c r="B11" s="1186"/>
      <c r="C11" s="1187"/>
      <c r="D11" s="1192"/>
      <c r="E11" s="1187"/>
      <c r="F11" s="1191"/>
      <c r="G11" s="2407" t="str">
        <f>COVER!T19</f>
        <v>Naperville</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brian.lefevre@sikich.com</v>
      </c>
      <c r="J13" s="2420"/>
      <c r="K13" s="2420"/>
      <c r="L13" s="2421"/>
    </row>
    <row r="14" spans="1:29" ht="13.5" customHeight="1" x14ac:dyDescent="0.2">
      <c r="A14" s="2407" t="str">
        <f>COVER!A19</f>
        <v>21255 Malta Road</v>
      </c>
      <c r="B14" s="2408"/>
      <c r="C14" s="2408"/>
      <c r="D14" s="2408"/>
      <c r="E14" s="2408"/>
      <c r="F14" s="2409"/>
      <c r="G14" s="1196" t="s">
        <v>1247</v>
      </c>
      <c r="H14" s="1194"/>
      <c r="I14" s="1194"/>
      <c r="J14" s="1194"/>
      <c r="K14" s="1194"/>
      <c r="L14" s="1195"/>
    </row>
    <row r="15" spans="1:29" ht="13.5" customHeight="1" x14ac:dyDescent="0.2">
      <c r="A15" s="2407" t="str">
        <f>COVER!A21</f>
        <v>Malta</v>
      </c>
      <c r="B15" s="2408"/>
      <c r="C15" s="2408"/>
      <c r="D15" s="2408"/>
      <c r="E15" s="2408"/>
      <c r="F15" s="2409"/>
      <c r="G15" s="2404" t="str">
        <f>COVER!T15</f>
        <v>Brian D. LeFevre, Partner</v>
      </c>
      <c r="H15" s="2405"/>
      <c r="I15" s="2405"/>
      <c r="J15" s="2405"/>
      <c r="K15" s="2405"/>
      <c r="L15" s="2406"/>
    </row>
    <row r="16" spans="1:29" ht="12.2" customHeight="1" x14ac:dyDescent="0.2">
      <c r="A16" s="2429">
        <f>COVER!A25</f>
        <v>60150</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630-566-8400</v>
      </c>
      <c r="H18" s="2424"/>
      <c r="I18" s="2424"/>
      <c r="J18" s="2424"/>
      <c r="K18" s="2423" t="str">
        <f>COVER!X21</f>
        <v>630-566-8401</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A17" sqref="A17:H1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Kishwaukee Education Consortium</v>
      </c>
      <c r="B1" s="2422"/>
      <c r="C1" s="2422"/>
      <c r="D1" s="2422"/>
    </row>
    <row r="2" spans="1:11" s="1215" customFormat="1" ht="12.75" x14ac:dyDescent="0.2">
      <c r="A2" s="2446">
        <f>'Single Audit Cover'!E7</f>
        <v>16000000046</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34" zoomScaleNormal="100" zoomScaleSheetLayoutView="100" workbookViewId="0">
      <selection activeCell="A17" sqref="A17:H17"/>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Kishwaukee Education Consortium</v>
      </c>
      <c r="B1" s="2449"/>
      <c r="C1" s="2449"/>
      <c r="D1" s="2449"/>
      <c r="E1" s="2449"/>
    </row>
    <row r="2" spans="1:5" x14ac:dyDescent="0.2">
      <c r="A2" s="2450">
        <f>'Single Audit Cover'!E7</f>
        <v>16000000046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184700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184700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184700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184700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A17" sqref="A17:H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Kishwaukee Education Consortium</v>
      </c>
      <c r="B1" s="2462"/>
      <c r="C1" s="2462"/>
      <c r="D1" s="2462"/>
      <c r="E1" s="2462"/>
      <c r="F1" s="2462"/>
    </row>
    <row r="2" spans="1:7" ht="13.5" customHeight="1" x14ac:dyDescent="0.2">
      <c r="A2" s="2463">
        <f>'Single Audit Cover'!E7</f>
        <v>16000000046</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6">
        <f>+C33+C34</f>
        <v>0</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7" sqref="A17:H1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Kishwaukee Education Consortium</v>
      </c>
      <c r="C1" s="2466"/>
      <c r="D1" s="2466"/>
      <c r="E1" s="2466"/>
      <c r="F1" s="2466"/>
      <c r="G1" s="2466"/>
      <c r="H1" s="2466"/>
      <c r="I1" s="2466"/>
      <c r="J1" s="2466"/>
      <c r="K1" s="2466"/>
      <c r="L1" s="2466"/>
      <c r="M1" s="2466"/>
    </row>
    <row r="2" spans="2:14" ht="15" x14ac:dyDescent="0.2">
      <c r="B2" s="2463">
        <f>'Single Audit Cover'!E7</f>
        <v>16000000046</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Normal="100" workbookViewId="0">
      <selection activeCell="A17" sqref="A17:H1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Kishwaukee Education Consortium</v>
      </c>
      <c r="C1" s="2481"/>
      <c r="D1" s="2481"/>
      <c r="E1" s="2481"/>
      <c r="F1" s="2481"/>
      <c r="G1" s="2481"/>
      <c r="H1" s="2481"/>
      <c r="I1" s="2481"/>
      <c r="J1" s="1422"/>
    </row>
    <row r="2" spans="2:10" s="317" customFormat="1" ht="12.75" customHeight="1" x14ac:dyDescent="0.2">
      <c r="B2" s="2482">
        <f>'Single Audit Cover'!E7</f>
        <v>16000000046</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1951</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A17" sqref="A17:H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Kishwaukee Education Consortium</v>
      </c>
      <c r="C1" s="2480"/>
      <c r="D1" s="2480"/>
      <c r="E1" s="2480"/>
      <c r="F1" s="2480"/>
      <c r="G1" s="2480"/>
      <c r="H1" s="2480"/>
      <c r="I1" s="2480"/>
      <c r="J1" s="2480"/>
      <c r="K1" s="2480"/>
      <c r="L1" s="1374"/>
      <c r="M1" s="1374"/>
    </row>
    <row r="2" spans="1:13" ht="12" customHeight="1" x14ac:dyDescent="0.2">
      <c r="B2" s="2482">
        <f>'Single Audit Cover'!E7</f>
        <v>16000000046</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A17" sqref="A17:H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Kishwaukee Education Consortium</v>
      </c>
      <c r="C1" s="2503"/>
      <c r="D1" s="2503"/>
      <c r="E1" s="2503"/>
      <c r="F1" s="2503"/>
      <c r="G1" s="2503"/>
      <c r="H1" s="2503"/>
      <c r="I1" s="2503"/>
      <c r="J1" s="2503"/>
      <c r="K1" s="2503"/>
      <c r="L1" s="1465"/>
    </row>
    <row r="2" spans="1:12" ht="12.75" customHeight="1" x14ac:dyDescent="0.2">
      <c r="B2" s="2504">
        <f>'Single Audit Cover'!E7</f>
        <v>16000000046</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A17" sqref="A17:H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Kishwaukee Education Consortium</v>
      </c>
      <c r="C1" s="2480"/>
      <c r="D1" s="2480"/>
      <c r="E1" s="1491"/>
    </row>
    <row r="2" spans="2:5" s="1282" customFormat="1" ht="12.75" customHeight="1" x14ac:dyDescent="0.2">
      <c r="B2" s="2482">
        <f>'Single Audit Cover'!E7</f>
        <v>16000000046</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http://purl.org/dc/terms/"/>
    <ds:schemaRef ds:uri="d21dc803-237d-4c68-8692-8d731fd29118"/>
    <ds:schemaRef ds:uri="http://schemas.microsoft.com/office/2006/metadata/properties"/>
    <ds:schemaRef ds:uri="6ce3111e-7420-4802-b50a-75d4e9a0b980"/>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4d435f69-8686-490b-bd6d-b153bf22ab50"/>
    <ds:schemaRef ds:uri="http://schemas.microsoft.com/sharepoint/v3"/>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2018-10-18T14:34:45Z</cp:lastPrinted>
  <dcterms:created xsi:type="dcterms:W3CDTF">2003-10-29T19:06:34Z</dcterms:created>
  <dcterms:modified xsi:type="dcterms:W3CDTF">2018-10-26T20:33:32Z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