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SEFA'!$B$1:$M$49</definedName>
    <definedName name="_xlnm.Print_Area" localSheetId="27">'SEFA NOTES'!$A$1:$F$49</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K22" i="179" l="1"/>
  <c r="K23" i="179" s="1"/>
  <c r="K27" i="179" s="1"/>
  <c r="J22" i="179"/>
  <c r="J23" i="179" s="1"/>
  <c r="J27" i="179" s="1"/>
  <c r="I22" i="179"/>
  <c r="I23" i="179" s="1"/>
  <c r="I27" i="179" s="1"/>
  <c r="H22" i="179"/>
  <c r="H23" i="179" s="1"/>
  <c r="H27" i="179" s="1"/>
  <c r="G22" i="179"/>
  <c r="G23" i="179" s="1"/>
  <c r="G27" i="179" s="1"/>
  <c r="F22" i="179"/>
  <c r="F23" i="179" s="1"/>
  <c r="F27" i="179" s="1"/>
  <c r="E22" i="179"/>
  <c r="E23" i="179" s="1"/>
  <c r="E27" i="179" s="1"/>
  <c r="D26" i="173" l="1"/>
  <c r="D22" i="17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4" i="179"/>
  <c r="L21" i="179"/>
  <c r="L20" i="179"/>
  <c r="L19" i="179"/>
  <c r="L18" i="179"/>
  <c r="L17" i="179"/>
  <c r="L16" i="179"/>
  <c r="L15" i="179"/>
  <c r="L14" i="179"/>
  <c r="L12" i="179"/>
  <c r="L11" i="179"/>
  <c r="L22" i="179" l="1"/>
  <c r="L23" i="179" s="1"/>
  <c r="L27"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1"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B4395" i="106" s="1"/>
  <c r="D4395" i="106" s="1"/>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E30" i="108"/>
  <c r="G30" i="108"/>
  <c r="D31" i="108"/>
  <c r="D36" i="108"/>
  <c r="D37" i="108"/>
  <c r="E31" i="108"/>
  <c r="G31" i="108"/>
  <c r="E33" i="108"/>
  <c r="G33"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H33" i="118"/>
  <c r="D22" i="37"/>
  <c r="J22" i="37"/>
  <c r="G15" i="145" l="1"/>
  <c r="F44" i="34"/>
  <c r="F34" i="34"/>
  <c r="D24" i="37"/>
  <c r="B4270" i="106" s="1"/>
  <c r="D4270" i="106" s="1"/>
  <c r="F49" i="34"/>
  <c r="D11" i="37"/>
  <c r="D31" i="36"/>
  <c r="D6103" i="106"/>
  <c r="L22" i="37"/>
  <c r="D12" i="7"/>
  <c r="B1769" i="106" s="1"/>
  <c r="D1769" i="106" s="1"/>
  <c r="H112" i="29"/>
  <c r="B7018" i="106" s="1"/>
  <c r="D7018" i="106" s="1"/>
  <c r="D13" i="7"/>
  <c r="B3726" i="106" s="1"/>
  <c r="D3726" i="106" s="1"/>
  <c r="D54" i="36"/>
  <c r="I274" i="5"/>
  <c r="B4435" i="106" s="1"/>
  <c r="D4435" i="106" s="1"/>
  <c r="L5" i="11"/>
  <c r="B2056" i="106" s="1"/>
  <c r="D2056" i="106" s="1"/>
  <c r="K24" i="12"/>
  <c r="H28" i="118"/>
  <c r="K28" i="118" s="1"/>
  <c r="O27" i="118" s="1"/>
  <c r="O29" i="118" s="1"/>
  <c r="H365" i="29"/>
  <c r="B7242" i="106" s="1"/>
  <c r="D7242" i="106" s="1"/>
  <c r="J274" i="5"/>
  <c r="B7054" i="106" s="1"/>
  <c r="D7054" i="106" s="1"/>
  <c r="B6289" i="106"/>
  <c r="D6289" i="106" s="1"/>
  <c r="B5096" i="106"/>
  <c r="D5096" i="106" s="1"/>
  <c r="L15" i="11"/>
  <c r="B3459" i="106" s="1"/>
  <c r="D3459" i="106" s="1"/>
  <c r="H342" i="29"/>
  <c r="B7221" i="106" s="1"/>
  <c r="D7221" i="106" s="1"/>
  <c r="L367" i="29"/>
  <c r="I24" i="12"/>
  <c r="F21" i="8"/>
  <c r="F19" i="7"/>
  <c r="B1807" i="106" s="1"/>
  <c r="D1807" i="106" s="1"/>
  <c r="L13" i="11"/>
  <c r="B2060" i="106" s="1"/>
  <c r="D2060" i="106" s="1"/>
  <c r="D109" i="5"/>
  <c r="B5356" i="106" s="1"/>
  <c r="D5356" i="106" s="1"/>
  <c r="F111" i="34"/>
  <c r="B1746" i="106"/>
  <c r="D1746" i="106" s="1"/>
  <c r="F130" i="34"/>
  <c r="G29" i="108"/>
  <c r="E29" i="108"/>
  <c r="B3619" i="106"/>
  <c r="D3619" i="106" s="1"/>
  <c r="B1223" i="106"/>
  <c r="D1223" i="106" s="1"/>
  <c r="H76" i="4"/>
  <c r="B3298" i="106" s="1"/>
  <c r="D3298" i="106" s="1"/>
  <c r="K350" i="29"/>
  <c r="J210" i="29"/>
  <c r="B7072" i="106" s="1"/>
  <c r="D7072" i="106" s="1"/>
  <c r="J77" i="4"/>
  <c r="B6262" i="106" s="1"/>
  <c r="D6262" i="106" s="1"/>
  <c r="K41" i="3"/>
  <c r="G5" i="4"/>
  <c r="B3409" i="106" s="1"/>
  <c r="D3409" i="106" s="1"/>
  <c r="D5" i="4"/>
  <c r="B3406" i="106" s="1"/>
  <c r="D3406" i="106" s="1"/>
  <c r="G172" i="5"/>
  <c r="G173" i="5" s="1"/>
  <c r="B5778" i="106" s="1"/>
  <c r="D5778" i="106" s="1"/>
  <c r="C109" i="5"/>
  <c r="B5121" i="106" s="1"/>
  <c r="D5121" i="106" s="1"/>
  <c r="I173" i="5"/>
  <c r="B4216" i="106" s="1"/>
  <c r="D4216" i="106" s="1"/>
  <c r="D7" i="7"/>
  <c r="B1763" i="106" s="1"/>
  <c r="D1763" i="106" s="1"/>
  <c r="F106" i="34"/>
  <c r="F131" i="34"/>
  <c r="J367" i="29"/>
  <c r="B7245" i="106" s="1"/>
  <c r="D7245" i="106" s="1"/>
  <c r="B7235" i="106"/>
  <c r="D7235" i="106" s="1"/>
  <c r="B7231" i="106"/>
  <c r="D7231" i="106" s="1"/>
  <c r="B3647" i="106"/>
  <c r="D3647" i="106" s="1"/>
  <c r="B1329" i="106"/>
  <c r="D1329" i="106" s="1"/>
  <c r="F61" i="34"/>
  <c r="L342" i="29"/>
  <c r="C342" i="29"/>
  <c r="B7216" i="106" s="1"/>
  <c r="D7216" i="106" s="1"/>
  <c r="I210" i="29"/>
  <c r="K184" i="29"/>
  <c r="F13" i="4" s="1"/>
  <c r="B2596" i="106" s="1"/>
  <c r="D2596" i="106" s="1"/>
  <c r="J129" i="29"/>
  <c r="B7038" i="106" s="1"/>
  <c r="D7038" i="106" s="1"/>
  <c r="I129" i="29"/>
  <c r="B7037" i="106" s="1"/>
  <c r="D7037" i="106" s="1"/>
  <c r="K285" i="29"/>
  <c r="B3724" i="106" s="1"/>
  <c r="D3724" i="106" s="1"/>
  <c r="K76" i="4"/>
  <c r="B3586" i="106" s="1"/>
  <c r="D3586" i="106" s="1"/>
  <c r="F77" i="4"/>
  <c r="B3255" i="106" s="1"/>
  <c r="D3255" i="106" s="1"/>
  <c r="J41" i="3"/>
  <c r="B6216" i="106" s="1"/>
  <c r="D6216" i="106" s="1"/>
  <c r="G38" i="108"/>
  <c r="E38" i="108"/>
  <c r="B2724" i="106"/>
  <c r="D2724" i="106" s="1"/>
  <c r="B3621" i="106"/>
  <c r="D3621" i="106" s="1"/>
  <c r="C367" i="29"/>
  <c r="B3622" i="106" s="1"/>
  <c r="D3622" i="106" s="1"/>
  <c r="E174" i="29"/>
  <c r="B1309" i="106" s="1"/>
  <c r="D1309" i="106" s="1"/>
  <c r="L312" i="29"/>
  <c r="I342" i="29"/>
  <c r="B7222" i="106" s="1"/>
  <c r="D7222" i="106" s="1"/>
  <c r="B1410" i="106"/>
  <c r="D1410" i="106" s="1"/>
  <c r="B3649" i="106"/>
  <c r="D3649" i="106" s="1"/>
  <c r="G367" i="29"/>
  <c r="B3650" i="106" s="1"/>
  <c r="D3650" i="106" s="1"/>
  <c r="G210" i="29"/>
  <c r="F127" i="34"/>
  <c r="K173" i="5"/>
  <c r="K6" i="4" s="1"/>
  <c r="B3570" i="106" s="1"/>
  <c r="D3570" i="106" s="1"/>
  <c r="F128" i="34"/>
  <c r="C172" i="5"/>
  <c r="F136" i="34"/>
  <c r="D17" i="7"/>
  <c r="B4104" i="106" s="1"/>
  <c r="D4104" i="106" s="1"/>
  <c r="H173" i="5"/>
  <c r="K274" i="5"/>
  <c r="K7" i="4" s="1"/>
  <c r="B3718" i="106" s="1"/>
  <c r="D3718" i="106" s="1"/>
  <c r="D9" i="7"/>
  <c r="B1767" i="106" s="1"/>
  <c r="D1767" i="106" s="1"/>
  <c r="B5161" i="106"/>
  <c r="D5161" i="106" s="1"/>
  <c r="B5066" i="106"/>
  <c r="D5066" i="106" s="1"/>
  <c r="D5" i="7"/>
  <c r="B1761" i="106" s="1"/>
  <c r="D1761" i="106" s="1"/>
  <c r="D4" i="7"/>
  <c r="B1760" i="106" s="1"/>
  <c r="D1760" i="106" s="1"/>
  <c r="B5348" i="106"/>
  <c r="D5348" i="106" s="1"/>
  <c r="D15" i="7"/>
  <c r="B1772" i="106" s="1"/>
  <c r="D1772" i="106" s="1"/>
  <c r="G109" i="5"/>
  <c r="D11" i="7"/>
  <c r="B1768" i="106" s="1"/>
  <c r="D1768" i="106" s="1"/>
  <c r="H109" i="5"/>
  <c r="B7041" i="106"/>
  <c r="D7041" i="106" s="1"/>
  <c r="E109" i="5"/>
  <c r="E4" i="4" s="1"/>
  <c r="B2630" i="106" s="1"/>
  <c r="D2630" i="106" s="1"/>
  <c r="F172"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7270" i="106"/>
  <c r="D7251" i="106" l="1"/>
  <c r="D7253" i="106"/>
  <c r="D7254" i="106"/>
  <c r="D7255" i="106"/>
  <c r="D7256" i="106"/>
  <c r="D7252" i="106"/>
  <c r="G6" i="4"/>
  <c r="B2604" i="106" s="1"/>
  <c r="D2604" i="106" s="1"/>
  <c r="D4" i="4"/>
  <c r="B2564" i="106" s="1"/>
  <c r="D2564" i="106" s="1"/>
  <c r="I6" i="4"/>
  <c r="B5011" i="106" s="1"/>
  <c r="D5011" i="106" s="1"/>
  <c r="B5770" i="106"/>
  <c r="D5770" i="106" s="1"/>
  <c r="C4" i="4"/>
  <c r="B2551" i="106" s="1"/>
  <c r="D2551" i="106" s="1"/>
  <c r="D7250" i="106"/>
  <c r="B7733" i="106"/>
  <c r="D7733" i="106" s="1"/>
  <c r="K26" i="12"/>
  <c r="B7743" i="106" s="1"/>
  <c r="D7743" i="106" s="1"/>
  <c r="B1328" i="106"/>
  <c r="D1328" i="106" s="1"/>
  <c r="B5914" i="106"/>
  <c r="D5914" i="106" s="1"/>
  <c r="B1317" i="106"/>
  <c r="D1317" i="106" s="1"/>
  <c r="B1996" i="106"/>
  <c r="D1996" i="106" s="1"/>
  <c r="I26" i="12"/>
  <c r="B7741" i="106" s="1"/>
  <c r="D7741" i="106" s="1"/>
  <c r="B1879" i="106"/>
  <c r="D1879" i="106" s="1"/>
  <c r="H22" i="37"/>
  <c r="H77" i="4"/>
  <c r="B3299" i="106" s="1"/>
  <c r="D3299" i="106" s="1"/>
  <c r="L16" i="11"/>
  <c r="B2061" i="106" s="1"/>
  <c r="D2061" i="106" s="1"/>
  <c r="K77" i="4"/>
  <c r="B3587" i="106" s="1"/>
  <c r="D3587" i="106" s="1"/>
  <c r="H275" i="5"/>
  <c r="B5915" i="106" s="1"/>
  <c r="D5915" i="106" s="1"/>
  <c r="B6014" i="106"/>
  <c r="D6014" i="106" s="1"/>
  <c r="D51" i="36"/>
  <c r="D44" i="36"/>
  <c r="J151" i="29"/>
  <c r="B7052" i="106" s="1"/>
  <c r="D7052" i="106" s="1"/>
  <c r="L114" i="29"/>
  <c r="B3670" i="106"/>
  <c r="D3670" i="106" s="1"/>
  <c r="K352" i="29"/>
  <c r="B3568" i="106"/>
  <c r="D3568" i="106" s="1"/>
  <c r="D52" i="36"/>
  <c r="D19" i="7"/>
  <c r="B1775" i="106" s="1"/>
  <c r="D1775" i="106" s="1"/>
  <c r="D274" i="5"/>
  <c r="D7" i="4" s="1"/>
  <c r="B3628" i="106"/>
  <c r="D3628" i="106" s="1"/>
  <c r="B7071" i="106"/>
  <c r="D7071" i="106" s="1"/>
  <c r="F66" i="34"/>
  <c r="K342" i="29"/>
  <c r="F13" i="34" s="1"/>
  <c r="B1365" i="106"/>
  <c r="D1365" i="106" s="1"/>
  <c r="F65" i="34"/>
  <c r="J16" i="4"/>
  <c r="B6226" i="106" s="1"/>
  <c r="D6226" i="106" s="1"/>
  <c r="B7215" i="106"/>
  <c r="D7215" i="106" s="1"/>
  <c r="F73" i="34"/>
  <c r="G15" i="4"/>
  <c r="B6032" i="106" s="1"/>
  <c r="D6032" i="106" s="1"/>
  <c r="H367" i="29"/>
  <c r="B3660" i="106" s="1"/>
  <c r="D3660" i="106" s="1"/>
  <c r="K365" i="29"/>
  <c r="C114" i="29"/>
  <c r="B757" i="106" s="1"/>
  <c r="D757" i="106" s="1"/>
  <c r="B6025" i="106"/>
  <c r="D6025" i="106" s="1"/>
  <c r="H4" i="4"/>
  <c r="B5906" i="106"/>
  <c r="D5906" i="106" s="1"/>
  <c r="H6" i="4"/>
  <c r="B2656" i="106" s="1"/>
  <c r="D2656" i="106" s="1"/>
  <c r="B6022" i="106"/>
  <c r="D6022" i="106" s="1"/>
  <c r="B6024" i="106"/>
  <c r="D6024" i="106" s="1"/>
  <c r="G4" i="4"/>
  <c r="B2603" i="106" s="1"/>
  <c r="D2603" i="106" s="1"/>
  <c r="B5527" i="106"/>
  <c r="D5527" i="106" s="1"/>
  <c r="B5214" i="106"/>
  <c r="D5214" i="106" s="1"/>
  <c r="C173" i="5"/>
  <c r="F274" i="5"/>
  <c r="B5719" i="106" s="1"/>
  <c r="D5719" i="106" s="1"/>
  <c r="F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K367" i="29" l="1"/>
  <c r="B5507" i="106"/>
  <c r="D5507" i="106" s="1"/>
  <c r="D275" i="5"/>
  <c r="B5508" i="106" s="1"/>
  <c r="D5508" i="106" s="1"/>
  <c r="F7" i="4"/>
  <c r="B2594" i="106" s="1"/>
  <c r="D2594" i="106" s="1"/>
  <c r="K13" i="4"/>
  <c r="B3572" i="106" s="1"/>
  <c r="D3572" i="106" s="1"/>
  <c r="B3672" i="106"/>
  <c r="D3672" i="106" s="1"/>
  <c r="B7243" i="106"/>
  <c r="D7243" i="106" s="1"/>
  <c r="B1145" i="106"/>
  <c r="D1145" i="106" s="1"/>
  <c r="B7224" i="106"/>
  <c r="D7224" i="106" s="1"/>
  <c r="K16" i="4"/>
  <c r="B3574" i="106" s="1"/>
  <c r="D3574" i="106" s="1"/>
  <c r="J17" i="4"/>
  <c r="J8" i="4"/>
  <c r="B6223" i="106" s="1"/>
  <c r="D6223" i="106" s="1"/>
  <c r="G41" i="108"/>
  <c r="G44" i="108" s="1"/>
  <c r="G45" i="108" s="1"/>
  <c r="E41" i="108"/>
  <c r="E44" i="108" s="1"/>
  <c r="E45" i="108" s="1"/>
  <c r="B5223" i="106"/>
  <c r="D5223" i="106" s="1"/>
  <c r="C6" i="4"/>
  <c r="B2553" i="106" s="1"/>
  <c r="D2553" i="106" s="1"/>
  <c r="B2655" i="106"/>
  <c r="D2655" i="106" s="1"/>
  <c r="H8" i="4"/>
  <c r="B5653" i="106"/>
  <c r="D5653" i="106" s="1"/>
  <c r="F6" i="4"/>
  <c r="F275" i="5"/>
  <c r="B5720" i="106" s="1"/>
  <c r="D5720"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F76" i="34"/>
  <c r="D8" i="4"/>
  <c r="D10" i="4" s="1"/>
  <c r="B4123" i="106" s="1"/>
  <c r="D4123" i="106" s="1"/>
  <c r="J20" i="4"/>
  <c r="J19" i="4"/>
  <c r="B6229" i="106" s="1"/>
  <c r="D6229" i="106" s="1"/>
  <c r="B6227" i="106"/>
  <c r="D6227" i="106" s="1"/>
  <c r="B2593" i="106"/>
  <c r="D2593" i="106" s="1"/>
  <c r="F8" i="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68" i="106" l="1"/>
  <c r="D2568" i="106" s="1"/>
  <c r="C8" i="146"/>
  <c r="D20" i="4"/>
  <c r="D78" i="4" s="1"/>
  <c r="H13" i="118"/>
  <c r="D8" i="146"/>
  <c r="F10" i="4"/>
  <c r="B4125" i="106" s="1"/>
  <c r="D4125" i="106" s="1"/>
  <c r="B2595" i="106"/>
  <c r="D2595"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B2574" i="106" l="1"/>
  <c r="D2574" i="106" s="1"/>
  <c r="D10" i="146"/>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<sst xmlns="http://schemas.openxmlformats.org/spreadsheetml/2006/main" count="5228" uniqueCount="2170">
  <si>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</si>
  <si>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</si>
  <si>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</si>
  <si>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</si>
  <si>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</si>
  <si>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</si>
  <si>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</si>
  <si>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</si>
  <si>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</si>
  <si>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</si>
  <si>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</si>
  <si>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</si>
  <si>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</si>
  <si>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</si>
  <si>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</si>
  <si>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</si>
  <si>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</si>
  <si>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</si>
  <si>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</si>
  <si>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</si>
  <si>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</si>
  <si>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</si>
  <si>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</si>
  <si>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</si>
  <si>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</si>
  <si>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</si>
  <si>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</si>
  <si>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</si>
  <si>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</si>
  <si>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</si>
  <si>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</si>
  <si>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</si>
  <si>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</si>
  <si>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</si>
  <si>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</si>
  <si>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</si>
  <si>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</si>
  <si>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</si>
  <si>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</si>
  <si>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</si>
  <si>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</si>
  <si>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</si>
  <si>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</si>
  <si>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</si>
  <si>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</si>
  <si>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</si>
  <si>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</si>
  <si>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</si>
  <si>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</si>
  <si>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</si>
  <si>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</si>
  <si>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</si>
  <si>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</si>
  <si>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</si>
  <si>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</si>
  <si>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</si>
  <si>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</si>
  <si>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</si>
  <si>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</si>
  <si>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</si>
  <si>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</si>
  <si>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</si>
  <si>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</si>
  <si>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</si>
  <si>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</si>
  <si>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</si>
  <si>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</si>
  <si>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</si>
  <si>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</si>
  <si>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</si>
  <si>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</si>
  <si>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</si>
  <si>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</si>
  <si>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</si>
  <si>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</si>
  <si>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</si>
  <si>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</si>
  <si>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</si>
  <si>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</si>
  <si>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</si>
  <si>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</si>
  <si>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</si>
  <si>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</si>
  <si>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</si>
  <si>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</si>
  <si>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</si>
  <si>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</si>
  <si>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</si>
  <si>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</si>
  <si>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</si>
  <si>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</si>
  <si>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</si>
  <si>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</si>
  <si>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</si>
  <si>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</si>
  <si>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</si>
  <si>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</si>
  <si>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</si>
  <si>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</si>
  <si>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</si>
  <si>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</si>
  <si>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</si>
  <si>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</si>
  <si>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</si>
  <si>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</si>
  <si>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</si>
  <si>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</si>
  <si>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</si>
  <si>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</si>
  <si>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</si>
  <si>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</si>
  <si>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</si>
  <si>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</si>
  <si>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</si>
  <si>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</si>
  <si>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</si>
  <si>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</si>
  <si>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</si>
  <si>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</si>
  <si>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</si>
  <si>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</si>
  <si>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</si>
  <si>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</si>
  <si>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</si>
  <si>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</si>
  <si>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</si>
  <si>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</si>
  <si>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</si>
  <si>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</si>
  <si>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</si>
  <si>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</si>
  <si>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</si>
  <si>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</si>
  <si>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</si>
  <si>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</si>
  <si>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</si>
  <si>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</si>
  <si>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</si>
  <si>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</si>
  <si>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</si>
  <si>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</si>
  <si>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</si>
  <si>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</si>
  <si>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</si>
  <si>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</si>
  <si>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</si>
  <si>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</si>
  <si>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</si>
  <si>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</si>
  <si>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</si>
  <si>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</si>
  <si>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</si>
  <si>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</si>
  <si>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</si>
  <si>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</si>
  <si>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</si>
  <si>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</si>
  <si>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</si>
  <si>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</si>
  <si>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</si>
  <si>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</si>
  <si>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</si>
  <si>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</si>
  <si>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</si>
  <si>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</si>
  <si>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</si>
  <si>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</si>
  <si>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</si>
  <si>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</si>
  <si>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</si>
  <si>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</si>
  <si>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</si>
  <si>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</si>
  <si>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</si>
  <si>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</si>
  <si>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</si>
  <si>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</si>
  <si>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</si>
  <si>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</si>
  <si>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</si>
  <si>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</si>
  <si>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</si>
  <si>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</si>
  <si>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</si>
  <si>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</si>
  <si>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</si>
  <si>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</si>
  <si>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</si>
  <si>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</si>
  <si>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</si>
  <si>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</si>
  <si>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</si>
  <si>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</si>
  <si>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</si>
  <si>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</si>
  <si>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</si>
  <si>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</si>
  <si>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</si>
  <si>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</si>
  <si>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</si>
  <si>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</si>
  <si>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</si>
  <si>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</si>
  <si>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</si>
  <si>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</si>
  <si>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</si>
  <si>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</si>
  <si>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</si>
  <si>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</si>
  <si>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</si>
  <si>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</si>
  <si>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</si>
  <si>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</si>
  <si>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</si>
  <si>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</si>
  <si>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</si>
  <si>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</si>
  <si>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</si>
  <si>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</si>
  <si>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</si>
  <si>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</si>
  <si>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</si>
  <si>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</si>
  <si>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</si>
  <si>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</si>
  <si>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</si>
  <si>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</si>
  <si>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</si>
  <si>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</si>
  <si>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</si>
  <si>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</si>
  <si>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</si>
  <si>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</si>
  <si>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</si>
  <si>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</si>
  <si>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</si>
  <si>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</si>
  <si>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</si>
  <si>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</si>
  <si>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</si>
  <si>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</si>
  <si>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</si>
  <si>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</si>
  <si>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</si>
  <si>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</si>
  <si>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</si>
  <si>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</si>
  <si>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</si>
  <si>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</si>
  <si>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</si>
  <si>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</si>
  <si>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</si>
  <si>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</si>
  <si>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</si>
  <si>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</si>
  <si>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</si>
  <si>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</si>
  <si>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</si>
  <si>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</si>
  <si>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</si>
  <si>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</si>
  <si>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</si>
  <si>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</si>
  <si>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</si>
  <si>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</si>
  <si>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</si>
  <si>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</si>
  <si>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</si>
  <si>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</si>
  <si>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</si>
  <si>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</si>
  <si>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</si>
  <si>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</si>
  <si>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</si>
  <si>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</si>
  <si>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</si>
  <si>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</si>
  <si>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</si>
  <si>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</si>
  <si>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</si>
  <si>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</si>
  <si>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</si>
  <si>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</si>
  <si>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</si>
  <si>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</si>
  <si>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</si>
  <si>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</si>
  <si>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</si>
  <si>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</si>
  <si>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</si>
  <si>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</si>
  <si>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</si>
  <si>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</si>
  <si>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</si>
  <si>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</si>
  <si>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</si>
  <si>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</si>
  <si>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</si>
  <si>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</si>
  <si>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</si>
  <si>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</si>
  <si>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</si>
  <si>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</si>
  <si>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</si>
  <si>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</si>
  <si>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</si>
  <si>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</si>
  <si>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</si>
  <si>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</si>
  <si>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</si>
  <si>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</si>
  <si>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</si>
  <si>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</si>
  <si>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</si>
  <si>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</si>
  <si>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</si>
  <si>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</si>
  <si>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</si>
  <si>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</si>
  <si>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</si>
  <si>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</si>
  <si>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</si>
  <si>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</si>
  <si>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</si>
  <si>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</si>
  <si>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</si>
  <si>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</si>
  <si>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</si>
  <si>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</si>
  <si>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</si>
  <si>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</si>
  <si>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</si>
  <si>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</si>
  <si>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</si>
  <si>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</si>
  <si>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</si>
  <si>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</si>
  <si>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</si>
  <si>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</si>
  <si>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</si>
  <si>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</si>
  <si>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</si>
  <si>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</si>
  <si>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</si>
  <si>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</si>
  <si>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</si>
  <si>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</si>
  <si>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</si>
  <si>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</si>
  <si>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</si>
  <si>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</si>
  <si>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</si>
  <si>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</si>
  <si>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</si>
  <si>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</si>
  <si>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</si>
  <si>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</si>
  <si>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</si>
  <si>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</si>
  <si>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</si>
  <si>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</si>
  <si>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</si>
  <si>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</si>
  <si>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</si>
  <si>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</si>
  <si>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</si>
  <si>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</si>
  <si>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</si>
  <si>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</si>
  <si>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</si>
  <si>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</si>
  <si>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</si>
  <si>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</si>
  <si>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</si>
  <si>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</si>
  <si>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</si>
  <si>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</si>
  <si>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</si>
  <si>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</si>
  <si>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</si>
  <si>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</si>
  <si>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</si>
  <si>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</si>
  <si>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</si>
  <si>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</si>
  <si>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</si>
  <si>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</si>
  <si>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</si>
  <si>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</si>
  <si>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</si>
  <si>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</si>
  <si>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</si>
  <si>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</si>
  <si>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</si>
  <si>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</si>
  <si>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</si>
  <si>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</si>
  <si>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</si>
  <si>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</si>
  <si>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</si>
  <si>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</si>
  <si>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</si>
  <si>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</si>
  <si>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</si>
  <si>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</si>
  <si>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</si>
  <si>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</si>
  <si>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</si>
  <si>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</si>
  <si>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</si>
  <si>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</si>
  <si>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</si>
  <si>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</si>
  <si>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</si>
  <si>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</si>
  <si>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</si>
  <si>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</si>
  <si>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</si>
  <si>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</si>
  <si>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</si>
  <si>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</si>
  <si>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</si>
  <si>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</si>
  <si>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</si>
  <si>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</si>
  <si>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</si>
  <si>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</si>
  <si>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</si>
  <si>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</si>
  <si>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</si>
  <si>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</si>
  <si>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</si>
  <si>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</si>
  <si>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</si>
  <si>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</si>
  <si>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</si>
  <si>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</si>
  <si>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</si>
  <si>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</si>
  <si>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</si>
  <si>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</si>
  <si>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</si>
  <si>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</si>
  <si>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</si>
  <si>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</si>
  <si>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</si>
  <si>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</si>
  <si>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</si>
  <si>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</si>
  <si>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</si>
  <si>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</si>
  <si>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</si>
  <si>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</si>
  <si>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</si>
  <si>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</si>
  <si>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</si>
  <si>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</si>
  <si>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</si>
  <si>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</si>
  <si>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</si>
  <si>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</si>
  <si>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</si>
  <si>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</si>
  <si>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</si>
  <si>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</si>
  <si>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</si>
  <si>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</si>
  <si>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</si>
  <si>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</si>
  <si>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</si>
  <si>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</si>
  <si>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</si>
  <si>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</si>
  <si>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</si>
  <si>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</si>
  <si>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</si>
  <si>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</si>
  <si>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</si>
  <si>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</si>
  <si>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</si>
  <si>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</si>
  <si>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</si>
  <si>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</si>
  <si>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</si>
  <si>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</si>
  <si>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</si>
  <si>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</si>
  <si>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</si>
  <si>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</si>
  <si>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</si>
  <si>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</si>
  <si>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</si>
  <si>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</si>
  <si>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</si>
  <si>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</si>
  <si>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</si>
  <si>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</si>
  <si>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</si>
  <si>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</si>
  <si>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</si>
  <si>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</si>
  <si>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</si>
  <si>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</si>
  <si>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</si>
  <si>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</si>
  <si>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</si>
  <si>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</si>
  <si>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</si>
  <si>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</si>
  <si>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</si>
  <si>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</si>
  <si>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</si>
  <si>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</si>
  <si>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</si>
  <si>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</si>
  <si>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</si>
  <si>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</si>
  <si>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</si>
  <si>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</si>
  <si>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</si>
  <si>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</si>
  <si>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</si>
  <si>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</si>
  <si>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</si>
  <si>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</si>
  <si>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</si>
  <si>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</si>
  <si>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</si>
  <si>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</si>
  <si>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</si>
  <si>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</si>
  <si>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</si>
  <si>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</si>
  <si>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</si>
  <si>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</si>
  <si>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</si>
  <si>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</si>
  <si>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</si>
  <si>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</si>
  <si>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</si>
  <si>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</si>
  <si>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</si>
  <si>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</si>
  <si>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</si>
  <si>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</si>
  <si>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</si>
  <si>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</si>
  <si>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</si>
  <si>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</si>
  <si>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</si>
  <si>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</si>
  <si>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</si>
  <si>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</si>
  <si>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</si>
  <si>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</si>
  <si>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</si>
  <si>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</si>
  <si>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</si>
  <si>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</si>
  <si>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</si>
  <si>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</si>
  <si>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</si>
  <si>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</si>
  <si>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</si>
  <si>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</si>
  <si>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</si>
  <si>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</si>
  <si>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</si>
  <si>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</si>
  <si>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</si>
  <si>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</si>
  <si>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</si>
  <si>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</si>
  <si>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</si>
  <si>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</si>
  <si>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</si>
  <si>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</si>
  <si>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</si>
  <si>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</si>
  <si>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</si>
  <si>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</si>
  <si>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</si>
  <si>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</si>
  <si>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</si>
  <si>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</si>
  <si>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</si>
  <si>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</si>
  <si>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</si>
  <si>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</si>
  <si>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</si>
  <si>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</si>
  <si>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</si>
  <si>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</si>
  <si>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</si>
  <si>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</si>
  <si>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</si>
  <si>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</si>
  <si>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</si>
  <si>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</si>
  <si>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</si>
  <si>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</si>
  <si>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</si>
  <si>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</si>
  <si>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</si>
  <si>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</si>
  <si>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</si>
  <si>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</si>
  <si>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</si>
  <si>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</si>
  <si>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</si>
  <si>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</si>
  <si>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</si>
  <si>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</si>
  <si>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</si>
  <si>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</si>
  <si>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</si>
  <si>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</si>
  <si>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</si>
  <si>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</si>
  <si>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</si>
  <si>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</si>
  <si>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</si>
  <si>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</si>
  <si>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</si>
  <si>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</si>
  <si>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</si>
  <si>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</si>
  <si>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</si>
  <si>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</si>
  <si>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</si>
  <si>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</si>
  <si>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</si>
  <si>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</si>
  <si>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</si>
  <si>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</si>
  <si>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</si>
  <si>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</si>
  <si>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</si>
  <si>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</si>
  <si>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</si>
  <si>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</si>
  <si>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</si>
  <si>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</si>
  <si>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</si>
  <si>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</si>
  <si>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</si>
  <si>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</si>
  <si>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</si>
  <si>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</si>
  <si>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</si>
  <si>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</si>
  <si>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</si>
  <si>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</si>
  <si>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</si>
  <si>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</si>
  <si>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</si>
  <si>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</si>
  <si>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</si>
  <si>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</si>
  <si>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</si>
  <si>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</si>
  <si>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</si>
  <si>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</si>
  <si>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</si>
  <si>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</si>
  <si>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</si>
  <si>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</si>
  <si>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</si>
  <si>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</si>
  <si>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</si>
  <si>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</si>
  <si>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</si>
  <si>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</si>
  <si>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</si>
  <si>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</si>
  <si>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</si>
  <si>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</si>
  <si>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</si>
  <si>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</si>
  <si>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</si>
  <si>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</si>
  <si>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</si>
  <si>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</si>
  <si>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</si>
  <si>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</si>
  <si>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</si>
  <si>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</si>
  <si>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</si>
  <si>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</si>
  <si>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</si>
  <si>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</si>
  <si>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</si>
  <si>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</si>
  <si>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</si>
  <si>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</si>
  <si>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</si>
  <si>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</si>
  <si>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</si>
  <si>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</si>
  <si>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</si>
  <si>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</si>
  <si>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</si>
  <si>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</si>
  <si>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</si>
  <si>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</si>
  <si>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</si>
  <si>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</si>
  <si>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</si>
  <si>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</si>
  <si>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</si>
  <si>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</si>
  <si>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</si>
  <si>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</si>
  <si>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</si>
  <si>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</si>
  <si>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</si>
  <si>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</si>
  <si>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</si>
  <si>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</si>
  <si>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</si>
  <si>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</si>
  <si>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</si>
  <si>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</si>
  <si>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</si>
  <si>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</si>
  <si>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</si>
  <si>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</si>
  <si>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</si>
  <si>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</si>
  <si>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</si>
  <si>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</si>
  <si>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</si>
  <si>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</si>
  <si>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</si>
  <si>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</si>
  <si>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</si>
  <si>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</si>
  <si>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</si>
  <si>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</si>
  <si>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</si>
  <si>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</si>
  <si>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</si>
  <si>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</si>
  <si>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</si>
  <si>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</si>
  <si>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</si>
  <si>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</si>
  <si>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</si>
  <si>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</si>
  <si>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</si>
  <si>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</si>
  <si>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</si>
  <si>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</si>
  <si>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</si>
  <si>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</si>
  <si>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</si>
  <si>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</si>
  <si>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</si>
  <si>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</si>
  <si>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</si>
  <si>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</si>
  <si>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</si>
  <si>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</si>
  <si>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</si>
  <si>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</si>
  <si>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</si>
  <si>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</si>
  <si>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</si>
  <si>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</si>
  <si>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</si>
  <si>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</si>
  <si>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</si>
  <si>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</si>
  <si>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</si>
  <si>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</si>
  <si>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</si>
  <si>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</si>
  <si>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</si>
  <si>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</si>
  <si>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</si>
  <si>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</si>
  <si>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</si>
  <si>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</si>
  <si>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</si>
  <si>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</si>
  <si>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</si>
  <si>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</si>
  <si>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</si>
  <si>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</si>
  <si>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</si>
  <si>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</si>
  <si>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</si>
  <si>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</si>
  <si>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</si>
  <si>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</si>
  <si>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</si>
  <si>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</si>
  <si>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</si>
  <si>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</si>
  <si>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</si>
  <si>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</si>
  <si>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</si>
  <si>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</si>
  <si>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</si>
  <si>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</si>
  <si>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</si>
  <si>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</si>
  <si>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</si>
  <si>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</si>
  <si>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</si>
  <si>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</si>
  <si>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</si>
  <si>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</si>
  <si>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</si>
  <si>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</si>
  <si>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</si>
  <si>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</si>
  <si>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</si>
  <si>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</si>
  <si>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</si>
  <si>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</si>
  <si>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</si>
  <si>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</si>
  <si>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</si>
  <si>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</si>
  <si>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</si>
  <si>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</si>
  <si>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</si>
  <si>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</si>
  <si>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</si>
  <si>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</si>
  <si>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</si>
  <si>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</si>
  <si>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</si>
  <si>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</si>
  <si>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</si>
  <si>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</si>
  <si>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</si>
  <si>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</si>
  <si>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</si>
  <si>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</si>
  <si>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</si>
  <si>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</si>
  <si>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</si>
  <si>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</si>
  <si>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</si>
  <si>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</si>
  <si>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</si>
  <si>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</si>
  <si>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</si>
  <si>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</si>
  <si>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</si>
  <si>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</si>
  <si>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</si>
  <si>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</si>
  <si>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</si>
  <si>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</si>
  <si>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</si>
  <si>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</si>
  <si>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</si>
  <si>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</si>
  <si>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</si>
  <si>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</si>
  <si>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</si>
  <si>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</si>
  <si>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</si>
  <si>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</si>
  <si>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</si>
  <si>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</si>
  <si>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</si>
  <si>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</si>
  <si>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</si>
  <si>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</si>
  <si>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</si>
  <si>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</si>
  <si>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</si>
  <si>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</si>
  <si>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</si>
  <si>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</si>
  <si>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</si>
  <si>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</si>
  <si>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</si>
  <si>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</si>
  <si>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</si>
  <si>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</si>
  <si>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</si>
  <si>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</si>
  <si>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</si>
  <si>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</si>
  <si>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</si>
  <si>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</si>
  <si>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</si>
  <si>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</si>
  <si>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</si>
  <si>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</si>
  <si>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</si>
  <si>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</si>
  <si>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</si>
  <si>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</si>
  <si>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</si>
  <si>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</si>
  <si>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</si>
  <si>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</si>
  <si>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</si>
  <si>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</si>
  <si>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</si>
  <si>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</si>
  <si>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</si>
  <si>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</si>
  <si>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</si>
  <si>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</si>
  <si>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</si>
  <si>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</si>
  <si>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</si>
  <si>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</si>
  <si>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</si>
  <si>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</si>
  <si>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</si>
  <si>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</si>
  <si>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</si>
  <si>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</si>
  <si>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</si>
  <si>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</si>
  <si>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</si>
  <si>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</si>
  <si>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</si>
  <si>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</si>
  <si>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</si>
  <si>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</si>
  <si>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</si>
  <si>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</si>
  <si>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</si>
  <si>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</si>
  <si>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</si>
  <si>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</si>
  <si>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</si>
  <si>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</si>
  <si>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</si>
  <si>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</si>
  <si>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</si>
  <si>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</si>
  <si>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</si>
  <si>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</si>
  <si>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</si>
  <si>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</si>
  <si>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</si>
  <si>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</si>
  <si>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</si>
  <si>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</si>
  <si>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</si>
  <si>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</si>
  <si>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</si>
  <si>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</si>
  <si>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</si>
  <si>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</si>
  <si>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</si>
  <si>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</si>
  <si>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</si>
  <si>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</si>
  <si>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</si>
  <si>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</si>
  <si>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</si>
  <si>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</si>
  <si>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</si>
  <si>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</si>
  <si>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</si>
  <si>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</si>
  <si>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</si>
  <si>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</si>
  <si>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</si>
  <si>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</si>
  <si>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</si>
  <si>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</si>
  <si>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</si>
  <si>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</si>
  <si>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</si>
  <si>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</si>
  <si>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</si>
  <si>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</si>
  <si>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</si>
  <si>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</si>
  <si>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</si>
  <si>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</si>
  <si>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</si>
  <si>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</si>
  <si>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</si>
  <si>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</si>
  <si>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</si>
  <si>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</si>
  <si>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</si>
  <si>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</si>
  <si>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</si>
  <si>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</si>
  <si>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</si>
  <si>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</si>
  <si>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</si>
  <si>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</si>
  <si>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</si>
  <si>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</si>
  <si>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</si>
  <si>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</si>
  <si>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</si>
  <si>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</si>
  <si>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</si>
  <si>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</si>
  <si>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</si>
  <si>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</si>
  <si>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</si>
  <si>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</si>
  <si>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</si>
  <si>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</si>
  <si>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</si>
  <si>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</si>
  <si>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</si>
  <si>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</si>
  <si>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</si>
  <si>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</si>
  <si>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</si>
  <si>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</si>
  <si>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</si>
  <si>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</si>
  <si>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</si>
  <si>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</si>
  <si>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</si>
  <si>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</si>
  <si>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</si>
  <si>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</si>
  <si>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</si>
  <si>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</si>
  <si>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</si>
  <si>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</si>
  <si>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</si>
  <si>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</si>
  <si>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</si>
  <si>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</si>
  <si>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</si>
  <si>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</si>
  <si>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</si>
  <si>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</si>
  <si>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</si>
  <si>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</si>
  <si>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</si>
  <si>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</si>
  <si>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</si>
  <si>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</si>
  <si>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</si>
  <si>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</si>
  <si>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</si>
  <si>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</si>
  <si>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</si>
  <si>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</si>
  <si>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</si>
  <si>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</si>
  <si>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</si>
  <si>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</si>
  <si>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</si>
  <si>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</si>
  <si>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</si>
  <si>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</si>
  <si>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</si>
  <si>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</si>
  <si>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</si>
  <si>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</si>
  <si>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</si>
  <si>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</si>
  <si>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</si>
  <si>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</si>
  <si>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</si>
  <si>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</si>
  <si>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</si>
  <si>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</si>
  <si>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</si>
  <si>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</si>
  <si>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</si>
  <si>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</si>
  <si>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</si>
  <si>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</si>
  <si>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</si>
  <si>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</si>
  <si>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</si>
  <si>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</si>
  <si>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</si>
  <si>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</si>
  <si>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</si>
  <si>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</si>
  <si>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</si>
  <si>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</si>
  <si>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</si>
  <si>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</si>
  <si>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</si>
  <si>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</si>
  <si>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</si>
  <si>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</si>
  <si>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</si>
  <si>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</si>
  <si>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</si>
  <si>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</si>
  <si>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</si>
  <si>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</si>
  <si>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</si>
  <si>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</si>
  <si>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</si>
  <si>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</si>
  <si>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</si>
  <si>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</si>
  <si>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</si>
  <si>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</si>
  <si>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</si>
  <si>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</si>
  <si>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</si>
  <si>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</si>
  <si>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</si>
  <si>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</si>
  <si>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</si>
  <si>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</si>
  <si>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</si>
  <si>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</si>
  <si>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</si>
  <si>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</si>
  <si>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</si>
  <si>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</si>
  <si>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</si>
  <si>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</si>
  <si>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</si>
  <si>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</si>
  <si>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</si>
  <si>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</si>
  <si>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</si>
  <si>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</si>
  <si>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</si>
  <si>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</si>
  <si>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</si>
  <si>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</si>
  <si>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</si>
  <si>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</si>
  <si>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</si>
  <si>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</si>
  <si>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</si>
  <si>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</si>
  <si>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</si>
  <si>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</si>
  <si>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</si>
  <si>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</si>
  <si>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</si>
  <si>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</si>
  <si>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</si>
  <si>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</si>
  <si>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</si>
  <si>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</si>
  <si>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</si>
  <si>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</si>
  <si>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</si>
  <si>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</si>
  <si>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</si>
  <si>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</si>
  <si>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</si>
  <si>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</si>
  <si>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</si>
  <si>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</si>
  <si>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</si>
  <si>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</si>
  <si>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</si>
  <si>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</si>
  <si>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</si>
  <si>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</si>
  <si>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</si>
  <si>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</si>
  <si>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</si>
  <si>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</si>
  <si>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</si>
  <si>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</si>
  <si>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</si>
  <si>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</si>
  <si>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</si>
  <si>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</si>
  <si>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</si>
  <si>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</si>
  <si>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</si>
  <si>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</si>
  <si>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</si>
  <si>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</si>
  <si>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</si>
  <si>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</si>
  <si>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</si>
  <si>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</si>
  <si>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</si>
  <si>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</si>
  <si>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</si>
  <si>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</si>
  <si>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</si>
  <si>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</si>
  <si>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</si>
  <si>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</si>
  <si>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</si>
  <si>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</si>
  <si>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</si>
  <si>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</si>
  <si>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</si>
  <si>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</si>
  <si>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</si>
  <si>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</si>
  <si>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</si>
  <si>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</si>
  <si>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</si>
  <si>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</si>
  <si>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</si>
  <si>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</si>
  <si>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</si>
  <si>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</si>
  <si>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</si>
  <si>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</si>
  <si>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</si>
  <si>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</si>
  <si>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</si>
  <si>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</si>
  <si>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</si>
  <si>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</si>
  <si>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</si>
  <si>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</si>
  <si>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</si>
  <si>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</si>
  <si>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</si>
  <si>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</si>
  <si>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</si>
  <si>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</si>
  <si>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</si>
  <si>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</si>
  <si>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</si>
  <si>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</si>
  <si>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</si>
  <si>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</si>
  <si>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</si>
  <si>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</si>
  <si>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</si>
  <si>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</si>
  <si>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</si>
  <si>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</si>
  <si>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</si>
  <si>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</si>
  <si>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</si>
  <si>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</si>
  <si>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</si>
  <si>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</si>
  <si>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</si>
  <si>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</si>
  <si>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</si>
  <si>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</si>
  <si>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</si>
  <si>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</si>
  <si>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</si>
  <si>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</si>
  <si>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</si>
  <si>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</si>
  <si>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</si>
  <si>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</si>
  <si>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</si>
  <si>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</si>
  <si>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</si>
  <si>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</si>
  <si>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</si>
  <si>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</si>
  <si>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</si>
  <si>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</si>
  <si>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</si>
  <si>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</si>
  <si>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</si>
  <si>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</si>
  <si>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</si>
  <si>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</si>
  <si>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</si>
  <si>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</si>
  <si>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</si>
  <si>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</si>
  <si>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</si>
  <si>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</si>
  <si>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</si>
  <si>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</si>
  <si>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</si>
  <si>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</si>
  <si>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</si>
  <si>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</si>
  <si>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</si>
  <si>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</si>
  <si>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</si>
  <si>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</si>
  <si>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</si>
  <si>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</si>
  <si>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</si>
  <si>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</si>
  <si>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</si>
  <si>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</si>
  <si>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</si>
  <si>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</si>
  <si>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</si>
  <si>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</si>
  <si>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</si>
  <si>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</si>
  <si>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</si>
  <si>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</si>
  <si>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</si>
  <si>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</si>
  <si>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</si>
  <si>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</si>
  <si>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</si>
  <si>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</si>
  <si>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</si>
  <si>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</si>
  <si>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</si>
  <si>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</si>
  <si>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</si>
  <si>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</si>
  <si>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</si>
  <si>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</si>
  <si>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</si>
  <si>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</si>
  <si>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</si>
  <si>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</si>
  <si>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</si>
  <si>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</si>
  <si>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</si>
  <si>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</si>
  <si>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</si>
  <si>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</si>
  <si>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</si>
  <si>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</si>
  <si>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</si>
  <si>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</si>
  <si>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</si>
  <si>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</si>
  <si>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</si>
  <si>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</si>
  <si>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</si>
  <si>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</si>
  <si>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</si>
  <si>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</si>
  <si>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</si>
  <si>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</si>
  <si>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</si>
  <si>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</si>
  <si>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</si>
  <si>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</si>
  <si>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</si>
  <si>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</si>
  <si>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</si>
  <si>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</si>
  <si>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</si>
  <si>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</si>
  <si>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</si>
  <si>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</si>
  <si>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</si>
  <si>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</si>
  <si>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</si>
  <si>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</si>
  <si>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</si>
  <si>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</si>
  <si>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</si>
  <si>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</si>
  <si>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</si>
  <si>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</si>
  <si>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</si>
  <si>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</si>
  <si>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</si>
  <si>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</si>
  <si>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</si>
  <si>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</si>
  <si>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</si>
  <si>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</si>
  <si>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</si>
  <si>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</si>
  <si>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</si>
  <si>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</si>
  <si>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</si>
  <si>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</si>
  <si>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</si>
  <si>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</si>
  <si>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</si>
  <si>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</si>
  <si>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</si>
  <si>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</si>
  <si>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</si>
  <si>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</si>
  <si>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</si>
  <si>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</si>
  <si>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</si>
  <si>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</si>
  <si>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</si>
  <si>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</si>
  <si>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</si>
  <si>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</si>
  <si>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</si>
  <si>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</si>
  <si>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</si>
  <si>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</si>
  <si>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</si>
  <si>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</si>
  <si>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</si>
  <si>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</si>
  <si>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</si>
  <si>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</si>
  <si>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</si>
  <si>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</si>
  <si>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</si>
  <si>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</si>
  <si>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</si>
  <si>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</si>
  <si>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</si>
  <si>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</si>
  <si>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</si>
  <si>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</si>
  <si>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</si>
  <si>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</si>
  <si>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</si>
  <si>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</si>
  <si>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</si>
  <si>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</si>
  <si>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</si>
  <si>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</si>
  <si>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</si>
  <si>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</si>
  <si>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</si>
  <si>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</si>
  <si>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</si>
  <si>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</si>
  <si>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</si>
  <si>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</si>
  <si>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</si>
  <si>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</si>
  <si>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</si>
  <si>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</si>
  <si>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</si>
  <si>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</si>
  <si>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</si>
  <si>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</si>
  <si>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</si>
  <si>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</si>
  <si>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</si>
  <si>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</si>
  <si>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</si>
  <si>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</si>
  <si>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</si>
  <si>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</si>
  <si>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</si>
  <si>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</si>
  <si>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</si>
  <si>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</si>
  <si>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</si>
  <si>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</si>
  <si>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</si>
  <si>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</si>
  <si>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</si>
  <si>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</si>
  <si>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</si>
  <si>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</si>
  <si>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</si>
  <si>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</si>
  <si>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</si>
  <si>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</si>
  <si>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</si>
  <si>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</si>
  <si>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</si>
  <si>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</si>
  <si>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</si>
  <si>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</si>
  <si>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</si>
  <si>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</si>
  <si>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</si>
  <si>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</si>
  <si>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</si>
  <si>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</si>
  <si>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</si>
  <si>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</si>
  <si>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</si>
  <si>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</si>
  <si>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</si>
  <si>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</si>
  <si>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</si>
  <si>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</si>
  <si>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</si>
  <si>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</si>
  <si>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</si>
  <si>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</si>
  <si>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</si>
  <si>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</si>
  <si>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</si>
  <si>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</si>
  <si>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</si>
  <si>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</si>
  <si>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</si>
  <si>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</si>
  <si>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</si>
  <si>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</si>
  <si>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</si>
  <si>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</si>
  <si>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</si>
  <si>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</si>
  <si>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</si>
  <si>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</si>
  <si>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</si>
  <si>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</si>
  <si>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</si>
  <si>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</si>
  <si>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</si>
  <si>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</si>
  <si>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</si>
  <si>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</si>
  <si>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</si>
  <si>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</si>
  <si>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</si>
  <si>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</si>
  <si>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</si>
  <si>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</si>
  <si>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</si>
  <si>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</si>
  <si>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</si>
  <si>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</si>
  <si>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</si>
  <si>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</si>
  <si>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</si>
  <si>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</si>
  <si>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</si>
  <si>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</si>
  <si>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</si>
  <si>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</si>
  <si>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</si>
  <si>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</si>
  <si>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</si>
  <si>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</si>
  <si>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</si>
  <si>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</si>
  <si>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</si>
  <si>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</si>
  <si>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</si>
  <si>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</si>
  <si>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</si>
  <si>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</si>
  <si>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</si>
  <si>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</si>
  <si>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</si>
  <si>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</si>
  <si>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</si>
  <si>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</si>
  <si>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</si>
  <si>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</si>
  <si>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</si>
  <si>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</si>
  <si>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</si>
  <si>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</si>
  <si>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</si>
  <si>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</si>
  <si>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</si>
  <si>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</si>
  <si>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</si>
  <si>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</si>
  <si>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</si>
  <si>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</si>
  <si>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</si>
  <si>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</si>
  <si>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</si>
  <si>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</si>
  <si>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</si>
  <si>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</si>
  <si>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</si>
  <si>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</si>
  <si>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</si>
  <si>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</si>
  <si>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</si>
  <si>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</si>
  <si>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</si>
  <si>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</si>
  <si>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</si>
  <si>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</si>
  <si>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</si>
  <si>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</si>
  <si>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</si>
  <si>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</si>
  <si>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</si>
  <si>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</si>
  <si>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</si>
  <si>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</si>
  <si>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</si>
  <si>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</si>
  <si>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</si>
  <si>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</si>
  <si>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</si>
  <si>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</si>
  <si>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</si>
  <si>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</si>
  <si>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</si>
  <si>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</si>
  <si>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</si>
  <si>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</si>
  <si>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</si>
  <si>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</si>
  <si>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</si>
  <si>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</si>
  <si>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</si>
  <si>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</si>
  <si>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</si>
  <si>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</si>
  <si>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</si>
  <si>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</si>
  <si>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</si>
  <si>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</si>
  <si>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</si>
  <si>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</si>
  <si>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</si>
  <si>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</si>
  <si>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</si>
  <si>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</si>
  <si>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</si>
  <si>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</si>
  <si>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</si>
  <si>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</si>
  <si>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</si>
  <si>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</si>
  <si>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</si>
  <si>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</si>
  <si>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</si>
  <si>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</si>
  <si>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</si>
  <si>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</si>
  <si>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</si>
  <si>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</si>
  <si>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</si>
  <si>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</si>
  <si>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</si>
  <si>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</si>
  <si>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</si>
  <si>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</si>
  <si>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</si>
  <si>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</si>
  <si>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</si>
  <si>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</si>
  <si>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</si>
  <si>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</si>
  <si>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</si>
  <si>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</si>
  <si>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</si>
  <si>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</si>
  <si>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</si>
  <si>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</si>
  <si>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</si>
  <si>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</si>
  <si>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</si>
  <si>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</si>
  <si>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</si>
  <si>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</si>
  <si>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</si>
  <si>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</si>
  <si>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</si>
  <si>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</si>
  <si>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</si>
  <si>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</si>
  <si>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</si>
  <si>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</si>
  <si>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</si>
  <si>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</si>
  <si>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</si>
  <si>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</si>
  <si>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</si>
  <si>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</si>
  <si>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</si>
  <si>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</si>
  <si>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</si>
  <si>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</si>
  <si>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</si>
  <si>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</si>
  <si>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</si>
  <si>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</si>
  <si>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</si>
  <si>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</si>
  <si>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</si>
  <si>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</si>
  <si>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</si>
  <si>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</si>
  <si>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</si>
  <si>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</si>
  <si>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</si>
  <si>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</si>
  <si>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</si>
  <si>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</si>
  <si>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</si>
  <si>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</si>
  <si>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</si>
  <si>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</si>
  <si>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</si>
  <si>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</si>
  <si>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</si>
  <si>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</si>
  <si>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</si>
  <si>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</si>
  <si>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</si>
  <si>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</si>
  <si>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</si>
  <si>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</si>
  <si>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</si>
  <si>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</si>
  <si>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</si>
  <si>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</si>
  <si>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</si>
  <si>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</si>
  <si>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</si>
  <si>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</si>
  <si>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</si>
  <si>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</si>
  <si>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</si>
  <si>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</si>
  <si>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</si>
  <si>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</si>
  <si>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</si>
  <si>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</si>
  <si>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</si>
  <si>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</si>
  <si>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</si>
  <si>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</si>
  <si>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</si>
  <si>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</si>
  <si>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</si>
  <si>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</si>
  <si>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</si>
  <si>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</si>
  <si>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</si>
  <si>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</si>
  <si>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</si>
  <si>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</si>
  <si>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</si>
  <si>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</si>
  <si>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</si>
  <si>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</si>
  <si>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</si>
  <si>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</si>
  <si>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</si>
  <si>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</si>
  <si>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</si>
  <si>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</si>
  <si>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</si>
  <si>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</si>
  <si>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</si>
  <si>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</si>
  <si>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</si>
  <si>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</si>
  <si>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</si>
  <si>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</si>
  <si>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</si>
  <si>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</si>
  <si>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</si>
  <si>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</si>
  <si>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</si>
  <si>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</si>
  <si>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</si>
  <si>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</si>
  <si>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</si>
  <si>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</si>
  <si>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</si>
  <si>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</si>
  <si>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</si>
  <si>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</si>
  <si>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</si>
  <si>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</si>
  <si>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</si>
  <si>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</si>
  <si>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</si>
  <si>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</si>
  <si>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</si>
  <si>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</si>
  <si>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</si>
  <si>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</si>
  <si>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</si>
  <si>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</si>
  <si>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</si>
  <si>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</si>
  <si>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</si>
  <si>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</si>
  <si>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</si>
  <si>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</si>
  <si>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</si>
  <si>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</si>
  <si>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</si>
  <si>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</si>
  <si>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</si>
  <si>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</si>
  <si>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</si>
  <si>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</si>
  <si>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</si>
  <si>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</si>
  <si>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</si>
  <si>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</si>
  <si>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</si>
  <si>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</si>
  <si>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</si>
  <si>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</si>
  <si>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</si>
  <si>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</si>
  <si>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</si>
  <si>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</si>
  <si>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</si>
  <si>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</si>
  <si>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</si>
  <si>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</si>
  <si>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</si>
  <si>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</si>
  <si>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</si>
  <si>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</si>
  <si>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</si>
  <si>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</si>
  <si>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</si>
  <si>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</si>
  <si>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</si>
  <si>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</si>
  <si>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</si>
  <si>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</si>
  <si>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</si>
  <si>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</si>
  <si>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</si>
  <si>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</si>
  <si>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</si>
  <si>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</si>
  <si>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</si>
  <si>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</si>
  <si>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</si>
  <si>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</si>
  <si>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</si>
  <si>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</si>
  <si>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</si>
  <si>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</si>
  <si>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</si>
  <si>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</si>
  <si>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</si>
  <si>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</si>
  <si>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</si>
  <si>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</si>
  <si>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</si>
  <si>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</si>
  <si>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</si>
  <si>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</si>
  <si>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</si>
  <si>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</si>
  <si>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</si>
  <si>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</si>
  <si>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</si>
  <si>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</si>
  <si>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</si>
  <si>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</si>
  <si>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</si>
  <si>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</si>
  <si>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</si>
  <si>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</si>
  <si>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</si>
  <si>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</si>
  <si>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</si>
  <si>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</si>
  <si>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</si>
  <si>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</si>
  <si>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</si>
  <si>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</si>
  <si>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</si>
  <si>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</si>
  <si>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</si>
  <si>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</si>
  <si>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</si>
  <si>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</si>
  <si>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</si>
  <si>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</si>
  <si>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</si>
  <si>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</si>
  <si>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</si>
  <si>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</si>
  <si>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</si>
  <si>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</si>
  <si>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</si>
  <si>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</si>
  <si>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</si>
  <si>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</si>
  <si>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</si>
  <si>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</si>
  <si>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</si>
  <si>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</si>
  <si>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</si>
  <si>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</si>
  <si>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</si>
  <si>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</si>
  <si>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</si>
  <si>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</si>
  <si>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</si>
  <si>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</si>
  <si>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</si>
  <si>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</si>
  <si>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</si>
  <si>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</si>
  <si>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</si>
  <si>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</si>
  <si>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</si>
  <si>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</si>
  <si>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</si>
  <si>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</si>
  <si>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</si>
  <si>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</si>
  <si>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</si>
  <si>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</si>
  <si>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</si>
  <si>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</si>
  <si>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</si>
  <si>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</si>
  <si>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</si>
  <si>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</si>
  <si>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</si>
  <si>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</si>
  <si>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</si>
  <si>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</si>
  <si>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</si>
  <si>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</si>
  <si>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</si>
  <si>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</si>
  <si>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</si>
  <si>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</si>
  <si>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</si>
  <si>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</si>
  <si>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</si>
  <si>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</si>
  <si>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</si>
  <si>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</si>
  <si>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</si>
  <si>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</si>
  <si>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</si>
  <si>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</si>
  <si>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</si>
  <si>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</si>
  <si>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</si>
  <si>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</si>
  <si>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</si>
  <si>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</si>
  <si>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</si>
  <si>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</si>
  <si>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</si>
  <si>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</si>
  <si>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</si>
  <si>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</si>
  <si>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</si>
  <si>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</si>
  <si>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</si>
  <si>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</si>
  <si>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</si>
  <si>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</si>
  <si>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</si>
  <si>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</si>
  <si>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</si>
  <si>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</si>
  <si>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</si>
  <si>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</si>
  <si>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</si>
  <si>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</si>
  <si>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</si>
  <si>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</si>
  <si>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</si>
  <si>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</si>
  <si>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</si>
  <si>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</si>
  <si>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</si>
  <si>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</si>
  <si>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</si>
  <si>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</si>
  <si>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</si>
  <si>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</si>
  <si>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</si>
  <si>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</si>
  <si>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</si>
  <si>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</si>
  <si>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</si>
  <si>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</si>
  <si>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</si>
  <si>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</si>
  <si>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</si>
  <si>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</si>
  <si>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</si>
  <si>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</si>
  <si>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</si>
  <si>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</si>
  <si>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</si>
  <si>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</si>
  <si>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</si>
  <si>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</si>
  <si>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</si>
  <si>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</si>
  <si>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</si>
  <si>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</si>
  <si>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</si>
  <si>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</si>
  <si>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</si>
  <si>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</si>
  <si>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</si>
  <si>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</si>
  <si>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</si>
  <si>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</si>
  <si>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</si>
  <si>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</si>
  <si>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</si>
  <si>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</si>
  <si>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</si>
  <si>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</si>
  <si>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</si>
  <si>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</si>
  <si>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</si>
  <si>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</si>
  <si>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</si>
  <si>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</si>
  <si>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</si>
  <si>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</si>
  <si>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</si>
  <si>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</si>
  <si>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</si>
  <si>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</si>
  <si>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</si>
  <si>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</si>
  <si>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</si>
  <si>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</si>
  <si>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</si>
  <si>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</si>
  <si>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</si>
  <si>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</si>
  <si>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</si>
  <si>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</si>
  <si>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</si>
  <si>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</si>
  <si>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</si>
  <si>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</si>
  <si>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</si>
  <si>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</si>
  <si>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</si>
  <si>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</si>
  <si>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</si>
  <si>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</si>
  <si>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</si>
  <si>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</si>
  <si>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</si>
  <si>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</si>
  <si>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</si>
  <si>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</si>
  <si>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</si>
  <si>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</si>
  <si>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</si>
  <si>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</si>
  <si>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</si>
  <si>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</si>
  <si>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</si>
  <si>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</si>
  <si>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</si>
  <si>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</si>
  <si>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</si>
  <si>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</si>
  <si>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</si>
  <si>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</si>
  <si>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</si>
  <si>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</si>
  <si>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</si>
  <si>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</si>
  <si>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</si>
  <si>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</si>
  <si>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</si>
  <si>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</si>
  <si>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</si>
  <si>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</si>
  <si>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</si>
  <si>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</si>
  <si>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</si>
  <si>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</si>
  <si>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</si>
  <si>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</si>
  <si>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</si>
  <si>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</si>
  <si>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</si>
  <si>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</si>
  <si>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</si>
  <si>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</si>
  <si>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</si>
  <si>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</si>
  <si>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Jasper</t>
  </si>
  <si>
    <t>P.O. Box 185</t>
  </si>
  <si>
    <t>St. Marie</t>
  </si>
  <si>
    <t>jweems@sese.org</t>
  </si>
  <si>
    <t>Jill Keller-Weems</t>
  </si>
  <si>
    <t>618-455-3396</t>
  </si>
  <si>
    <t>618-455-3134</t>
  </si>
  <si>
    <t>Kemper CPA Group LLP</t>
  </si>
  <si>
    <t>Jodi Truitt</t>
  </si>
  <si>
    <t>302. E Walnut Street</t>
  </si>
  <si>
    <t>Robinson</t>
  </si>
  <si>
    <t>IL</t>
  </si>
  <si>
    <t>618-546-1502</t>
  </si>
  <si>
    <t>618-544-2140</t>
  </si>
  <si>
    <t>066-003998</t>
  </si>
  <si>
    <t>jtruitt@kempercpa.com</t>
  </si>
  <si>
    <t>Part C, Number 23:  The Auditor's Report issued a modified opinion because the financial statements do not include disclosures regarding postemployment health insurance benefits required by the financial reporting provisions of the ISBE.</t>
  </si>
  <si>
    <t>X</t>
  </si>
  <si>
    <t>Egyptian Area Schools Employee Benefit Trust</t>
  </si>
  <si>
    <t>Illinois School District Agency &amp; WCSIT</t>
  </si>
  <si>
    <t>Eastern Illinois Area of Special Education</t>
  </si>
  <si>
    <t>N/A</t>
  </si>
  <si>
    <t>2017-001</t>
  </si>
  <si>
    <t>The entity did not have the necessary</t>
  </si>
  <si>
    <t>knowledge and technical expertise to properly</t>
  </si>
  <si>
    <t>prepare the notes to the financial statements.</t>
  </si>
  <si>
    <t>Repeated as 2018-001</t>
  </si>
  <si>
    <t>Although internal controls are in place, there are some reporting functions that the entity cannot perform.</t>
  </si>
  <si>
    <t>The entity does not have an individual with the necessary knowledge and technical expertise to properly prepare the notes to the financial statements.</t>
  </si>
  <si>
    <t>In the absence of the necessary knowledge and expertise, the entity must rely on the auditors to ensure the notes to the financial statements are properly presented.</t>
  </si>
  <si>
    <t>The entity cannot prepare the notes to the financial statements.</t>
  </si>
  <si>
    <t>The entity's personnel have not obtained the necessary knowledge or expertise.</t>
  </si>
  <si>
    <t>The entity should provide the necessary training to personnel or contract with an independent contractor with the necessary knowledge to properly prepare the notes to the financial statements.</t>
  </si>
  <si>
    <t>The entity does not intend to correct the findings in the next fiscal year.</t>
  </si>
  <si>
    <t>ED-Support Services-Purchased Services</t>
  </si>
  <si>
    <t>10-2330-300</t>
  </si>
  <si>
    <t>Bushue Background Screening</t>
  </si>
  <si>
    <t>10-2540-300</t>
  </si>
  <si>
    <t>Ed-Payments to Other Districts and Government Units-Purchased Services</t>
  </si>
  <si>
    <t>10-4120-300</t>
  </si>
  <si>
    <t>Eastern Illinois Area Special Education</t>
  </si>
  <si>
    <t>Flora Comm. #35</t>
  </si>
  <si>
    <t>Clay City Comm. #10</t>
  </si>
  <si>
    <t>Griffith Lawn Service</t>
  </si>
  <si>
    <t>Hutsonville Comm. #1</t>
  </si>
  <si>
    <t>Kemper CPA Group, LLP</t>
  </si>
  <si>
    <t>Long, Jeff</t>
  </si>
  <si>
    <t>10-2320-300</t>
  </si>
  <si>
    <t>Miller, Tracy, Brawn</t>
  </si>
  <si>
    <t>North Clay #25</t>
  </si>
  <si>
    <t>Oblong Comm. #4</t>
  </si>
  <si>
    <t>Red Hill Comm. #10</t>
  </si>
  <si>
    <t>Richland County Comm #1</t>
  </si>
  <si>
    <t>Robinson Comm. #2</t>
  </si>
  <si>
    <t>The Sandner Group</t>
  </si>
  <si>
    <t>DEPARTMENT OF EDUCATION:</t>
  </si>
  <si>
    <t>PASSED THROUGH IL STATE BOARD OF EDUCATION:</t>
  </si>
  <si>
    <t>I.D.E.A.Flow Through - FY18 (M)</t>
  </si>
  <si>
    <t>I.D.E.A.Flow Through - FY17 (M)</t>
  </si>
  <si>
    <t>I.D.E.A. Flow Through - FY18 (M)</t>
  </si>
  <si>
    <t>I.D.E.A. Flow Through - FY17 (M)</t>
  </si>
  <si>
    <t>Pre-School Flow Through - FY18 (M)</t>
  </si>
  <si>
    <t>Pre-School Flow Through - FY17 (M)</t>
  </si>
  <si>
    <t>Medical Assistance Program - Medicaid Admin Outreach</t>
  </si>
  <si>
    <t>84.027A</t>
  </si>
  <si>
    <t>84.173A</t>
  </si>
  <si>
    <t>2018-4620</t>
  </si>
  <si>
    <t>2017-4620</t>
  </si>
  <si>
    <t>2018-2200</t>
  </si>
  <si>
    <t>2017-2200</t>
  </si>
  <si>
    <t>2018-4600</t>
  </si>
  <si>
    <t>2017-4600</t>
  </si>
  <si>
    <t>I.D.E.A. Flow Through</t>
  </si>
  <si>
    <t>Jasper County CUSD 1</t>
  </si>
  <si>
    <t>Lawrenceville County CUSD 20</t>
  </si>
  <si>
    <t>Robinson CUSD 2</t>
  </si>
  <si>
    <t>Richland County CUSD 1</t>
  </si>
  <si>
    <t>Pre-School Flow Through</t>
  </si>
  <si>
    <t>Page 16, Line 73, Column 300, Other Supported Services: Technical purchased services - $14,089</t>
  </si>
  <si>
    <t>Page 16, Line 73, Column 400, Other Supported Services: Medicaid supplies - $82,200</t>
  </si>
  <si>
    <t>Page 16, Line 73, Column 500, Other Supported Services: Medicaid equipment - $29,119</t>
  </si>
  <si>
    <t>Page 12, Line 171, Column 10, Other Restricted Revenue from State Sources: DIVS of Rehab - $15,485</t>
  </si>
  <si>
    <t>Page 11, Line 107, Column 10, Other Local Revenue: Miscellaneous income not categorized elsewhere - $10,083</t>
  </si>
  <si>
    <r>
      <t xml:space="preserve">The following amounts were expended in the form of non-cash assistance by </t>
    </r>
    <r>
      <rPr>
        <b/>
        <sz val="9"/>
        <rFont val="Calibri"/>
        <family val="2"/>
        <scheme val="minor"/>
      </rPr>
      <t>South Eastern Special Education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</si>
  <si>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South Eastern Special Education</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asic</t>
    </r>
    <r>
      <rPr>
        <sz val="9"/>
        <rFont val="Calibri"/>
        <family val="2"/>
        <scheme val="minor"/>
      </rPr>
      <t xml:space="preserve"> financial statements.</t>
    </r>
  </si>
  <si>
    <r>
      <t xml:space="preserve">Of the federal expenditures presented in the schedule, </t>
    </r>
    <r>
      <rPr>
        <b/>
        <sz val="9"/>
        <rFont val="Calibri"/>
        <family val="2"/>
        <scheme val="minor"/>
      </rPr>
      <t>South Eastern Special Education</t>
    </r>
    <r>
      <rPr>
        <sz val="9"/>
        <rFont val="Calibri"/>
        <family val="2"/>
        <scheme val="minor"/>
      </rPr>
      <t xml:space="preserve"> provided federal awards to subrecipients as follows:</t>
    </r>
  </si>
  <si>
    <t>Unmodified</t>
  </si>
  <si>
    <t>84.027A/84.173A</t>
  </si>
  <si>
    <t>Special Education Cluster</t>
  </si>
  <si>
    <t>Special Education Cluster:</t>
  </si>
  <si>
    <t>DEPARTMENT OF HEALTH AND HUMAN SERVICES:</t>
  </si>
  <si>
    <t>PASSED THROUGH IL DEPARTMENT OF HEALTHCARE AND FAMILY SERVICES:</t>
  </si>
  <si>
    <t>Total Special Education Cluster</t>
  </si>
  <si>
    <t>Total Department of Education</t>
  </si>
  <si>
    <t>South Eastern SpEd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</si>
</sst>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style="thin">
        <color indexed="64"/>
      </top>
      <bottom style="thin">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0" fontId="53" fillId="0" borderId="148" xfId="3" applyFont="1" applyBorder="1" applyAlignment="1" applyProtection="1">
      <alignment horizontal="left" indent="1"/>
      <protection locked="0"/>
    </xf>
    <xf numFmtId="0" fontId="53" fillId="0" borderId="148" xfId="3" applyFont="1" applyBorder="1" applyAlignment="1" applyProtection="1">
      <alignment horizontal="left" indent="2"/>
      <protection locked="0"/>
    </xf>
    <xf numFmtId="3" fontId="60" fillId="0" borderId="166" xfId="3" applyNumberFormat="1" applyFont="1" applyBorder="1" applyAlignment="1" applyProtection="1">
      <alignment horizontal="center"/>
      <protection locked="0"/>
    </xf>
    <xf numFmtId="3" fontId="60" fillId="0" borderId="167" xfId="3" applyNumberFormat="1" applyFont="1" applyBorder="1" applyAlignment="1" applyProtection="1">
      <alignment horizontal="center"/>
      <protection locked="0"/>
    </xf>
    <xf numFmtId="3" fontId="60" fillId="0" borderId="168"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3" fontId="53" fillId="0" borderId="77" xfId="3" applyNumberFormat="1" applyFont="1" applyBorder="1" applyAlignment="1" applyProtection="1">
      <alignment horizontal="right" indent="1"/>
      <protection locked="0"/>
    </xf>
    <xf numFmtId="3" fontId="53" fillId="0" borderId="150" xfId="3" applyNumberFormat="1" applyFont="1" applyBorder="1" applyAlignment="1" applyProtection="1">
      <protection locked="0"/>
    </xf>
    <xf numFmtId="3" fontId="53" fillId="0" borderId="76" xfId="3" applyNumberFormat="1" applyFont="1" applyBorder="1" applyAlignment="1" applyProtection="1">
      <protection locked="0"/>
    </xf>
    <xf numFmtId="3" fontId="53" fillId="0" borderId="151" xfId="3" applyNumberFormat="1" applyFont="1" applyBorder="1" applyAlignment="1" applyProtection="1">
      <protection locked="0"/>
    </xf>
    <xf numFmtId="0" fontId="60" fillId="0" borderId="0" xfId="3" applyFont="1" applyAlignment="1" applyProtection="1">
      <alignment horizontal="left" vertical="center" wrapText="1"/>
    </xf>
    <xf numFmtId="3" fontId="53" fillId="0" borderId="159" xfId="3" applyNumberFormat="1" applyFont="1" applyBorder="1" applyAlignment="1" applyProtection="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9525</xdr:rowOff>
        </xdr:from>
        <xdr:to>
          <xdr:col>1</xdr:col>
          <xdr:colOff>1914525</xdr:colOff>
          <xdr:row>4</xdr:row>
          <xdr:rowOff>47625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47625</xdr:rowOff>
        </xdr:from>
        <xdr:to>
          <xdr:col>1</xdr:col>
          <xdr:colOff>800100</xdr:colOff>
          <xdr:row>9</xdr:row>
          <xdr:rowOff>85725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c r="C5" s="26" t="s">
        <v>966</v>
      </c>
      <c r="D5" s="84"/>
      <c r="E5" s="84"/>
      <c r="H5" s="38"/>
      <c r="I5" s="2017" t="s">
        <v>701</v>
      </c>
      <c r="J5" s="2016"/>
      <c r="K5" s="2016"/>
      <c r="L5" s="2016"/>
      <c r="M5" s="2016"/>
      <c r="N5" s="2016"/>
      <c r="O5" s="2016"/>
      <c r="P5" s="2016"/>
      <c r="Q5" s="2016"/>
      <c r="R5" s="2016"/>
      <c r="S5" s="2016"/>
    </row>
    <row r="6" spans="1:28" ht="14.1" customHeight="1" x14ac:dyDescent="0.2">
      <c r="B6" s="104" t="s">
        <v>2074</v>
      </c>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t="s">
        <v>2074</v>
      </c>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12017801060</v>
      </c>
      <c r="B13" s="2043"/>
      <c r="C13" s="2043"/>
      <c r="D13" s="2043"/>
      <c r="E13" s="2043"/>
      <c r="F13" s="2043"/>
      <c r="G13" s="2043"/>
      <c r="H13" s="2044"/>
      <c r="I13" s="31"/>
      <c r="J13" s="30"/>
      <c r="K13" s="28"/>
      <c r="L13" s="30"/>
      <c r="M13" s="30"/>
      <c r="N13" s="30"/>
      <c r="O13" s="30"/>
      <c r="P13" s="30"/>
      <c r="Q13" s="30"/>
      <c r="R13" s="30"/>
      <c r="S13" s="30"/>
      <c r="T13" s="2047" t="s">
        <v>2082</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2075</v>
      </c>
      <c r="B15" s="2045"/>
      <c r="C15" s="2045"/>
      <c r="D15" s="2045"/>
      <c r="E15" s="2045"/>
      <c r="F15" s="2045"/>
      <c r="G15" s="2045"/>
      <c r="H15" s="2046"/>
      <c r="T15" s="2051" t="s">
        <v>2083</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2169</v>
      </c>
      <c r="B17" s="2002"/>
      <c r="C17" s="2002"/>
      <c r="D17" s="2002"/>
      <c r="E17" s="2002"/>
      <c r="F17" s="2002"/>
      <c r="G17" s="2002"/>
      <c r="H17" s="2027"/>
      <c r="T17" s="2058" t="s">
        <v>2084</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2076</v>
      </c>
      <c r="B19" s="1987"/>
      <c r="C19" s="1987"/>
      <c r="D19" s="1987"/>
      <c r="E19" s="1987"/>
      <c r="F19" s="1987"/>
      <c r="G19" s="1987"/>
      <c r="H19" s="1967"/>
      <c r="I19" s="30"/>
      <c r="J19" s="99"/>
      <c r="K19" s="40"/>
      <c r="L19" s="38"/>
      <c r="M19" s="112" t="s">
        <v>333</v>
      </c>
      <c r="P19" s="27"/>
      <c r="Q19" s="27"/>
      <c r="R19" s="27"/>
      <c r="S19" s="31"/>
      <c r="T19" s="2041" t="s">
        <v>2085</v>
      </c>
      <c r="U19" s="1966"/>
      <c r="V19" s="1966"/>
      <c r="W19" s="1967"/>
      <c r="X19" s="2056" t="s">
        <v>2086</v>
      </c>
      <c r="Y19" s="2057"/>
      <c r="Z19" s="2054">
        <v>62454</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2077</v>
      </c>
      <c r="B21" s="1966"/>
      <c r="C21" s="1966"/>
      <c r="D21" s="1966"/>
      <c r="E21" s="1966"/>
      <c r="F21" s="1966"/>
      <c r="G21" s="1966"/>
      <c r="H21" s="1967"/>
      <c r="I21" s="2021" t="s">
        <v>699</v>
      </c>
      <c r="J21" s="2016"/>
      <c r="K21" s="2016"/>
      <c r="L21" s="2016"/>
      <c r="M21" s="2016"/>
      <c r="N21" s="2016"/>
      <c r="O21" s="2016"/>
      <c r="P21" s="2016"/>
      <c r="Q21" s="2016"/>
      <c r="R21" s="2016"/>
      <c r="S21" s="2022"/>
      <c r="T21" s="2065" t="s">
        <v>2087</v>
      </c>
      <c r="U21" s="2066"/>
      <c r="V21" s="2066"/>
      <c r="W21" s="2066"/>
      <c r="X21" s="2071" t="s">
        <v>2088</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t="s">
        <v>2078</v>
      </c>
      <c r="B23" s="2019"/>
      <c r="C23" s="2019"/>
      <c r="D23" s="2019"/>
      <c r="E23" s="2019"/>
      <c r="F23" s="2019"/>
      <c r="G23" s="2019"/>
      <c r="H23" s="2020"/>
      <c r="T23" s="2001" t="s">
        <v>2089</v>
      </c>
      <c r="U23" s="2064"/>
      <c r="V23" s="2064"/>
      <c r="W23" s="2064"/>
      <c r="X23" s="2068">
        <v>43373</v>
      </c>
      <c r="Y23" s="2069"/>
      <c r="Z23" s="2069"/>
      <c r="AA23" s="2070"/>
    </row>
    <row r="24" spans="1:27" ht="14.1" customHeight="1" x14ac:dyDescent="0.2">
      <c r="A24" s="88" t="s">
        <v>698</v>
      </c>
      <c r="B24" s="49"/>
      <c r="C24" s="49"/>
      <c r="D24" s="49"/>
      <c r="E24" s="49"/>
      <c r="F24" s="49"/>
      <c r="G24" s="49"/>
      <c r="H24" s="61"/>
      <c r="J24" s="1988" t="str">
        <f>IF(B5="x",IF(AUDITCHECK!D29="AFR form Incomplete.","",IF(AUDITCHECK!D29="Deficit reduction plan is required.","School District must complete a deficit reduction plan in the 2018-2019 Budget",)),"")</f>
        <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62459</v>
      </c>
      <c r="B25" s="1966"/>
      <c r="C25" s="1966"/>
      <c r="D25" s="1966"/>
      <c r="E25" s="1966"/>
      <c r="F25" s="1966"/>
      <c r="G25" s="1966"/>
      <c r="H25" s="1967"/>
      <c r="I25" s="113"/>
      <c r="J25" s="1990"/>
      <c r="K25" s="1990"/>
      <c r="L25" s="1990"/>
      <c r="M25" s="1990"/>
      <c r="N25" s="1990"/>
      <c r="O25" s="1990"/>
      <c r="P25" s="1990"/>
      <c r="Q25" s="1990"/>
      <c r="R25" s="1990"/>
      <c r="S25" s="1991"/>
      <c r="T25" s="2061" t="s">
        <v>2090</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t="s">
        <v>2079</v>
      </c>
      <c r="B38" s="2002"/>
      <c r="C38" s="2002"/>
      <c r="D38" s="2002"/>
      <c r="E38" s="2002"/>
      <c r="F38" s="1966"/>
      <c r="G38" s="1966"/>
      <c r="H38" s="1967"/>
      <c r="I38" s="1994"/>
      <c r="J38" s="1995"/>
      <c r="K38" s="1995"/>
      <c r="L38" s="1995"/>
      <c r="M38" s="1995"/>
      <c r="N38" s="1995"/>
      <c r="O38" s="1995"/>
      <c r="P38" s="1996"/>
      <c r="Q38" s="1996"/>
      <c r="R38" s="1996"/>
      <c r="S38" s="1997"/>
      <c r="T38" s="2051"/>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t="s">
        <v>2078</v>
      </c>
      <c r="B40" s="1980"/>
      <c r="C40" s="1981"/>
      <c r="D40" s="1981"/>
      <c r="E40" s="1981"/>
      <c r="F40" s="1982"/>
      <c r="G40" s="1982"/>
      <c r="H40" s="1983"/>
      <c r="I40" s="2004"/>
      <c r="J40" s="2005"/>
      <c r="K40" s="2005"/>
      <c r="L40" s="2005"/>
      <c r="M40" s="2005"/>
      <c r="N40" s="2005"/>
      <c r="O40" s="2005"/>
      <c r="P40" s="2005"/>
      <c r="Q40" s="2005"/>
      <c r="R40" s="2005"/>
      <c r="S40" s="2006"/>
      <c r="T40" s="2004"/>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t="s">
        <v>2080</v>
      </c>
      <c r="B42" s="1985"/>
      <c r="C42" s="1986"/>
      <c r="D42" s="1984" t="s">
        <v>2081</v>
      </c>
      <c r="E42" s="1985"/>
      <c r="F42" s="1985"/>
      <c r="G42" s="1985"/>
      <c r="H42" s="1986"/>
      <c r="I42" s="1968"/>
      <c r="J42" s="1969"/>
      <c r="K42" s="1969"/>
      <c r="L42" s="1969"/>
      <c r="M42" s="1969"/>
      <c r="N42" s="1969"/>
      <c r="O42" s="1970"/>
      <c r="P42" s="2003"/>
      <c r="Q42" s="1969"/>
      <c r="R42" s="1969"/>
      <c r="S42" s="1970"/>
      <c r="T42" s="1968"/>
      <c r="U42" s="1969"/>
      <c r="V42" s="1969"/>
      <c r="W42" s="1970"/>
      <c r="X42" s="2003"/>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7" t="s">
        <v>1902</v>
      </c>
      <c r="B2" s="1550" t="s">
        <v>2032</v>
      </c>
      <c r="C2" s="715" t="s">
        <v>1907</v>
      </c>
      <c r="D2" s="715" t="s">
        <v>1908</v>
      </c>
      <c r="E2" s="715" t="s">
        <v>1909</v>
      </c>
      <c r="F2" s="715" t="s">
        <v>1910</v>
      </c>
    </row>
    <row r="3" spans="1:6" ht="12" customHeight="1" x14ac:dyDescent="0.2">
      <c r="A3" s="2208"/>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27"/>
      <c r="C1" s="722"/>
    </row>
    <row r="2" spans="1:7" ht="33.75" x14ac:dyDescent="0.2">
      <c r="A2" s="2234" t="s">
        <v>1902</v>
      </c>
      <c r="B2" s="2235"/>
      <c r="C2" s="1908" t="s">
        <v>2033</v>
      </c>
      <c r="D2" s="724" t="s">
        <v>2040</v>
      </c>
      <c r="E2" s="724" t="s">
        <v>2041</v>
      </c>
      <c r="F2" s="1908" t="s">
        <v>2034</v>
      </c>
    </row>
    <row r="3" spans="1:7" ht="15.75" customHeight="1" x14ac:dyDescent="0.2">
      <c r="A3" s="2236" t="s">
        <v>1176</v>
      </c>
      <c r="B3" s="2237"/>
      <c r="C3" s="2230"/>
      <c r="D3" s="2231"/>
      <c r="E3" s="2231"/>
      <c r="F3" s="2232"/>
    </row>
    <row r="4" spans="1:7" ht="12.75" customHeight="1" thickBot="1" x14ac:dyDescent="0.25">
      <c r="A4" s="2224" t="s">
        <v>651</v>
      </c>
      <c r="B4" s="2225"/>
      <c r="C4" s="581"/>
      <c r="D4" s="581"/>
      <c r="E4" s="581"/>
      <c r="F4" s="1777">
        <f>SUM(C4+D4)-E4</f>
        <v>0</v>
      </c>
    </row>
    <row r="5" spans="1:7" ht="15.75" customHeight="1" thickTop="1" x14ac:dyDescent="0.2">
      <c r="A5" s="2228" t="s">
        <v>1172</v>
      </c>
      <c r="B5" s="2223"/>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0" t="s">
        <v>652</v>
      </c>
      <c r="B15" s="2221"/>
      <c r="C15" s="1777">
        <f>SUM(C6:C14)</f>
        <v>0</v>
      </c>
      <c r="D15" s="1777">
        <f>SUM(D6:D14)</f>
        <v>0</v>
      </c>
      <c r="E15" s="1777">
        <f>SUM(E6:E14)</f>
        <v>0</v>
      </c>
      <c r="F15" s="1777">
        <f>SUM(F6:F14)</f>
        <v>0</v>
      </c>
      <c r="G15" s="552"/>
    </row>
    <row r="16" spans="1:7" s="202" customFormat="1" ht="15.75" customHeight="1" thickTop="1" x14ac:dyDescent="0.2">
      <c r="A16" s="2233" t="s">
        <v>1173</v>
      </c>
      <c r="B16" s="2223"/>
      <c r="C16" s="2217"/>
      <c r="D16" s="2218"/>
      <c r="E16" s="2218"/>
      <c r="F16" s="2219"/>
    </row>
    <row r="17" spans="1:11" ht="12.75" customHeight="1" thickBot="1" x14ac:dyDescent="0.25">
      <c r="A17" s="2215" t="s">
        <v>66</v>
      </c>
      <c r="B17" s="2216"/>
      <c r="C17" s="727"/>
      <c r="D17" s="585"/>
      <c r="E17" s="727"/>
      <c r="F17" s="1777">
        <f>SUM(C17+D17)-E17</f>
        <v>0</v>
      </c>
    </row>
    <row r="18" spans="1:11" ht="12.75" customHeight="1" thickTop="1" thickBot="1" x14ac:dyDescent="0.25">
      <c r="A18" s="2215" t="s">
        <v>6</v>
      </c>
      <c r="B18" s="2216"/>
      <c r="C18" s="727"/>
      <c r="D18" s="585"/>
      <c r="E18" s="727"/>
      <c r="F18" s="1777">
        <f>SUM(C18+D18)-E18</f>
        <v>0</v>
      </c>
    </row>
    <row r="19" spans="1:11" ht="12.75" customHeight="1" thickTop="1" thickBot="1" x14ac:dyDescent="0.25">
      <c r="A19" s="2215" t="s">
        <v>406</v>
      </c>
      <c r="B19" s="2216"/>
      <c r="C19" s="727"/>
      <c r="D19" s="585"/>
      <c r="E19" s="727"/>
      <c r="F19" s="1777">
        <f>SUM(C19+D19)-E19</f>
        <v>0</v>
      </c>
    </row>
    <row r="20" spans="1:11" ht="12.75" customHeight="1" thickTop="1" thickBot="1" x14ac:dyDescent="0.25">
      <c r="A20" s="2215" t="s">
        <v>468</v>
      </c>
      <c r="B20" s="2216"/>
      <c r="C20" s="727"/>
      <c r="D20" s="585"/>
      <c r="E20" s="727"/>
      <c r="F20" s="1777">
        <f>SUM(C20+D20)-E20</f>
        <v>0</v>
      </c>
    </row>
    <row r="21" spans="1:11" ht="14.25" thickTop="1" thickBot="1" x14ac:dyDescent="0.25">
      <c r="A21" s="2220" t="s">
        <v>653</v>
      </c>
      <c r="B21" s="2221"/>
      <c r="C21" s="1777">
        <f>SUM(C17:C20)</f>
        <v>0</v>
      </c>
      <c r="D21" s="1777">
        <f>SUM(D17:D20)</f>
        <v>0</v>
      </c>
      <c r="E21" s="1777">
        <f>SUM(E17:E20)</f>
        <v>0</v>
      </c>
      <c r="F21" s="1777">
        <f>SUM(F17:F20)</f>
        <v>0</v>
      </c>
      <c r="G21" s="552"/>
    </row>
    <row r="22" spans="1:11" ht="15.75" customHeight="1" thickTop="1" x14ac:dyDescent="0.2">
      <c r="A22" s="2222" t="s">
        <v>1174</v>
      </c>
      <c r="B22" s="2223"/>
      <c r="C22" s="2217"/>
      <c r="D22" s="2218"/>
      <c r="E22" s="2218"/>
      <c r="F22" s="2219"/>
    </row>
    <row r="23" spans="1:11" ht="13.5" thickBot="1" x14ac:dyDescent="0.25">
      <c r="A23" s="2224" t="s">
        <v>654</v>
      </c>
      <c r="B23" s="2225"/>
      <c r="C23" s="581"/>
      <c r="D23" s="581"/>
      <c r="E23" s="581"/>
      <c r="F23" s="1777">
        <f>SUM(C23+D23)-E23</f>
        <v>0</v>
      </c>
      <c r="G23" s="552"/>
    </row>
    <row r="24" spans="1:11" ht="15.75" customHeight="1" thickTop="1" x14ac:dyDescent="0.2">
      <c r="A24" s="2222" t="s">
        <v>1175</v>
      </c>
      <c r="B24" s="2223"/>
      <c r="C24" s="2217"/>
      <c r="D24" s="2218"/>
      <c r="E24" s="2218"/>
      <c r="F24" s="2219"/>
    </row>
    <row r="25" spans="1:11" ht="13.5" thickBot="1" x14ac:dyDescent="0.25">
      <c r="A25" s="2224" t="s">
        <v>655</v>
      </c>
      <c r="B25" s="2225"/>
      <c r="C25" s="581"/>
      <c r="D25" s="581"/>
      <c r="E25" s="581"/>
      <c r="F25" s="1777">
        <f>SUM(C25+D25)-E25</f>
        <v>0</v>
      </c>
      <c r="G25" s="552"/>
    </row>
    <row r="26" spans="1:11" ht="15.75" customHeight="1" thickTop="1" x14ac:dyDescent="0.2">
      <c r="A26" s="2228" t="s">
        <v>678</v>
      </c>
      <c r="B26" s="2223"/>
      <c r="C26" s="728"/>
      <c r="D26" s="728"/>
      <c r="E26" s="728"/>
      <c r="F26" s="729"/>
    </row>
    <row r="27" spans="1:11" ht="13.5" thickBot="1" x14ac:dyDescent="0.25">
      <c r="A27" s="2220" t="s">
        <v>1130</v>
      </c>
      <c r="B27" s="2221"/>
      <c r="C27" s="585"/>
      <c r="D27" s="585"/>
      <c r="E27" s="585"/>
      <c r="F27" s="1777">
        <f>SUM(C27+D27)-E27</f>
        <v>0</v>
      </c>
      <c r="G27" s="552"/>
    </row>
    <row r="28" spans="1:11" ht="7.5" customHeight="1" thickTop="1" x14ac:dyDescent="0.2">
      <c r="A28" s="594"/>
    </row>
    <row r="29" spans="1:11" ht="23.25" customHeight="1" x14ac:dyDescent="0.2">
      <c r="A29" s="2226" t="s">
        <v>603</v>
      </c>
      <c r="B29" s="2227"/>
      <c r="C29" s="730"/>
      <c r="D29" s="730"/>
      <c r="E29" s="730"/>
      <c r="F29" s="730"/>
      <c r="G29" s="730"/>
      <c r="H29" s="730"/>
      <c r="I29" s="730"/>
      <c r="J29" s="730"/>
    </row>
    <row r="30" spans="1:11" ht="33.75" x14ac:dyDescent="0.2">
      <c r="A30" s="1551" t="s">
        <v>1131</v>
      </c>
      <c r="B30" s="731" t="s">
        <v>1186</v>
      </c>
      <c r="C30" s="1909" t="s">
        <v>604</v>
      </c>
      <c r="D30" s="1909" t="s">
        <v>1772</v>
      </c>
      <c r="E30" s="1909" t="s">
        <v>2035</v>
      </c>
      <c r="F30" s="1909" t="s">
        <v>2036</v>
      </c>
      <c r="G30" s="1909" t="s">
        <v>2039</v>
      </c>
      <c r="H30" s="1909" t="s">
        <v>2037</v>
      </c>
      <c r="I30" s="1909" t="s">
        <v>2038</v>
      </c>
      <c r="J30" s="1910"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9" t="s">
        <v>605</v>
      </c>
      <c r="C52" s="2210"/>
      <c r="D52" s="2210"/>
      <c r="E52" s="750" t="s">
        <v>900</v>
      </c>
      <c r="F52" s="2211"/>
      <c r="G52" s="2212"/>
      <c r="H52" s="737"/>
      <c r="I52" s="737"/>
      <c r="J52" s="747"/>
    </row>
    <row r="53" spans="1:11" ht="11.25" customHeight="1" x14ac:dyDescent="0.2">
      <c r="A53" s="751" t="s">
        <v>969</v>
      </c>
      <c r="B53" s="752" t="s">
        <v>1008</v>
      </c>
      <c r="C53" s="747"/>
      <c r="D53" s="738"/>
      <c r="E53" s="750" t="s">
        <v>518</v>
      </c>
      <c r="F53" s="2213"/>
      <c r="G53" s="2214"/>
      <c r="H53" s="737"/>
      <c r="I53" s="737"/>
      <c r="J53" s="747"/>
    </row>
    <row r="54" spans="1:11" ht="11.25" customHeight="1" x14ac:dyDescent="0.2">
      <c r="A54" s="753" t="s">
        <v>970</v>
      </c>
      <c r="B54" s="748" t="s">
        <v>1009</v>
      </c>
      <c r="C54" s="747"/>
      <c r="D54" s="738"/>
      <c r="E54" s="750" t="s">
        <v>519</v>
      </c>
      <c r="F54" s="2213"/>
      <c r="G54" s="221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911</v>
      </c>
      <c r="B1" s="2239"/>
      <c r="C1" s="2239"/>
      <c r="D1" s="2239"/>
      <c r="E1" s="2239"/>
      <c r="F1" s="2239"/>
      <c r="G1" s="2240"/>
      <c r="H1" s="1552"/>
      <c r="I1" s="761"/>
      <c r="J1" s="433"/>
    </row>
    <row r="2" spans="1:11" ht="26.25" x14ac:dyDescent="0.2">
      <c r="A2" s="2257" t="s">
        <v>1776</v>
      </c>
      <c r="B2" s="2258"/>
      <c r="C2" s="2258"/>
      <c r="D2" s="2258"/>
      <c r="E2" s="2259"/>
      <c r="F2" s="762" t="s">
        <v>960</v>
      </c>
      <c r="G2" s="763" t="s">
        <v>1773</v>
      </c>
      <c r="H2" s="763" t="s">
        <v>430</v>
      </c>
      <c r="I2" s="763" t="s">
        <v>1220</v>
      </c>
      <c r="J2" s="763" t="s">
        <v>1916</v>
      </c>
      <c r="K2" s="763" t="s">
        <v>140</v>
      </c>
    </row>
    <row r="3" spans="1:11" x14ac:dyDescent="0.2">
      <c r="A3" s="2260" t="s">
        <v>1698</v>
      </c>
      <c r="B3" s="2261"/>
      <c r="C3" s="2261"/>
      <c r="D3" s="2261"/>
      <c r="E3" s="2262"/>
      <c r="F3" s="764"/>
      <c r="G3" s="765"/>
      <c r="H3" s="765"/>
      <c r="I3" s="765"/>
      <c r="J3" s="766"/>
      <c r="K3" s="766"/>
    </row>
    <row r="4" spans="1:11" x14ac:dyDescent="0.2">
      <c r="A4" s="2263" t="s">
        <v>387</v>
      </c>
      <c r="B4" s="2264"/>
      <c r="C4" s="2264"/>
      <c r="D4" s="2264"/>
      <c r="E4" s="2210"/>
      <c r="F4" s="767"/>
      <c r="G4" s="768"/>
      <c r="H4" s="769"/>
      <c r="I4" s="768"/>
      <c r="J4" s="770"/>
      <c r="K4" s="770"/>
    </row>
    <row r="5" spans="1:11" x14ac:dyDescent="0.2">
      <c r="A5" s="2241" t="s">
        <v>1129</v>
      </c>
      <c r="B5" s="2242"/>
      <c r="C5" s="2242"/>
      <c r="D5" s="2242"/>
      <c r="E5" s="2243"/>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1" t="s">
        <v>1917</v>
      </c>
      <c r="B10" s="2242"/>
      <c r="C10" s="2242"/>
      <c r="D10" s="2242"/>
      <c r="E10" s="2244"/>
      <c r="F10" s="784" t="s">
        <v>917</v>
      </c>
      <c r="G10" s="783"/>
      <c r="H10" s="785"/>
      <c r="I10" s="765"/>
      <c r="J10" s="766"/>
      <c r="K10" s="766"/>
    </row>
    <row r="11" spans="1:11" x14ac:dyDescent="0.2">
      <c r="A11" s="2241" t="s">
        <v>162</v>
      </c>
      <c r="B11" s="2242"/>
      <c r="C11" s="2242"/>
      <c r="D11" s="2242"/>
      <c r="E11" s="2243"/>
      <c r="F11" s="771" t="s">
        <v>907</v>
      </c>
      <c r="G11" s="772"/>
      <c r="H11" s="765"/>
      <c r="I11" s="765"/>
      <c r="J11" s="766"/>
      <c r="K11" s="774"/>
    </row>
    <row r="12" spans="1:11" ht="13.5" thickBot="1" x14ac:dyDescent="0.25">
      <c r="A12" s="2268" t="s">
        <v>961</v>
      </c>
      <c r="B12" s="2269"/>
      <c r="C12" s="2269"/>
      <c r="D12" s="2269"/>
      <c r="E12" s="2270"/>
      <c r="F12" s="1779"/>
      <c r="G12" s="1780">
        <f>SUM(G5:G11)</f>
        <v>0</v>
      </c>
      <c r="H12" s="1780">
        <f>SUM(H5:H11)</f>
        <v>0</v>
      </c>
      <c r="I12" s="1780">
        <f>SUM(I5:I11)</f>
        <v>0</v>
      </c>
      <c r="J12" s="1780">
        <f>SUM(J5:J11)</f>
        <v>0</v>
      </c>
      <c r="K12" s="1780">
        <f>SUM(K5:K11)</f>
        <v>0</v>
      </c>
    </row>
    <row r="13" spans="1:11" ht="13.5" thickTop="1" x14ac:dyDescent="0.2">
      <c r="A13" s="2265" t="s">
        <v>388</v>
      </c>
      <c r="B13" s="2266"/>
      <c r="C13" s="2266"/>
      <c r="D13" s="2266"/>
      <c r="E13" s="2267"/>
      <c r="F13" s="786"/>
      <c r="G13" s="787"/>
      <c r="H13" s="788"/>
      <c r="I13" s="789"/>
      <c r="J13" s="789"/>
      <c r="K13" s="789"/>
    </row>
    <row r="14" spans="1:11" x14ac:dyDescent="0.2">
      <c r="A14" s="2248" t="s">
        <v>476</v>
      </c>
      <c r="B14" s="2248"/>
      <c r="C14" s="2248"/>
      <c r="D14" s="2248"/>
      <c r="E14" s="2249"/>
      <c r="F14" s="790" t="s">
        <v>909</v>
      </c>
      <c r="G14" s="783"/>
      <c r="H14" s="765"/>
      <c r="I14" s="772"/>
      <c r="J14" s="774"/>
      <c r="K14" s="766"/>
    </row>
    <row r="15" spans="1:11" x14ac:dyDescent="0.2">
      <c r="A15" s="2242" t="s">
        <v>4</v>
      </c>
      <c r="B15" s="2242"/>
      <c r="C15" s="2242"/>
      <c r="D15" s="2242"/>
      <c r="E15" s="2243"/>
      <c r="F15" s="790" t="s">
        <v>910</v>
      </c>
      <c r="G15" s="772"/>
      <c r="H15" s="765"/>
      <c r="I15" s="765"/>
      <c r="J15" s="766"/>
      <c r="K15" s="766"/>
    </row>
    <row r="16" spans="1:11" x14ac:dyDescent="0.2">
      <c r="A16" s="2242" t="s">
        <v>316</v>
      </c>
      <c r="B16" s="2242"/>
      <c r="C16" s="2242"/>
      <c r="D16" s="2242"/>
      <c r="E16" s="2243"/>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50" t="s">
        <v>1913</v>
      </c>
      <c r="B19" s="2250"/>
      <c r="C19" s="2250"/>
      <c r="D19" s="2250"/>
      <c r="E19" s="2251"/>
      <c r="F19" s="790" t="s">
        <v>990</v>
      </c>
      <c r="G19" s="783"/>
      <c r="H19" s="783"/>
      <c r="I19" s="783"/>
      <c r="J19" s="766"/>
      <c r="K19" s="796"/>
    </row>
    <row r="20" spans="1:11" x14ac:dyDescent="0.2">
      <c r="A20" s="2252" t="s">
        <v>1918</v>
      </c>
      <c r="B20" s="2253"/>
      <c r="C20" s="2253"/>
      <c r="D20" s="2253"/>
      <c r="E20" s="2254"/>
      <c r="F20" s="790" t="s">
        <v>991</v>
      </c>
      <c r="G20" s="783"/>
      <c r="H20" s="783"/>
      <c r="I20" s="783"/>
      <c r="J20" s="766"/>
      <c r="K20" s="796"/>
    </row>
    <row r="21" spans="1:11" ht="13.5" thickBot="1" x14ac:dyDescent="0.25">
      <c r="A21" s="2271" t="s">
        <v>659</v>
      </c>
      <c r="B21" s="2271"/>
      <c r="C21" s="2271"/>
      <c r="D21" s="2271"/>
      <c r="E21" s="2271"/>
      <c r="F21" s="1781"/>
      <c r="G21" s="793"/>
      <c r="H21" s="797"/>
      <c r="I21" s="797"/>
      <c r="J21" s="1782">
        <f>SUM(J18:J20)</f>
        <v>0</v>
      </c>
      <c r="K21" s="794"/>
    </row>
    <row r="22" spans="1:11" ht="13.5" thickTop="1" x14ac:dyDescent="0.2">
      <c r="A22" s="2242" t="s">
        <v>1919</v>
      </c>
      <c r="B22" s="2242"/>
      <c r="C22" s="2242"/>
      <c r="D22" s="2242"/>
      <c r="E22" s="2243"/>
      <c r="F22" s="790" t="s">
        <v>917</v>
      </c>
      <c r="G22" s="783"/>
      <c r="H22" s="765"/>
      <c r="I22" s="765"/>
      <c r="J22" s="798"/>
      <c r="K22" s="766"/>
    </row>
    <row r="23" spans="1:11" ht="13.5" thickBot="1" x14ac:dyDescent="0.25">
      <c r="A23" s="2272" t="s">
        <v>962</v>
      </c>
      <c r="B23" s="2271"/>
      <c r="C23" s="2271"/>
      <c r="D23" s="2271"/>
      <c r="E23" s="2271"/>
      <c r="F23" s="1783"/>
      <c r="G23" s="1780">
        <f>SUM(G14:G16,G21,G22)</f>
        <v>0</v>
      </c>
      <c r="H23" s="1780">
        <f>SUM(H14:H16,H21,H22)</f>
        <v>0</v>
      </c>
      <c r="I23" s="1780">
        <f>SUM(I14:I16,I21,I22)</f>
        <v>0</v>
      </c>
      <c r="J23" s="1780">
        <f>SUM(J14:J16,J21,J22)</f>
        <v>0</v>
      </c>
      <c r="K23" s="1780">
        <f>SUM(K14:K16,K21,K22)</f>
        <v>0</v>
      </c>
    </row>
    <row r="24" spans="1:11" ht="14.25" thickTop="1" thickBot="1" x14ac:dyDescent="0.25">
      <c r="A24" s="2272" t="s">
        <v>2021</v>
      </c>
      <c r="B24" s="2271"/>
      <c r="C24" s="2271"/>
      <c r="D24" s="2271"/>
      <c r="E24" s="227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2031</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5"/>
      <c r="I31" s="2246"/>
      <c r="J31" s="2246"/>
      <c r="K31" s="2246"/>
    </row>
    <row r="32" spans="1:11" x14ac:dyDescent="0.2">
      <c r="A32" s="810"/>
      <c r="B32" s="237"/>
      <c r="C32" s="237"/>
      <c r="D32" s="237"/>
      <c r="E32" s="806"/>
      <c r="F32" s="812" t="s">
        <v>561</v>
      </c>
      <c r="G32" s="765"/>
      <c r="H32" s="2247"/>
      <c r="I32" s="2246"/>
      <c r="J32" s="2246"/>
      <c r="K32" s="2246"/>
    </row>
    <row r="33" spans="1:11" ht="1.5" customHeight="1" x14ac:dyDescent="0.2">
      <c r="A33" s="813" t="s">
        <v>1231</v>
      </c>
      <c r="B33" s="364"/>
      <c r="C33" s="364"/>
      <c r="D33" s="364"/>
      <c r="E33" s="364"/>
      <c r="F33" s="364"/>
      <c r="G33" s="814"/>
      <c r="H33" s="2247"/>
      <c r="I33" s="2246"/>
      <c r="J33" s="2246"/>
      <c r="K33" s="2246"/>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2030</v>
      </c>
      <c r="B1" s="2278"/>
      <c r="C1" s="2279"/>
      <c r="D1" s="827"/>
      <c r="E1" s="828"/>
      <c r="F1" s="828"/>
      <c r="G1" s="829"/>
      <c r="H1" s="830"/>
      <c r="I1" s="831"/>
      <c r="J1" s="2275"/>
      <c r="K1" s="2276"/>
      <c r="L1" s="2276"/>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2348261</v>
      </c>
      <c r="D8" s="845"/>
      <c r="E8" s="845"/>
      <c r="F8" s="1782">
        <f>(C8+D8)-E8</f>
        <v>2348261</v>
      </c>
      <c r="G8" s="844">
        <v>50</v>
      </c>
      <c r="H8" s="766">
        <v>564735</v>
      </c>
      <c r="I8" s="766">
        <v>46965</v>
      </c>
      <c r="J8" s="766"/>
      <c r="K8" s="1791">
        <f>(H8+I8)-J8</f>
        <v>611700</v>
      </c>
      <c r="L8" s="1791">
        <f>F8-K8</f>
        <v>1736561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6382</v>
      </c>
      <c r="D10" s="847"/>
      <c r="E10" s="847"/>
      <c r="F10" s="1786">
        <f>(C10+D10)-E10</f>
        <v>6382</v>
      </c>
      <c r="G10" s="844">
        <v>20</v>
      </c>
      <c r="H10" s="848">
        <v>6062</v>
      </c>
      <c r="I10" s="848">
        <v>320</v>
      </c>
      <c r="J10" s="848"/>
      <c r="K10" s="1791">
        <f>(H10+I10)-J10</f>
        <v>6382</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684634</v>
      </c>
      <c r="D12" s="845"/>
      <c r="E12" s="845">
        <v>15656</v>
      </c>
      <c r="F12" s="1782">
        <f>(C12+D12)-E12</f>
        <v>668978</v>
      </c>
      <c r="G12" s="844">
        <v>10</v>
      </c>
      <c r="H12" s="766">
        <v>435092</v>
      </c>
      <c r="I12" s="766">
        <v>67570</v>
      </c>
      <c r="J12" s="766">
        <v>11898</v>
      </c>
      <c r="K12" s="1791">
        <f>(H12+I12)-J12</f>
        <v>490764</v>
      </c>
      <c r="L12" s="1791">
        <f>F12-K12</f>
        <v>178214</v>
      </c>
    </row>
    <row r="13" spans="1:14" ht="14.25" thickTop="1" thickBot="1" x14ac:dyDescent="0.25">
      <c r="A13" s="849" t="s">
        <v>1184</v>
      </c>
      <c r="B13" s="841">
        <v>252</v>
      </c>
      <c r="C13" s="845">
        <v>23546</v>
      </c>
      <c r="D13" s="845">
        <v>29119</v>
      </c>
      <c r="E13" s="845"/>
      <c r="F13" s="1782">
        <f>(C13+D13)-E13</f>
        <v>52665</v>
      </c>
      <c r="G13" s="844">
        <v>5</v>
      </c>
      <c r="H13" s="766">
        <v>2800</v>
      </c>
      <c r="I13" s="766">
        <v>5595</v>
      </c>
      <c r="J13" s="766"/>
      <c r="K13" s="1791">
        <f>(H13+I13)-J13</f>
        <v>8395</v>
      </c>
      <c r="L13" s="1791">
        <f>F13-K13</f>
        <v>44270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3062823</v>
      </c>
      <c r="D16" s="1782">
        <f>SUM(D3,D5:D6,D8:D10,D12:D15)</f>
        <v>29119</v>
      </c>
      <c r="E16" s="1782">
        <f>SUM(E3,E5:E6,E8:E10,E12:E15)</f>
        <v>15656</v>
      </c>
      <c r="F16" s="1782">
        <f>SUM(F3,F5:F6,F8:F10,F12:F15)</f>
        <v>3076286</v>
      </c>
      <c r="G16" s="844"/>
      <c r="H16" s="1782">
        <f>SUM(H3,H6,H8:H10,H12:H14,)</f>
        <v>1008689</v>
      </c>
      <c r="I16" s="1782">
        <f>SUM(I3,I6,I8:I10,I12:I14,)</f>
        <v>120450</v>
      </c>
      <c r="J16" s="1782">
        <f>SUM(J3,J6,J8:J10,J12:J14,)</f>
        <v>11898</v>
      </c>
      <c r="K16" s="1782">
        <f>(H16+I16)-J16</f>
        <v>1117241</v>
      </c>
      <c r="L16" s="1782">
        <f>F16-K16</f>
        <v>1959045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120450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I28" sqref="I2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5714040</v>
      </c>
      <c r="G8" s="866"/>
    </row>
    <row r="9" spans="1:7" x14ac:dyDescent="0.2">
      <c r="A9" s="870" t="s">
        <v>480</v>
      </c>
      <c r="B9" s="871" t="s">
        <v>1985</v>
      </c>
      <c r="C9" s="872"/>
      <c r="D9" s="870" t="s">
        <v>522</v>
      </c>
      <c r="E9" s="869"/>
      <c r="F9" s="1934">
        <f>'Expenditures 15-22'!K151</f>
        <v>0</v>
      </c>
      <c r="G9" s="873"/>
    </row>
    <row r="10" spans="1:7" x14ac:dyDescent="0.2">
      <c r="A10" s="870" t="s">
        <v>520</v>
      </c>
      <c r="B10" s="871" t="s">
        <v>1986</v>
      </c>
      <c r="C10" s="872"/>
      <c r="D10" s="870" t="s">
        <v>522</v>
      </c>
      <c r="E10" s="869"/>
      <c r="F10" s="1934">
        <f>'Expenditures 15-22'!K174</f>
        <v>0</v>
      </c>
      <c r="G10" s="873"/>
    </row>
    <row r="11" spans="1:7" x14ac:dyDescent="0.2">
      <c r="A11" s="870" t="s">
        <v>481</v>
      </c>
      <c r="B11" s="871" t="s">
        <v>1987</v>
      </c>
      <c r="C11" s="872"/>
      <c r="D11" s="870" t="s">
        <v>522</v>
      </c>
      <c r="E11" s="869"/>
      <c r="F11" s="1934">
        <f>'Expenditures 15-22'!K210</f>
        <v>0</v>
      </c>
      <c r="G11" s="873"/>
    </row>
    <row r="12" spans="1:7" x14ac:dyDescent="0.2">
      <c r="A12" s="870" t="s">
        <v>482</v>
      </c>
      <c r="B12" s="871" t="s">
        <v>1988</v>
      </c>
      <c r="C12" s="872"/>
      <c r="D12" s="870" t="s">
        <v>522</v>
      </c>
      <c r="E12" s="869"/>
      <c r="F12" s="1934">
        <f>'Expenditures 15-22'!K295</f>
        <v>0</v>
      </c>
      <c r="G12" s="873"/>
    </row>
    <row r="13" spans="1:7" x14ac:dyDescent="0.2">
      <c r="A13" s="870" t="s">
        <v>108</v>
      </c>
      <c r="B13" s="871" t="s">
        <v>1989</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5714040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366801</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459551</v>
      </c>
      <c r="G53" s="866"/>
    </row>
    <row r="54" spans="1:7" x14ac:dyDescent="0.2">
      <c r="A54" s="870" t="s">
        <v>479</v>
      </c>
      <c r="B54" s="870" t="s">
        <v>1552</v>
      </c>
      <c r="C54" s="890" t="s">
        <v>1039</v>
      </c>
      <c r="D54" s="886" t="s">
        <v>1157</v>
      </c>
      <c r="E54" s="869"/>
      <c r="F54" s="1938">
        <f>'Expenditures 15-22'!G114</f>
        <v>29119</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8">
        <f>'Expenditures 15-22'!K139</f>
        <v>0</v>
      </c>
      <c r="G57" s="866"/>
    </row>
    <row r="58" spans="1:7" x14ac:dyDescent="0.2">
      <c r="A58" s="870" t="s">
        <v>480</v>
      </c>
      <c r="B58" s="870" t="s">
        <v>1991</v>
      </c>
      <c r="C58" s="887" t="s">
        <v>1039</v>
      </c>
      <c r="D58" s="886" t="s">
        <v>1157</v>
      </c>
      <c r="E58" s="869"/>
      <c r="F58" s="1940">
        <f>'Expenditures 15-22'!G151</f>
        <v>0</v>
      </c>
      <c r="G58" s="866"/>
    </row>
    <row r="59" spans="1:7" x14ac:dyDescent="0.2">
      <c r="A59" s="894" t="s">
        <v>480</v>
      </c>
      <c r="B59" s="857" t="s">
        <v>1992</v>
      </c>
      <c r="C59" s="895" t="s">
        <v>1039</v>
      </c>
      <c r="D59" s="857" t="s">
        <v>309</v>
      </c>
      <c r="F59" s="1941">
        <f>'Expenditures 15-22'!I151</f>
        <v>0</v>
      </c>
      <c r="G59" s="866"/>
    </row>
    <row r="60" spans="1:7" x14ac:dyDescent="0.2">
      <c r="A60" s="894" t="s">
        <v>520</v>
      </c>
      <c r="B60" s="857" t="s">
        <v>1993</v>
      </c>
      <c r="C60" s="895">
        <v>4000</v>
      </c>
      <c r="D60" s="857" t="s">
        <v>330</v>
      </c>
      <c r="F60" s="1939">
        <f>'Expenditures 15-22'!K160</f>
        <v>0</v>
      </c>
      <c r="G60" s="866"/>
    </row>
    <row r="61" spans="1:7" x14ac:dyDescent="0.2">
      <c r="A61" s="896" t="s">
        <v>520</v>
      </c>
      <c r="B61" s="896" t="s">
        <v>1994</v>
      </c>
      <c r="C61" s="897" t="str">
        <f>'Expenditures 15-22'!B170</f>
        <v>5300</v>
      </c>
      <c r="D61" s="898" t="s">
        <v>329</v>
      </c>
      <c r="E61" s="880"/>
      <c r="F61" s="1938">
        <f>'Expenditures 15-22'!K170</f>
        <v>0</v>
      </c>
      <c r="G61" s="866"/>
    </row>
    <row r="62" spans="1:7" x14ac:dyDescent="0.2">
      <c r="A62" s="870" t="s">
        <v>481</v>
      </c>
      <c r="B62" s="870" t="s">
        <v>1995</v>
      </c>
      <c r="C62" s="887">
        <f>'Expenditures 15-22'!B185</f>
        <v>3000</v>
      </c>
      <c r="D62" s="877" t="s">
        <v>469</v>
      </c>
      <c r="E62" s="869"/>
      <c r="F62" s="1938">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1997</v>
      </c>
      <c r="C64" s="897" t="str">
        <f>'Expenditures 15-22'!B206</f>
        <v>5300</v>
      </c>
      <c r="D64" s="893" t="s">
        <v>329</v>
      </c>
      <c r="E64" s="869"/>
      <c r="F64" s="1938">
        <f>'Expenditures 15-22'!K206</f>
        <v>0</v>
      </c>
      <c r="G64" s="866"/>
    </row>
    <row r="65" spans="1:8" x14ac:dyDescent="0.2">
      <c r="A65" s="870" t="s">
        <v>481</v>
      </c>
      <c r="B65" s="870" t="s">
        <v>1998</v>
      </c>
      <c r="C65" s="887" t="s">
        <v>1039</v>
      </c>
      <c r="D65" s="886" t="s">
        <v>1157</v>
      </c>
      <c r="E65" s="869"/>
      <c r="F65" s="1938">
        <f>'Expenditures 15-22'!G210</f>
        <v>0</v>
      </c>
      <c r="G65" s="866"/>
    </row>
    <row r="66" spans="1:8" x14ac:dyDescent="0.2">
      <c r="A66" s="870" t="s">
        <v>481</v>
      </c>
      <c r="B66" s="870" t="s">
        <v>1999</v>
      </c>
      <c r="C66" s="887" t="s">
        <v>1039</v>
      </c>
      <c r="D66" s="886" t="s">
        <v>309</v>
      </c>
      <c r="E66" s="869"/>
      <c r="F66" s="1938">
        <f>'Expenditures 15-22'!I210</f>
        <v>0</v>
      </c>
      <c r="G66" s="866"/>
    </row>
    <row r="67" spans="1:8" x14ac:dyDescent="0.2">
      <c r="A67" s="870" t="s">
        <v>482</v>
      </c>
      <c r="B67" s="870" t="s">
        <v>2000</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2002</v>
      </c>
      <c r="C70" s="887">
        <f>'Expenditures 15-22'!B221</f>
        <v>1300</v>
      </c>
      <c r="D70" s="888" t="str">
        <f>'Expenditures 15-22'!A221</f>
        <v>Adult/Continuing Education Programs</v>
      </c>
      <c r="E70" s="869"/>
      <c r="F70" s="1938">
        <f>'Expenditures 15-22'!K221</f>
        <v>0</v>
      </c>
      <c r="G70" s="866"/>
    </row>
    <row r="71" spans="1:8" x14ac:dyDescent="0.2">
      <c r="A71" s="870" t="s">
        <v>482</v>
      </c>
      <c r="B71" s="870" t="s">
        <v>2003</v>
      </c>
      <c r="C71" s="887">
        <f>'Expenditures 15-22'!B224</f>
        <v>1600</v>
      </c>
      <c r="D71" s="888" t="str">
        <f>'Expenditures 15-22'!A224</f>
        <v>Summer School Programs</v>
      </c>
      <c r="E71" s="869"/>
      <c r="F71" s="1938">
        <f>'Expenditures 15-22'!K224</f>
        <v>0</v>
      </c>
      <c r="G71" s="866"/>
    </row>
    <row r="72" spans="1:8" x14ac:dyDescent="0.2">
      <c r="A72" s="870" t="s">
        <v>482</v>
      </c>
      <c r="B72" s="870" t="s">
        <v>2004</v>
      </c>
      <c r="C72" s="887">
        <f>'Expenditures 15-22'!B280</f>
        <v>3000</v>
      </c>
      <c r="D72" s="877" t="s">
        <v>469</v>
      </c>
      <c r="E72" s="869"/>
      <c r="F72" s="1938">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2006</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855471</v>
      </c>
      <c r="G76" s="866"/>
    </row>
    <row r="77" spans="1:8" s="894" customFormat="1" ht="12" customHeight="1" thickTop="1" thickBot="1" x14ac:dyDescent="0.25">
      <c r="A77" s="1801"/>
      <c r="B77" s="1798"/>
      <c r="C77" s="1794"/>
      <c r="D77" s="1799" t="s">
        <v>2008</v>
      </c>
      <c r="E77" s="1796"/>
      <c r="F77" s="1802">
        <f>(F14-F76)</f>
        <v>4858569</v>
      </c>
      <c r="G77" s="870"/>
    </row>
    <row r="78" spans="1:8" s="894" customFormat="1" ht="12" customHeight="1" thickTop="1" x14ac:dyDescent="0.2">
      <c r="A78" s="1803"/>
      <c r="B78" s="1798"/>
      <c r="C78" s="1794"/>
      <c r="D78" s="1799" t="s">
        <v>2054</v>
      </c>
      <c r="E78" s="1796"/>
      <c r="F78" s="899">
        <v>0</v>
      </c>
      <c r="G78" s="900"/>
      <c r="H78" s="870"/>
    </row>
    <row r="79" spans="1:8" s="894" customFormat="1" ht="12" customHeight="1" thickBot="1" x14ac:dyDescent="0.25">
      <c r="A79" s="1804"/>
      <c r="B79" s="1798"/>
      <c r="C79" s="1794"/>
      <c r="D79" s="1799" t="s">
        <v>2009</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887747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6076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15485</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2451847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54696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64129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2053</v>
      </c>
      <c r="C175" s="1945">
        <v>3100</v>
      </c>
      <c r="D175" s="1946" t="s">
        <v>2056</v>
      </c>
      <c r="E175" s="907"/>
      <c r="F175" s="1930"/>
      <c r="G175" s="928"/>
    </row>
    <row r="176" spans="1:7" x14ac:dyDescent="0.2">
      <c r="A176" s="1943" t="s">
        <v>685</v>
      </c>
      <c r="B176" s="1944" t="s">
        <v>2053</v>
      </c>
      <c r="C176" s="1945">
        <v>3300</v>
      </c>
      <c r="D176" s="1946" t="s">
        <v>2057</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3479980</v>
      </c>
    </row>
    <row r="179" spans="1:7" ht="12" customHeight="1" x14ac:dyDescent="0.2">
      <c r="A179" s="1792"/>
      <c r="B179" s="1806"/>
      <c r="C179" s="1807"/>
      <c r="D179" s="1808" t="s">
        <v>2011</v>
      </c>
      <c r="E179" s="1809"/>
      <c r="F179" s="1811">
        <f>'PCTC-OEPP 27-28'!F77-F178</f>
        <v>1378589</v>
      </c>
    </row>
    <row r="180" spans="1:7" ht="12" customHeight="1" x14ac:dyDescent="0.2">
      <c r="A180" s="1792"/>
      <c r="B180" s="1806"/>
      <c r="C180" s="1807"/>
      <c r="D180" s="1808" t="s">
        <v>1921</v>
      </c>
      <c r="E180" s="1809"/>
      <c r="F180" s="1811">
        <f>'Cap Outlay Deprec 26'!I18</f>
        <v>120450</v>
      </c>
    </row>
    <row r="181" spans="1:7" ht="12" customHeight="1" x14ac:dyDescent="0.2">
      <c r="A181" s="1792"/>
      <c r="B181" s="1806"/>
      <c r="C181" s="1807"/>
      <c r="D181" s="1808" t="s">
        <v>2012</v>
      </c>
      <c r="E181" s="1809"/>
      <c r="F181" s="1811">
        <f>F179+F180</f>
        <v>1499039</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2013</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7" customFormat="1" ht="12.2" customHeight="1" x14ac:dyDescent="0.2">
      <c r="A186" s="1947" t="s">
        <v>2060</v>
      </c>
      <c r="B186" s="1948"/>
      <c r="C186" s="1949"/>
      <c r="D186" s="1948"/>
      <c r="E186" s="1949"/>
      <c r="F186" s="1948"/>
      <c r="G186" s="1948"/>
    </row>
    <row r="187" spans="1:7" s="1947" customFormat="1" ht="12.2" customHeight="1" x14ac:dyDescent="0.2">
      <c r="A187" s="1950" t="s">
        <v>2061</v>
      </c>
      <c r="C187" s="1949"/>
      <c r="D187" s="1948"/>
      <c r="E187" s="1949"/>
      <c r="F187" s="1948"/>
      <c r="G187" s="1948"/>
    </row>
    <row r="188" spans="1:7" ht="12" customHeight="1" x14ac:dyDescent="0.2">
      <c r="C188" s="950"/>
      <c r="D188" s="931"/>
      <c r="E188" s="950"/>
      <c r="F188" s="931"/>
      <c r="G188" s="931"/>
    </row>
    <row r="189" spans="1:7" x14ac:dyDescent="0.2">
      <c r="A189" s="1951" t="s">
        <v>2059</v>
      </c>
      <c r="B189" s="1952"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9" sqref="D1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4" t="s">
        <v>1922</v>
      </c>
      <c r="B4" s="2295"/>
      <c r="C4" s="2295"/>
      <c r="D4" s="2295"/>
      <c r="E4" s="2295"/>
      <c r="F4" s="2295"/>
      <c r="G4" s="2296"/>
    </row>
    <row r="5" spans="1:7" x14ac:dyDescent="0.25">
      <c r="A5" s="2297"/>
      <c r="B5" s="2298"/>
      <c r="C5" s="2298"/>
      <c r="D5" s="2298"/>
      <c r="E5" s="2298"/>
      <c r="F5" s="2298"/>
      <c r="G5" s="2299"/>
    </row>
    <row r="6" spans="1:7" ht="18.75" x14ac:dyDescent="0.25">
      <c r="A6" s="1556" t="s">
        <v>1923</v>
      </c>
      <c r="B6" s="1557"/>
      <c r="C6" s="1557"/>
      <c r="D6" s="1557"/>
      <c r="E6" s="1557"/>
      <c r="F6" s="1557"/>
      <c r="G6" s="1558"/>
    </row>
    <row r="7" spans="1:7" ht="30.75" customHeight="1" x14ac:dyDescent="0.25">
      <c r="A7" s="2300" t="s">
        <v>2070</v>
      </c>
      <c r="B7" s="2301"/>
      <c r="C7" s="2301"/>
      <c r="D7" s="2301"/>
      <c r="E7" s="2301"/>
      <c r="F7" s="2301"/>
      <c r="G7" s="2302"/>
    </row>
    <row r="8" spans="1:7" ht="15.75" customHeight="1" x14ac:dyDescent="0.25">
      <c r="A8" s="2303" t="s">
        <v>2019</v>
      </c>
      <c r="B8" s="2304"/>
      <c r="C8" s="2304"/>
      <c r="D8" s="2304"/>
      <c r="E8" s="2304"/>
      <c r="F8" s="2304"/>
      <c r="G8" s="2305"/>
    </row>
    <row r="9" spans="1:7" ht="35.25" customHeight="1" x14ac:dyDescent="0.25">
      <c r="A9" s="2300" t="s">
        <v>2073</v>
      </c>
      <c r="B9" s="2301"/>
      <c r="C9" s="2301"/>
      <c r="D9" s="2301"/>
      <c r="E9" s="2301"/>
      <c r="F9" s="2301"/>
      <c r="G9" s="2302"/>
    </row>
    <row r="10" spans="1:7" ht="15" customHeight="1" x14ac:dyDescent="0.25">
      <c r="A10" s="1559" t="s">
        <v>1924</v>
      </c>
      <c r="B10" s="1560"/>
      <c r="C10" s="1560"/>
      <c r="D10" s="1560"/>
      <c r="E10" s="1560"/>
      <c r="F10" s="1560"/>
      <c r="G10" s="1561"/>
    </row>
    <row r="11" spans="1:7" ht="17.25" customHeight="1" x14ac:dyDescent="0.25">
      <c r="A11" s="2300" t="s">
        <v>2072</v>
      </c>
      <c r="B11" s="2301"/>
      <c r="C11" s="2301"/>
      <c r="D11" s="2301"/>
      <c r="E11" s="2301"/>
      <c r="F11" s="2301"/>
      <c r="G11" s="2302"/>
    </row>
    <row r="12" spans="1:7" ht="15" customHeight="1" x14ac:dyDescent="0.25">
      <c r="A12" s="1559" t="s">
        <v>1929</v>
      </c>
      <c r="B12" s="1560"/>
      <c r="C12" s="1560"/>
      <c r="D12" s="1560"/>
      <c r="E12" s="1560"/>
      <c r="F12" s="1560"/>
      <c r="G12" s="1561"/>
    </row>
    <row r="13" spans="1:7" ht="32.25" customHeight="1" x14ac:dyDescent="0.25">
      <c r="A13" s="2291" t="s">
        <v>1930</v>
      </c>
      <c r="B13" s="2292"/>
      <c r="C13" s="2292"/>
      <c r="D13" s="2292"/>
      <c r="E13" s="2292"/>
      <c r="F13" s="2292"/>
      <c r="G13" s="2293"/>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2109</v>
      </c>
      <c r="B17" s="1956" t="s">
        <v>2110</v>
      </c>
      <c r="C17" s="1957" t="s">
        <v>2111</v>
      </c>
      <c r="D17" s="1867">
        <v>6480</v>
      </c>
      <c r="E17" s="1562">
        <f t="shared" ref="E17:E141" si="1">IF(D17&lt;=25000,D17,IF(D17&gt;25000,25000,0))</f>
        <v>6480</v>
      </c>
      <c r="F17" s="1815">
        <f t="shared" si="0"/>
        <v>0</v>
      </c>
      <c r="G17" s="1816">
        <f>IF(F17=0,0,D17-F17)</f>
        <v>0</v>
      </c>
      <c r="H17" s="1669"/>
    </row>
    <row r="18" spans="1:8" x14ac:dyDescent="0.25">
      <c r="A18" s="1955" t="s">
        <v>2109</v>
      </c>
      <c r="B18" s="1956" t="s">
        <v>2112</v>
      </c>
      <c r="C18" s="1957" t="s">
        <v>2117</v>
      </c>
      <c r="D18" s="1867">
        <v>50000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25000</v>
      </c>
    </row>
    <row r="19" spans="1:8" ht="30" x14ac:dyDescent="0.25">
      <c r="A19" s="1955" t="s">
        <v>2113</v>
      </c>
      <c r="B19" s="1956" t="s">
        <v>2114</v>
      </c>
      <c r="C19" s="1957" t="s">
        <v>2115</v>
      </c>
      <c r="D19" s="1867">
        <v>164353</v>
      </c>
      <c r="E19" s="1562">
        <f t="shared" si="2"/>
        <v>25000</v>
      </c>
      <c r="F19" s="1815">
        <f t="shared" si="3"/>
        <v>0</v>
      </c>
      <c r="G19" s="1816">
        <f t="shared" si="4"/>
        <v>0</v>
      </c>
    </row>
    <row r="20" spans="1:8" x14ac:dyDescent="0.25">
      <c r="A20" s="1955" t="s">
        <v>2109</v>
      </c>
      <c r="B20" s="1956" t="s">
        <v>2112</v>
      </c>
      <c r="C20" s="1957" t="s">
        <v>2116</v>
      </c>
      <c r="D20" s="1867">
        <v>5000</v>
      </c>
      <c r="E20" s="1562">
        <f t="shared" si="2"/>
        <v>5000</v>
      </c>
      <c r="F20" s="1815">
        <f t="shared" si="3"/>
        <v>5000</v>
      </c>
      <c r="G20" s="1816">
        <f t="shared" si="4"/>
        <v>0</v>
      </c>
    </row>
    <row r="21" spans="1:8" x14ac:dyDescent="0.25">
      <c r="A21" s="1955" t="s">
        <v>2109</v>
      </c>
      <c r="B21" s="1956" t="s">
        <v>2112</v>
      </c>
      <c r="C21" s="1957" t="s">
        <v>2118</v>
      </c>
      <c r="D21" s="1867">
        <v>3650</v>
      </c>
      <c r="E21" s="1562">
        <f t="shared" si="2"/>
        <v>3650</v>
      </c>
      <c r="F21" s="1815">
        <f t="shared" si="3"/>
        <v>3650</v>
      </c>
      <c r="G21" s="1816">
        <f t="shared" si="4"/>
        <v>0</v>
      </c>
    </row>
    <row r="22" spans="1:8" x14ac:dyDescent="0.25">
      <c r="A22" s="1955" t="s">
        <v>2109</v>
      </c>
      <c r="B22" s="1956" t="s">
        <v>2112</v>
      </c>
      <c r="C22" s="1957" t="s">
        <v>2119</v>
      </c>
      <c r="D22" s="1867">
        <v>30000</v>
      </c>
      <c r="E22" s="1562">
        <f t="shared" si="2"/>
        <v>25000</v>
      </c>
      <c r="F22" s="1815">
        <f t="shared" si="3"/>
        <v>25000</v>
      </c>
      <c r="G22" s="1816">
        <f t="shared" si="4"/>
        <v>5000</v>
      </c>
    </row>
    <row r="23" spans="1:8" x14ac:dyDescent="0.25">
      <c r="A23" s="1955" t="s">
        <v>2109</v>
      </c>
      <c r="B23" s="1956" t="s">
        <v>2110</v>
      </c>
      <c r="C23" s="1957" t="s">
        <v>2120</v>
      </c>
      <c r="D23" s="1867">
        <v>7200</v>
      </c>
      <c r="E23" s="1562">
        <f t="shared" si="2"/>
        <v>7200</v>
      </c>
      <c r="F23" s="1815">
        <f t="shared" si="3"/>
        <v>0</v>
      </c>
      <c r="G23" s="1816">
        <f t="shared" si="4"/>
        <v>0</v>
      </c>
    </row>
    <row r="24" spans="1:8" x14ac:dyDescent="0.25">
      <c r="A24" s="1955" t="s">
        <v>2109</v>
      </c>
      <c r="B24" s="1956" t="s">
        <v>2112</v>
      </c>
      <c r="C24" s="1957" t="s">
        <v>2121</v>
      </c>
      <c r="D24" s="1867">
        <v>5528</v>
      </c>
      <c r="E24" s="1562">
        <f t="shared" si="2"/>
        <v>5528</v>
      </c>
      <c r="F24" s="1815">
        <f t="shared" si="3"/>
        <v>5528</v>
      </c>
      <c r="G24" s="1816">
        <f t="shared" si="4"/>
        <v>0</v>
      </c>
    </row>
    <row r="25" spans="1:8" x14ac:dyDescent="0.25">
      <c r="A25" s="1955" t="s">
        <v>2109</v>
      </c>
      <c r="B25" s="1956" t="s">
        <v>2122</v>
      </c>
      <c r="C25" s="1957" t="s">
        <v>2123</v>
      </c>
      <c r="D25" s="1867">
        <v>4627</v>
      </c>
      <c r="E25" s="1562">
        <f t="shared" si="2"/>
        <v>4627</v>
      </c>
      <c r="F25" s="1815">
        <f t="shared" si="3"/>
        <v>0</v>
      </c>
      <c r="G25" s="1816">
        <f t="shared" si="4"/>
        <v>0</v>
      </c>
    </row>
    <row r="26" spans="1:8" x14ac:dyDescent="0.25">
      <c r="A26" s="1955" t="s">
        <v>2109</v>
      </c>
      <c r="B26" s="1956" t="s">
        <v>2112</v>
      </c>
      <c r="C26" s="1957" t="s">
        <v>2124</v>
      </c>
      <c r="D26" s="1867">
        <v>15000</v>
      </c>
      <c r="E26" s="1562">
        <f t="shared" si="2"/>
        <v>15000</v>
      </c>
      <c r="F26" s="1815">
        <f t="shared" si="3"/>
        <v>15000</v>
      </c>
      <c r="G26" s="1816">
        <f t="shared" si="4"/>
        <v>0</v>
      </c>
    </row>
    <row r="27" spans="1:8" x14ac:dyDescent="0.25">
      <c r="A27" s="1955" t="s">
        <v>2109</v>
      </c>
      <c r="B27" s="1956" t="s">
        <v>2112</v>
      </c>
      <c r="C27" s="1957" t="s">
        <v>2125</v>
      </c>
      <c r="D27" s="1867">
        <v>25000</v>
      </c>
      <c r="E27" s="1562">
        <f t="shared" si="2"/>
        <v>25000</v>
      </c>
      <c r="F27" s="1815">
        <f t="shared" si="3"/>
        <v>25000</v>
      </c>
      <c r="G27" s="1816">
        <f t="shared" si="4"/>
        <v>0</v>
      </c>
    </row>
    <row r="28" spans="1:8" x14ac:dyDescent="0.25">
      <c r="A28" s="1955" t="s">
        <v>2109</v>
      </c>
      <c r="B28" s="1956" t="s">
        <v>2112</v>
      </c>
      <c r="C28" s="1957" t="s">
        <v>2126</v>
      </c>
      <c r="D28" s="1867">
        <v>5000</v>
      </c>
      <c r="E28" s="1562">
        <f t="shared" si="2"/>
        <v>5000</v>
      </c>
      <c r="F28" s="1815">
        <f t="shared" si="3"/>
        <v>5000</v>
      </c>
      <c r="G28" s="1816">
        <f t="shared" si="4"/>
        <v>0</v>
      </c>
    </row>
    <row r="29" spans="1:8" x14ac:dyDescent="0.25">
      <c r="A29" s="1955" t="s">
        <v>2109</v>
      </c>
      <c r="B29" s="1956" t="s">
        <v>2112</v>
      </c>
      <c r="C29" s="1957" t="s">
        <v>2127</v>
      </c>
      <c r="D29" s="1867">
        <v>10000</v>
      </c>
      <c r="E29" s="1562">
        <f t="shared" si="2"/>
        <v>10000</v>
      </c>
      <c r="F29" s="1815">
        <f t="shared" si="3"/>
        <v>10000</v>
      </c>
      <c r="G29" s="1816">
        <f t="shared" si="4"/>
        <v>0</v>
      </c>
    </row>
    <row r="30" spans="1:8" x14ac:dyDescent="0.25">
      <c r="A30" s="1955" t="s">
        <v>2109</v>
      </c>
      <c r="B30" s="1956" t="s">
        <v>2112</v>
      </c>
      <c r="C30" s="1957" t="s">
        <v>2128</v>
      </c>
      <c r="D30" s="1867">
        <v>20000</v>
      </c>
      <c r="E30" s="1562">
        <f t="shared" si="2"/>
        <v>20000</v>
      </c>
      <c r="F30" s="1815">
        <f t="shared" si="3"/>
        <v>20000</v>
      </c>
      <c r="G30" s="1816">
        <f t="shared" si="4"/>
        <v>0</v>
      </c>
    </row>
    <row r="31" spans="1:8" x14ac:dyDescent="0.25">
      <c r="A31" s="1955" t="s">
        <v>2109</v>
      </c>
      <c r="B31" s="1956" t="s">
        <v>2110</v>
      </c>
      <c r="C31" s="1957" t="s">
        <v>2129</v>
      </c>
      <c r="D31" s="1867">
        <v>1194</v>
      </c>
      <c r="E31" s="1562">
        <f t="shared" si="2"/>
        <v>1194</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353032</v>
      </c>
      <c r="E141" s="1563">
        <f t="shared" si="1"/>
        <v>25000</v>
      </c>
      <c r="F141" s="1817">
        <f>SUM(F17:F140)</f>
        <v>139178</v>
      </c>
      <c r="G141" s="1818">
        <f>SUM(G17:G140)</f>
        <v>30000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K27" sqref="K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5160</v>
      </c>
      <c r="F8" s="975"/>
      <c r="G8" s="976"/>
      <c r="H8" s="162"/>
      <c r="I8" s="162"/>
    </row>
    <row r="9" spans="1:9" s="669" customFormat="1" ht="12" customHeight="1" x14ac:dyDescent="0.2">
      <c r="A9" s="971" t="s">
        <v>132</v>
      </c>
      <c r="B9" s="972"/>
      <c r="C9" s="972"/>
      <c r="D9" s="973"/>
      <c r="E9" s="974">
        <v>208411</v>
      </c>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11" t="s">
        <v>1941</v>
      </c>
      <c r="B11" s="2312"/>
      <c r="C11" s="2312"/>
      <c r="D11" s="2313"/>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v>807</v>
      </c>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2214289</v>
      </c>
      <c r="F19" s="1822"/>
      <c r="G19" s="1824">
        <f>'Expenditures 15-22'!K33-SUM('Expenditures 15-22'!G33,'Expenditures 15-22'!I33)+'Expenditures 15-22'!D229</f>
        <v>2214289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1739862</v>
      </c>
      <c r="F21" s="1825"/>
      <c r="G21" s="1828">
        <f>'Expenditures 15-22'!K42-SUM('Expenditures 15-22'!G42,'Expenditures 15-22'!I42)+'Expenditures 15-22'!K120-SUM('Expenditures 15-22'!G120,'Expenditures 15-22'!I120)+'Expenditures 15-22'!K180-SUM('Expenditures 15-22'!G180,'Expenditures 15-22'!I180)+'Expenditures 15-22'!D238</f>
        <v>1739862</v>
      </c>
      <c r="H21" s="988"/>
      <c r="I21" s="162"/>
    </row>
    <row r="22" spans="1:9" s="669" customFormat="1" ht="12" customHeight="1" x14ac:dyDescent="0.2">
      <c r="A22" s="995" t="s">
        <v>585</v>
      </c>
      <c r="B22" s="996"/>
      <c r="C22" s="994">
        <v>2200</v>
      </c>
      <c r="D22" s="1825"/>
      <c r="E22" s="1827">
        <f>'Expenditures 15-22'!K47-SUM('Expenditures 15-22'!G47,'Expenditures 15-22'!I47)+'Expenditures 15-22'!D243</f>
        <v>150939</v>
      </c>
      <c r="F22" s="1825"/>
      <c r="G22" s="1828">
        <f>'Expenditures 15-22'!K47-SUM('Expenditures 15-22'!G47,'Expenditures 15-22'!I47)+'Expenditures 15-22'!D243</f>
        <v>150939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798223</v>
      </c>
      <c r="F23" s="1825"/>
      <c r="G23" s="1827">
        <f>'Expenditures 15-22'!K53-SUM('Expenditures 15-22'!G53,'Expenditures 15-22'!I53)+'Expenditures 15-22'!D257+'Expenditures 15-22'!K330-SUM('Expenditures 15-22'!G330,'Expenditures 15-22'!I330)</f>
        <v>798223</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5160</v>
      </c>
      <c r="F27" s="1827">
        <f>'Expenditures 15-22'!K60-SUM('Expenditures 15-22'!G60,'Expenditures 15-22'!I60)+'Expenditures 15-22'!D264-E8</f>
        <v>0</v>
      </c>
      <c r="G27" s="1828">
        <f>E8</f>
        <v>5160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208411</v>
      </c>
      <c r="F28" s="1829">
        <f>'Expenditures 15-22'!K61-SUM('Expenditures 15-22'!G61,'Expenditures 15-22'!I61)+'Expenditures 15-22'!K124-SUM('Expenditures 15-22'!G124,'Expenditures 15-22'!I124)+'Expenditures 15-22'!D266-E9</f>
        <v>0</v>
      </c>
      <c r="G28" s="1828">
        <f>E9</f>
        <v>208411</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11390</v>
      </c>
      <c r="F29" s="1825"/>
      <c r="G29" s="1828">
        <f>'Expenditures 15-22'!K62-SUM('Expenditures 15-22'!G62,'Expenditures 15-22'!I62)+'Expenditures 15-22'!K125-SUM('Expenditures 15-22'!G125,'Expenditures 15-22'!I125)+'Expenditures 15-22'!K182-SUM('Expenditures 15-22'!G182,'Expenditures 15-22'!I182)+'Expenditures 15-22'!D267</f>
        <v>11390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807</v>
      </c>
      <c r="F36" s="1827">
        <f>'Expenditures 15-22'!K70-SUM('Expenditures 15-22'!G70,'Expenditures 15-22'!I70)+'Expenditures 15-22'!D275-E13</f>
        <v>0</v>
      </c>
      <c r="G36" s="1827">
        <f>E13</f>
        <v>807</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96289</v>
      </c>
      <c r="F38" s="1825"/>
      <c r="G38" s="1827">
        <f>'Expenditures 15-22'!K73-SUM('Expenditures 15-22'!G73,'Expenditures 15-22'!I73)+'Expenditures 15-22'!K128-SUM('Expenditures 15-22'!G128,'Expenditures 15-22'!I128)+'Expenditures 15-22'!K183-SUM('Expenditures 15-22'!G183,'Expenditures 15-22'!I183)+'Expenditures 15-22'!D278</f>
        <v>96289</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-30000</v>
      </c>
      <c r="F40" s="1825"/>
      <c r="G40" s="1829">
        <f>-'Contracts Paid in CY 29'!G141</f>
        <v>-30000</v>
      </c>
    </row>
    <row r="41" spans="1:7" ht="12" customHeight="1" x14ac:dyDescent="0.2">
      <c r="A41" s="999" t="s">
        <v>158</v>
      </c>
      <c r="B41" s="1000"/>
      <c r="C41" s="1001"/>
      <c r="D41" s="1829">
        <f>SUM(D19:D39)</f>
        <v>0</v>
      </c>
      <c r="E41" s="1829">
        <f>SUM(E19:E40)</f>
        <v>5195370</v>
      </c>
      <c r="F41" s="1829">
        <f>SUM(F19:F39)</f>
        <v>0</v>
      </c>
      <c r="G41" s="1829">
        <f>SUM(G19:G40)</f>
        <v>5195370</v>
      </c>
    </row>
    <row r="42" spans="1:7" x14ac:dyDescent="0.2">
      <c r="A42" s="988"/>
      <c r="B42" s="162"/>
      <c r="C42" s="1002"/>
      <c r="D42" s="2309" t="s">
        <v>543</v>
      </c>
      <c r="E42" s="2310"/>
      <c r="F42" s="1003" t="s">
        <v>544</v>
      </c>
      <c r="G42" s="1004"/>
    </row>
    <row r="43" spans="1:7" ht="12" customHeight="1" x14ac:dyDescent="0.2">
      <c r="A43" s="988"/>
      <c r="B43" s="162"/>
      <c r="C43" s="1002"/>
      <c r="D43" s="1830" t="s">
        <v>493</v>
      </c>
      <c r="E43" s="1831">
        <f>D41</f>
        <v>0</v>
      </c>
      <c r="F43" s="1830" t="s">
        <v>495</v>
      </c>
      <c r="G43" s="1831">
        <f>F41</f>
        <v>0</v>
      </c>
    </row>
    <row r="44" spans="1:7" ht="12" customHeight="1" x14ac:dyDescent="0.2">
      <c r="A44" s="988"/>
      <c r="B44" s="162"/>
      <c r="C44" s="1002"/>
      <c r="D44" s="1830" t="s">
        <v>494</v>
      </c>
      <c r="E44" s="1831">
        <f>E41</f>
        <v>5195370</v>
      </c>
      <c r="F44" s="1830" t="s">
        <v>494</v>
      </c>
      <c r="G44" s="1831">
        <f>G41</f>
        <v>5195370</v>
      </c>
    </row>
    <row r="45" spans="1:7" ht="12" customHeight="1" x14ac:dyDescent="0.2">
      <c r="A45" s="988"/>
      <c r="B45" s="162"/>
      <c r="C45" s="162"/>
      <c r="D45" s="1832" t="s">
        <v>1063</v>
      </c>
      <c r="E45" s="1833">
        <f>(E43/E44)</f>
        <v>0</v>
      </c>
      <c r="F45" s="1832" t="s">
        <v>1063</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8" t="s">
        <v>1446</v>
      </c>
      <c r="B1" s="2328"/>
      <c r="C1" s="2328"/>
      <c r="D1" s="2328"/>
      <c r="E1" s="2328"/>
      <c r="F1" s="2328"/>
    </row>
    <row r="2" spans="1:10" x14ac:dyDescent="0.2">
      <c r="A2" s="1911" t="s">
        <v>2043</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9" t="s">
        <v>1627</v>
      </c>
      <c r="B5" s="2330"/>
      <c r="C5" s="2331"/>
      <c r="D5" s="2331"/>
      <c r="E5" s="2331"/>
      <c r="F5" s="2331"/>
    </row>
    <row r="6" spans="1:10" ht="12" customHeight="1" x14ac:dyDescent="0.25">
      <c r="A6" s="1874"/>
      <c r="B6" s="1875"/>
      <c r="C6" s="2332" t="str">
        <f>COVER!A17</f>
        <v>South Eastern SpEd Program</v>
      </c>
      <c r="D6" s="2332"/>
      <c r="E6" s="2332"/>
      <c r="F6" s="1876"/>
    </row>
    <row r="7" spans="1:10" ht="11.25" customHeight="1" thickBot="1" x14ac:dyDescent="0.3">
      <c r="A7" s="1874"/>
      <c r="B7" s="1875"/>
      <c r="C7" s="2333">
        <f>COVER!A13</f>
        <v>12017801060</v>
      </c>
      <c r="D7" s="2333"/>
      <c r="E7" s="2333"/>
      <c r="F7" s="1876"/>
    </row>
    <row r="8" spans="1:10" ht="25.5" customHeight="1" thickBot="1" x14ac:dyDescent="0.25">
      <c r="A8" s="1917" t="s">
        <v>2020</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2092</v>
      </c>
      <c r="D14" s="1889" t="s">
        <v>2092</v>
      </c>
      <c r="E14" s="1892" t="s">
        <v>2092</v>
      </c>
      <c r="F14" s="1891" t="s">
        <v>2093</v>
      </c>
      <c r="H14" s="1902">
        <f t="shared" si="0"/>
        <v>5</v>
      </c>
      <c r="I14" s="1902">
        <f t="shared" si="1"/>
        <v>5</v>
      </c>
      <c r="J14" s="1902">
        <f t="shared" si="2"/>
        <v>5</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2092</v>
      </c>
      <c r="D19" s="1889" t="s">
        <v>2092</v>
      </c>
      <c r="E19" s="1892" t="s">
        <v>2092</v>
      </c>
      <c r="F19" s="1891" t="s">
        <v>2094</v>
      </c>
      <c r="H19" s="1902">
        <f t="shared" si="0"/>
        <v>5</v>
      </c>
      <c r="I19" s="1902">
        <f t="shared" si="1"/>
        <v>5</v>
      </c>
      <c r="J19" s="1902">
        <f t="shared" si="2"/>
        <v>5</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2092</v>
      </c>
      <c r="D24" s="1889" t="s">
        <v>2092</v>
      </c>
      <c r="E24" s="1892" t="s">
        <v>2092</v>
      </c>
      <c r="F24" s="1891" t="s">
        <v>2095</v>
      </c>
      <c r="H24" s="1902">
        <f t="shared" si="0"/>
        <v>5</v>
      </c>
      <c r="I24" s="1902">
        <f t="shared" si="1"/>
        <v>5</v>
      </c>
      <c r="J24" s="1902">
        <f t="shared" si="2"/>
        <v>5</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2092</v>
      </c>
      <c r="D26" s="1889" t="s">
        <v>2092</v>
      </c>
      <c r="E26" s="1892" t="s">
        <v>2092</v>
      </c>
      <c r="F26" s="1891" t="s">
        <v>2095</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20</v>
      </c>
      <c r="I34" s="1902">
        <f>SUM(I11:I32)</f>
        <v>20</v>
      </c>
      <c r="J34" s="1902">
        <f>SUM(J11:J32)</f>
        <v>20</v>
      </c>
      <c r="K34" s="1902">
        <f>SUM(H34:J34)</f>
        <v>60</v>
      </c>
    </row>
    <row r="35" spans="1:11" ht="12" customHeight="1" x14ac:dyDescent="0.2">
      <c r="A35" s="1895" t="s">
        <v>1459</v>
      </c>
      <c r="B35" s="1896"/>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7"/>
      <c r="B39" s="1897"/>
      <c r="C39" s="1897"/>
      <c r="D39" s="1897"/>
      <c r="E39" s="1897"/>
      <c r="F39" s="1897"/>
    </row>
    <row r="40" spans="1:11" s="1894" customFormat="1" ht="12" customHeight="1" x14ac:dyDescent="0.25">
      <c r="A40" s="1898" t="s">
        <v>1458</v>
      </c>
      <c r="B40" s="1899"/>
      <c r="C40" s="2323"/>
      <c r="D40" s="2323"/>
      <c r="E40" s="2323"/>
      <c r="F40" s="2324"/>
      <c r="H40" s="1903"/>
      <c r="I40" s="1903"/>
      <c r="J40" s="1903"/>
      <c r="K40" s="1903"/>
    </row>
    <row r="41" spans="1:11" s="1894" customFormat="1" ht="12" customHeight="1" x14ac:dyDescent="0.25">
      <c r="A41" s="2325"/>
      <c r="B41" s="2326"/>
      <c r="C41" s="2326"/>
      <c r="D41" s="2326"/>
      <c r="E41" s="2326"/>
      <c r="F41" s="2327"/>
      <c r="H41" s="1903"/>
      <c r="I41" s="1903"/>
      <c r="J41" s="1903"/>
      <c r="K41" s="1903"/>
    </row>
    <row r="42" spans="1:11" s="1894" customFormat="1" ht="12" customHeight="1" x14ac:dyDescent="0.25">
      <c r="A42" s="2325"/>
      <c r="B42" s="2326"/>
      <c r="C42" s="2326"/>
      <c r="D42" s="2326"/>
      <c r="E42" s="2326"/>
      <c r="F42" s="2327"/>
      <c r="H42" s="1903"/>
      <c r="I42" s="1903"/>
      <c r="J42" s="1903"/>
      <c r="K42" s="1903"/>
    </row>
    <row r="43" spans="1:11" s="1894" customFormat="1" ht="15" x14ac:dyDescent="0.25">
      <c r="A43" s="2314"/>
      <c r="B43" s="2315"/>
      <c r="C43" s="2315"/>
      <c r="D43" s="2315"/>
      <c r="E43" s="2315"/>
      <c r="F43" s="2316"/>
      <c r="H43" s="1903"/>
      <c r="I43" s="1903"/>
      <c r="J43" s="1903"/>
      <c r="K43" s="1903"/>
    </row>
    <row r="44" spans="1:11" s="1894" customFormat="1" ht="12" hidden="1" customHeight="1" x14ac:dyDescent="0.25">
      <c r="A44" s="2314"/>
      <c r="B44" s="2315"/>
      <c r="C44" s="2315"/>
      <c r="D44" s="2315"/>
      <c r="E44" s="2315"/>
      <c r="F44" s="2316"/>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F26" sqref="F26:G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41" t="str">
        <f>COVER!A17</f>
        <v>South Eastern SpEd Program</v>
      </c>
      <c r="J6" s="2342"/>
      <c r="Q6" s="1686"/>
    </row>
    <row r="7" spans="1:17" x14ac:dyDescent="0.2">
      <c r="A7" s="2343" t="s">
        <v>924</v>
      </c>
      <c r="B7" s="2344"/>
      <c r="C7" s="2344"/>
      <c r="D7" s="2344"/>
      <c r="E7" s="2345"/>
      <c r="F7" s="1018"/>
      <c r="G7" s="1010"/>
      <c r="H7" s="1017" t="s">
        <v>390</v>
      </c>
      <c r="I7" s="2346">
        <f>COVER!A13</f>
        <v>12017801060</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165753</v>
      </c>
      <c r="F12" s="1040"/>
      <c r="G12" s="1834">
        <f t="shared" ref="G12:G18" si="0">SUM(E12:F12)</f>
        <v>165753</v>
      </c>
      <c r="H12" s="1041">
        <v>182415</v>
      </c>
      <c r="I12" s="1040"/>
      <c r="J12" s="1834">
        <f t="shared" ref="J12:J18" si="1">SUM(H12:I12)</f>
        <v>182415</v>
      </c>
    </row>
    <row r="13" spans="1:17" ht="15" customHeight="1" x14ac:dyDescent="0.2">
      <c r="A13" s="1036">
        <v>2</v>
      </c>
      <c r="B13" s="1037" t="s">
        <v>44</v>
      </c>
      <c r="C13" s="1038"/>
      <c r="D13" s="1039">
        <v>2330</v>
      </c>
      <c r="E13" s="1834">
        <f>'Expenditures 15-22'!K51</f>
        <v>632470</v>
      </c>
      <c r="F13" s="1040"/>
      <c r="G13" s="1834">
        <f t="shared" si="0"/>
        <v>632470</v>
      </c>
      <c r="H13" s="1041">
        <v>806883</v>
      </c>
      <c r="I13" s="1040"/>
      <c r="J13" s="1834">
        <f t="shared" si="1"/>
        <v>806883</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v>500</v>
      </c>
      <c r="I16" s="1040"/>
      <c r="J16" s="1834">
        <f t="shared" si="1"/>
        <v>500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798223</v>
      </c>
      <c r="F19" s="1836">
        <f t="shared" si="2"/>
        <v>0</v>
      </c>
      <c r="G19" s="1836">
        <f t="shared" si="2"/>
        <v>798223</v>
      </c>
      <c r="H19" s="1836">
        <f t="shared" si="2"/>
        <v>989798</v>
      </c>
      <c r="I19" s="1836">
        <f t="shared" si="2"/>
        <v>0</v>
      </c>
      <c r="J19" s="1836">
        <f t="shared" si="2"/>
        <v>989798</v>
      </c>
    </row>
    <row r="20" spans="1:10" ht="13.5" thickTop="1" x14ac:dyDescent="0.2">
      <c r="A20" s="1036">
        <v>9</v>
      </c>
      <c r="B20" s="2353" t="s">
        <v>1703</v>
      </c>
      <c r="C20" s="2353"/>
      <c r="D20" s="2354"/>
      <c r="E20" s="1047"/>
      <c r="F20" s="1047"/>
      <c r="G20" s="1047"/>
      <c r="H20" s="1047"/>
      <c r="I20" s="1047"/>
      <c r="J20" s="1837">
        <f>IF(AND(G19&gt;0,J19&gt;0),(((J19-G19)/G19)),"Enter Budget Data")</f>
        <v>0.24000185411846062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t="s">
        <v>2079</v>
      </c>
      <c r="D28" s="2357"/>
      <c r="E28" s="1055"/>
      <c r="F28" s="2357" t="s">
        <v>2080</v>
      </c>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t="s">
        <v>2092</v>
      </c>
      <c r="C36" s="2340" t="s">
        <v>1940</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37" zoomScale="110" zoomScaleNormal="110" workbookViewId="0">
      <selection activeCell="B13" sqref="B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2157</v>
      </c>
    </row>
    <row r="6" spans="1:2" x14ac:dyDescent="0.2">
      <c r="A6" s="1069">
        <v>2</v>
      </c>
      <c r="B6" s="329" t="s">
        <v>2156</v>
      </c>
    </row>
    <row r="7" spans="1:2" x14ac:dyDescent="0.2">
      <c r="A7" s="1069">
        <v>3</v>
      </c>
      <c r="B7" s="329" t="s">
        <v>2153</v>
      </c>
    </row>
    <row r="8" spans="1:2" x14ac:dyDescent="0.2">
      <c r="A8" s="1069">
        <v>4</v>
      </c>
      <c r="B8" s="329" t="s">
        <v>2154</v>
      </c>
    </row>
    <row r="9" spans="1:2" x14ac:dyDescent="0.2">
      <c r="A9" s="1070">
        <v>5</v>
      </c>
      <c r="B9" s="329" t="s">
        <v>2155</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South Eastern SpEd Program</v>
      </c>
    </row>
    <row r="65" spans="2:2" x14ac:dyDescent="0.2">
      <c r="B65" s="1071">
        <f>COVER!A13</f>
        <v>12017801060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9" t="s">
        <v>1709</v>
      </c>
    </row>
    <row r="23" spans="1:5" x14ac:dyDescent="0.2">
      <c r="A23" s="168"/>
      <c r="B23" s="162" t="s">
        <v>1965</v>
      </c>
      <c r="D23" s="167" t="s">
        <v>658</v>
      </c>
      <c r="E23" s="1859"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5">
            <anchor moveWithCells="1">
              <from>
                <xdr:col>1</xdr:col>
                <xdr:colOff>1000125</xdr:colOff>
                <xdr:row>0</xdr:row>
                <xdr:rowOff>9525</xdr:rowOff>
              </from>
              <to>
                <xdr:col>1</xdr:col>
                <xdr:colOff>1914525</xdr:colOff>
                <xdr:row>4</xdr:row>
                <xdr:rowOff>47625</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3" r:id="rId7">
          <objectPr defaultSize="0" r:id="rId5">
            <anchor moveWithCells="1">
              <from>
                <xdr:col>0</xdr:col>
                <xdr:colOff>9525</xdr:colOff>
                <xdr:row>5</xdr:row>
                <xdr:rowOff>47625</xdr:rowOff>
              </from>
              <to>
                <xdr:col>1</xdr:col>
                <xdr:colOff>800100</xdr:colOff>
                <xdr:row>9</xdr:row>
                <xdr:rowOff>85725</xdr:rowOff>
              </to>
            </anchor>
          </objectPr>
        </oleObject>
      </mc:Choice>
      <mc:Fallback>
        <oleObject progId="Acrobat.Document.2015" dvAspect="DVASPECT_ICON" shapeId="35843"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25" sqref="I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2051</v>
      </c>
      <c r="B4" s="2381"/>
      <c r="C4" s="2381"/>
      <c r="D4" s="2381"/>
      <c r="E4" s="2381"/>
      <c r="F4" s="2382"/>
      <c r="G4" s="1075"/>
      <c r="H4" s="1075"/>
    </row>
    <row r="5" spans="1:8" ht="14.25" customHeight="1" x14ac:dyDescent="0.2">
      <c r="A5" s="2383" t="s">
        <v>2052</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6214206</v>
      </c>
      <c r="C8" s="1838">
        <f>'Acct Summary 7-8'!D8</f>
        <v>0</v>
      </c>
      <c r="D8" s="1838">
        <f>'Acct Summary 7-8'!F8</f>
        <v>0</v>
      </c>
      <c r="E8" s="1838">
        <f>'Acct Summary 7-8'!I8</f>
        <v>0</v>
      </c>
      <c r="F8" s="1838">
        <f>SUM(B8:E8)</f>
        <v>6214206</v>
      </c>
    </row>
    <row r="9" spans="1:8" s="1080" customFormat="1" ht="14.25" customHeight="1" thickBot="1" x14ac:dyDescent="0.25">
      <c r="A9" s="1079" t="s">
        <v>1436</v>
      </c>
      <c r="B9" s="1839">
        <f>'Acct Summary 7-8'!C17</f>
        <v>5714040</v>
      </c>
      <c r="C9" s="1839">
        <f>'Acct Summary 7-8'!D17</f>
        <v>0</v>
      </c>
      <c r="D9" s="1839">
        <f>'Acct Summary 7-8'!F17</f>
        <v>0</v>
      </c>
      <c r="E9" s="1838"/>
      <c r="F9" s="1838">
        <f>SUM(B9:E9)</f>
        <v>5714040</v>
      </c>
    </row>
    <row r="10" spans="1:8" s="1080" customFormat="1" ht="14.25" thickTop="1" thickBot="1" x14ac:dyDescent="0.25">
      <c r="A10" s="1081" t="s">
        <v>1437</v>
      </c>
      <c r="B10" s="1840">
        <f>(B8-B9)</f>
        <v>500166</v>
      </c>
      <c r="C10" s="1840">
        <f>(C8-C9)</f>
        <v>0</v>
      </c>
      <c r="D10" s="1840">
        <f>(D8-D9)</f>
        <v>0</v>
      </c>
      <c r="E10" s="1839">
        <f>(E8-E9)</f>
        <v>0</v>
      </c>
      <c r="F10" s="1841">
        <f>SUM(F8-F9)</f>
        <v>500166</v>
      </c>
    </row>
    <row r="11" spans="1:8" s="1080" customFormat="1" ht="14.25" thickTop="1" thickBot="1" x14ac:dyDescent="0.25">
      <c r="A11" s="1082" t="s">
        <v>1785</v>
      </c>
      <c r="B11" s="1842">
        <f>'Acct Summary 7-8'!C81</f>
        <v>848886</v>
      </c>
      <c r="C11" s="1842">
        <f>'Acct Summary 7-8'!D81</f>
        <v>0</v>
      </c>
      <c r="D11" s="1842">
        <f>'Acct Summary 7-8'!F81</f>
        <v>0</v>
      </c>
      <c r="E11" s="1842">
        <f>'Acct Summary 7-8'!I81</f>
        <v>0</v>
      </c>
      <c r="F11" s="1843">
        <f>SUM(B11:E11)</f>
        <v>848886</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12017801060</v>
      </c>
    </row>
    <row r="3" spans="1:2" x14ac:dyDescent="0.2">
      <c r="A3" t="s">
        <v>1013</v>
      </c>
      <c r="B3" s="138" t="str">
        <f>COVER!A15</f>
        <v>Jasper</v>
      </c>
    </row>
    <row r="4" spans="1:2" x14ac:dyDescent="0.2">
      <c r="A4" t="s">
        <v>1064</v>
      </c>
      <c r="B4" s="138" t="str">
        <f>COVER!A17</f>
        <v>South Eastern SpEd Program</v>
      </c>
    </row>
    <row r="5" spans="1:2" x14ac:dyDescent="0.2">
      <c r="A5" t="s">
        <v>728</v>
      </c>
      <c r="B5" s="138" t="str">
        <f>COVER!A38</f>
        <v>Jill Keller-Weems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066-003998</v>
      </c>
    </row>
    <row r="16" spans="1:2" x14ac:dyDescent="0.2">
      <c r="A16" t="s">
        <v>442</v>
      </c>
      <c r="B16" s="138" t="str">
        <f>COVER!T13</f>
        <v>Kemper CPA Group LLP</v>
      </c>
    </row>
    <row r="17" spans="1:2" x14ac:dyDescent="0.2">
      <c r="A17" t="s">
        <v>939</v>
      </c>
      <c r="B17" s="138" t="str">
        <f>COVER!T15</f>
        <v>Jodi Truitt</v>
      </c>
    </row>
    <row r="18" spans="1:2" x14ac:dyDescent="0.2">
      <c r="A18" t="s">
        <v>1212</v>
      </c>
      <c r="B18" s="138" t="str">
        <f>COVER!T17</f>
        <v>302. E Walnut Street</v>
      </c>
    </row>
    <row r="19" spans="1:2" x14ac:dyDescent="0.2">
      <c r="A19" t="s">
        <v>941</v>
      </c>
      <c r="B19" s="138" t="str">
        <f>COVER!T25</f>
        <v>jtruitt@kempercpa.com</v>
      </c>
    </row>
    <row r="20" spans="1:2" x14ac:dyDescent="0.2">
      <c r="A20" t="s">
        <v>942</v>
      </c>
      <c r="B20" s="138" t="str">
        <f>COVER!T19</f>
        <v>Robinson</v>
      </c>
    </row>
    <row r="21" spans="1:2" x14ac:dyDescent="0.2">
      <c r="A21" t="s">
        <v>500</v>
      </c>
      <c r="B21" s="138" t="str">
        <f>COVER!X19</f>
        <v>IL</v>
      </c>
    </row>
    <row r="22" spans="1:2" x14ac:dyDescent="0.2">
      <c r="A22" t="s">
        <v>943</v>
      </c>
      <c r="B22" s="138">
        <f>COVER!Z19</f>
        <v>62454</v>
      </c>
    </row>
    <row r="23" spans="1:2" x14ac:dyDescent="0.2">
      <c r="A23" t="s">
        <v>1214</v>
      </c>
      <c r="B23" s="138" t="str">
        <f>COVER!T21</f>
        <v>618-546-1502</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852947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4061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4061</v>
      </c>
      <c r="C91" s="2" t="s">
        <v>594</v>
      </c>
      <c r="D91" s="2" t="str">
        <f t="shared" si="0"/>
        <v>Error?</v>
      </c>
    </row>
    <row r="92" spans="1:4" x14ac:dyDescent="0.2">
      <c r="A92" s="5">
        <v>31</v>
      </c>
      <c r="B92" s="138">
        <f>'Assets-Liab 5-6'!C39</f>
        <v>848886</v>
      </c>
      <c r="D92" s="2" t="str">
        <f t="shared" si="0"/>
        <v>Error?</v>
      </c>
    </row>
    <row r="93" spans="1:4" x14ac:dyDescent="0.2">
      <c r="A93" s="5">
        <v>32</v>
      </c>
      <c r="B93" s="138">
        <f>'Assets-Liab 5-6'!C41</f>
        <v>852947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2348261</v>
      </c>
      <c r="D274" s="2" t="str">
        <f t="shared" si="3"/>
        <v>Error?</v>
      </c>
    </row>
    <row r="275" spans="1:4" x14ac:dyDescent="0.2">
      <c r="A275" s="5">
        <v>214</v>
      </c>
      <c r="B275" s="138">
        <f>'Assets-Liab 5-6'!M18</f>
        <v>6382</v>
      </c>
      <c r="D275" s="2" t="str">
        <f t="shared" si="3"/>
        <v>Error?</v>
      </c>
    </row>
    <row r="276" spans="1:4" x14ac:dyDescent="0.2">
      <c r="A276" s="5">
        <v>215</v>
      </c>
      <c r="B276" s="138">
        <f>'Assets-Liab 5-6'!M19</f>
        <v>721643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3076286</v>
      </c>
      <c r="C279" s="2" t="s">
        <v>594</v>
      </c>
      <c r="D279" s="2" t="str">
        <f t="shared" si="3"/>
        <v>Error?</v>
      </c>
    </row>
    <row r="280" spans="1:4" x14ac:dyDescent="0.2">
      <c r="A280" s="5">
        <v>219</v>
      </c>
      <c r="B280" s="138">
        <f>'Assets-Liab 5-6'!M40</f>
        <v>3076286</v>
      </c>
      <c r="D280" s="2" t="str">
        <f t="shared" si="3"/>
        <v>Error?</v>
      </c>
    </row>
    <row r="281" spans="1:4" x14ac:dyDescent="0.2">
      <c r="A281" s="5">
        <v>220</v>
      </c>
      <c r="B281" s="138">
        <f>'Assets-Liab 5-6'!M41</f>
        <v>3076286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80148</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1786259</v>
      </c>
      <c r="C720" s="2" t="s">
        <v>594</v>
      </c>
      <c r="D720" s="2" t="str">
        <f t="shared" si="10"/>
        <v>Error?</v>
      </c>
    </row>
    <row r="721" spans="1:4" x14ac:dyDescent="0.2">
      <c r="A721" s="5">
        <v>660</v>
      </c>
      <c r="B721" s="138">
        <f>'Expenditures 15-22'!C36</f>
        <v>291630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370182</v>
      </c>
      <c r="D723" s="2" t="str">
        <f t="shared" si="10"/>
        <v>Error?</v>
      </c>
    </row>
    <row r="724" spans="1:4" x14ac:dyDescent="0.2">
      <c r="A724" s="5">
        <v>663</v>
      </c>
      <c r="B724" s="138">
        <f>'Expenditures 15-22'!C39</f>
        <v>462752</v>
      </c>
      <c r="D724" s="2" t="str">
        <f t="shared" si="10"/>
        <v>Error?</v>
      </c>
    </row>
    <row r="725" spans="1:4" x14ac:dyDescent="0.2">
      <c r="A725" s="5">
        <v>664</v>
      </c>
      <c r="B725" s="138">
        <f>'Expenditures 15-22'!C40</f>
        <v>325882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1450446</v>
      </c>
      <c r="C727" s="2" t="s">
        <v>594</v>
      </c>
      <c r="D727" s="2" t="str">
        <f t="shared" si="10"/>
        <v>Error?</v>
      </c>
    </row>
    <row r="728" spans="1:4" x14ac:dyDescent="0.2">
      <c r="A728" s="5">
        <v>667</v>
      </c>
      <c r="B728" s="138">
        <f>'Expenditures 15-22'!C44</f>
        <v>82758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82758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131739</v>
      </c>
      <c r="D733" s="2" t="str">
        <f t="shared" si="10"/>
        <v>Error?</v>
      </c>
    </row>
    <row r="734" spans="1:4" x14ac:dyDescent="0.2">
      <c r="A734" s="5">
        <v>673</v>
      </c>
      <c r="B734" s="138">
        <f>'Expenditures 15-22'!C53</f>
        <v>591478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2124682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3910941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8782</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325852</v>
      </c>
      <c r="C778" s="2" t="s">
        <v>594</v>
      </c>
      <c r="D778" s="2" t="str">
        <f t="shared" si="11"/>
        <v>Error?</v>
      </c>
    </row>
    <row r="779" spans="1:4" x14ac:dyDescent="0.2">
      <c r="A779" s="5">
        <v>718</v>
      </c>
      <c r="B779" s="138">
        <f>'Expenditures 15-22'!D36</f>
        <v>28047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82518</v>
      </c>
      <c r="D781" s="2" t="str">
        <f t="shared" si="11"/>
        <v>Error?</v>
      </c>
    </row>
    <row r="782" spans="1:4" x14ac:dyDescent="0.2">
      <c r="A782" s="5">
        <v>721</v>
      </c>
      <c r="B782" s="138">
        <f>'Expenditures 15-22'!D39</f>
        <v>49349</v>
      </c>
      <c r="D782" s="2" t="str">
        <f t="shared" si="11"/>
        <v>Error?</v>
      </c>
    </row>
    <row r="783" spans="1:4" x14ac:dyDescent="0.2">
      <c r="A783" s="5">
        <v>722</v>
      </c>
      <c r="B783" s="138">
        <f>'Expenditures 15-22'!D40</f>
        <v>28669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188583</v>
      </c>
      <c r="C785" s="2" t="s">
        <v>594</v>
      </c>
      <c r="D785" s="2" t="str">
        <f t="shared" si="11"/>
        <v>Error?</v>
      </c>
    </row>
    <row r="786" spans="1:4" x14ac:dyDescent="0.2">
      <c r="A786" s="5">
        <v>725</v>
      </c>
      <c r="B786" s="138">
        <f>'Expenditures 15-22'!D44</f>
        <v>10192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10192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18617</v>
      </c>
      <c r="D791" s="2" t="str">
        <f t="shared" si="11"/>
        <v>Error?</v>
      </c>
    </row>
    <row r="792" spans="1:4" x14ac:dyDescent="0.2">
      <c r="A792" s="5">
        <v>731</v>
      </c>
      <c r="B792" s="138">
        <f>'Expenditures 15-22'!D53</f>
        <v>89886</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288661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614513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25401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102178</v>
      </c>
      <c r="C836" s="2" t="s">
        <v>594</v>
      </c>
      <c r="D836" s="2" t="str">
        <f t="shared" si="12"/>
        <v>Error?</v>
      </c>
    </row>
    <row r="837" spans="1:4" x14ac:dyDescent="0.2">
      <c r="A837" s="5">
        <v>776</v>
      </c>
      <c r="B837" s="138">
        <f>'Expenditures 15-22'!E36</f>
        <v>12164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27454</v>
      </c>
      <c r="D839" s="2" t="str">
        <f t="shared" si="12"/>
        <v>Error?</v>
      </c>
    </row>
    <row r="840" spans="1:4" x14ac:dyDescent="0.2">
      <c r="A840" s="5">
        <v>779</v>
      </c>
      <c r="B840" s="138">
        <f>'Expenditures 15-22'!E39</f>
        <v>35179</v>
      </c>
      <c r="D840" s="2" t="str">
        <f t="shared" si="12"/>
        <v>Error?</v>
      </c>
    </row>
    <row r="841" spans="1:4" x14ac:dyDescent="0.2">
      <c r="A841" s="5">
        <v>780</v>
      </c>
      <c r="B841" s="138">
        <f>'Expenditures 15-22'!E40</f>
        <v>26036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100833</v>
      </c>
      <c r="C843" s="2" t="s">
        <v>594</v>
      </c>
      <c r="D843" s="2" t="str">
        <f t="shared" si="12"/>
        <v>Error?</v>
      </c>
    </row>
    <row r="844" spans="1:4" x14ac:dyDescent="0.2">
      <c r="A844" s="5">
        <v>783</v>
      </c>
      <c r="B844" s="138">
        <f>'Expenditures 15-22'!E44</f>
        <v>51761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51761</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9520</v>
      </c>
      <c r="D849" s="2" t="str">
        <f t="shared" si="12"/>
        <v>Error?</v>
      </c>
    </row>
    <row r="850" spans="1:4" x14ac:dyDescent="0.2">
      <c r="A850" s="5">
        <v>789</v>
      </c>
      <c r="B850" s="138">
        <f>'Expenditures 15-22'!E53</f>
        <v>105417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5160</v>
      </c>
      <c r="D855" s="2" t="str">
        <f t="shared" si="12"/>
        <v>Error?</v>
      </c>
    </row>
    <row r="856" spans="1:4" x14ac:dyDescent="0.2">
      <c r="A856" s="5">
        <v>795</v>
      </c>
      <c r="B856" s="138">
        <f>'Expenditures 15-22'!E61</f>
        <v>186855</v>
      </c>
      <c r="D856" s="2" t="str">
        <f t="shared" si="12"/>
        <v>Error?</v>
      </c>
    </row>
    <row r="857" spans="1:4" x14ac:dyDescent="0.2">
      <c r="A857" s="5">
        <v>796</v>
      </c>
      <c r="B857" s="138">
        <f>'Expenditures 15-22'!E62</f>
        <v>11390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203405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807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807</v>
      </c>
      <c r="C869" s="2" t="s">
        <v>594</v>
      </c>
      <c r="D869" s="2" t="str">
        <f t="shared" si="12"/>
        <v>Error?</v>
      </c>
    </row>
    <row r="870" spans="1:4" x14ac:dyDescent="0.2">
      <c r="A870" s="5">
        <v>809</v>
      </c>
      <c r="B870" s="138">
        <f>'Expenditures 15-22'!E73</f>
        <v>14089</v>
      </c>
      <c r="D870" s="2" t="str">
        <f t="shared" si="12"/>
        <v>Error?</v>
      </c>
    </row>
    <row r="871" spans="1:4" x14ac:dyDescent="0.2">
      <c r="A871" s="5">
        <v>810</v>
      </c>
      <c r="B871" s="138">
        <f>'Expenditures 15-22'!E74</f>
        <v>476312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973230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6228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6228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3979</v>
      </c>
      <c r="D907" s="2" t="str">
        <f t="shared" si="13"/>
        <v>Error?</v>
      </c>
    </row>
    <row r="908" spans="1:4" x14ac:dyDescent="0.2">
      <c r="A908" s="5">
        <v>847</v>
      </c>
      <c r="B908" s="138">
        <f>'Expenditures 15-22'!F53</f>
        <v>9544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21556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21556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82200</v>
      </c>
      <c r="D928" s="2" t="str">
        <f t="shared" si="13"/>
        <v>Error?</v>
      </c>
    </row>
    <row r="929" spans="1:4" x14ac:dyDescent="0.2">
      <c r="A929" s="5">
        <v>868</v>
      </c>
      <c r="B929" s="138">
        <f>'Expenditures 15-22'!F74</f>
        <v>119528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119528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29119</v>
      </c>
      <c r="D986" s="2" t="str">
        <f t="shared" si="14"/>
        <v>Error?</v>
      </c>
    </row>
    <row r="987" spans="1:4" x14ac:dyDescent="0.2">
      <c r="A987" s="5">
        <v>926</v>
      </c>
      <c r="B987" s="138">
        <f>'Expenditures 15-22'!G74</f>
        <v>29119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29119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1898</v>
      </c>
      <c r="D1023" s="2" t="str">
        <f t="shared" ref="D1023:D1086" si="15">IF(ISBLANK(B1023),"OK",IF(A1023-B1023=0,"OK","Error?"))</f>
        <v>Error?</v>
      </c>
    </row>
    <row r="1024" spans="1:4" x14ac:dyDescent="0.2">
      <c r="A1024" s="5">
        <v>963</v>
      </c>
      <c r="B1024" s="138">
        <f>'Expenditures 15-22'!H53</f>
        <v>1898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1898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64811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66709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114331</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2214289</v>
      </c>
      <c r="C1108" s="2" t="s">
        <v>594</v>
      </c>
      <c r="D1108" s="2" t="str">
        <f t="shared" si="16"/>
        <v>Error?</v>
      </c>
    </row>
    <row r="1109" spans="1:4" x14ac:dyDescent="0.2">
      <c r="A1109" s="5">
        <v>1048</v>
      </c>
      <c r="B1109" s="138">
        <f>'Expenditures 15-22'!K36</f>
        <v>331841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480154</v>
      </c>
      <c r="C1111" s="2" t="s">
        <v>594</v>
      </c>
      <c r="D1111" s="2" t="str">
        <f t="shared" si="16"/>
        <v>Error?</v>
      </c>
    </row>
    <row r="1112" spans="1:4" x14ac:dyDescent="0.2">
      <c r="A1112" s="5">
        <v>1051</v>
      </c>
      <c r="B1112" s="138">
        <f>'Expenditures 15-22'!K39</f>
        <v>547280</v>
      </c>
      <c r="C1112" s="2" t="s">
        <v>594</v>
      </c>
      <c r="D1112" s="2" t="str">
        <f t="shared" si="16"/>
        <v>Error?</v>
      </c>
    </row>
    <row r="1113" spans="1:4" x14ac:dyDescent="0.2">
      <c r="A1113" s="5">
        <v>1052</v>
      </c>
      <c r="B1113" s="138">
        <f>'Expenditures 15-22'!K40</f>
        <v>380587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1739862</v>
      </c>
      <c r="C1115" s="2" t="s">
        <v>594</v>
      </c>
      <c r="D1115" s="2" t="str">
        <f t="shared" si="16"/>
        <v>Error?</v>
      </c>
    </row>
    <row r="1116" spans="1:4" x14ac:dyDescent="0.2">
      <c r="A1116" s="5">
        <v>1055</v>
      </c>
      <c r="B1116" s="138">
        <f>'Expenditures 15-22'!K44</f>
        <v>150939</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150939</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165753</v>
      </c>
      <c r="C1121" s="2" t="s">
        <v>594</v>
      </c>
      <c r="D1121" s="2" t="str">
        <f t="shared" si="16"/>
        <v>Error?</v>
      </c>
    </row>
    <row r="1122" spans="1:4" x14ac:dyDescent="0.2">
      <c r="A1122" s="5">
        <v>1061</v>
      </c>
      <c r="B1122" s="138">
        <f>'Expenditures 15-22'!K53</f>
        <v>798223</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5160</v>
      </c>
      <c r="C1127" s="2" t="s">
        <v>594</v>
      </c>
      <c r="D1127" s="2" t="str">
        <f t="shared" si="16"/>
        <v>Error?</v>
      </c>
    </row>
    <row r="1128" spans="1:4" x14ac:dyDescent="0.2">
      <c r="A1128" s="5">
        <v>1067</v>
      </c>
      <c r="B1128" s="138">
        <f>'Expenditures 15-22'!K61</f>
        <v>208411</v>
      </c>
      <c r="C1128" s="2" t="s">
        <v>594</v>
      </c>
      <c r="D1128" s="2" t="str">
        <f t="shared" si="16"/>
        <v>Error?</v>
      </c>
    </row>
    <row r="1129" spans="1:4" x14ac:dyDescent="0.2">
      <c r="A1129" s="5">
        <v>1068</v>
      </c>
      <c r="B1129" s="138">
        <f>'Expenditures 15-22'!K62</f>
        <v>11390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224961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807</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807</v>
      </c>
      <c r="C1141" s="2" t="s">
        <v>594</v>
      </c>
      <c r="D1141" s="2" t="str">
        <f t="shared" si="16"/>
        <v>Error?</v>
      </c>
    </row>
    <row r="1142" spans="1:4" x14ac:dyDescent="0.2">
      <c r="A1142" s="5">
        <v>1081</v>
      </c>
      <c r="B1142" s="138">
        <f>'Expenditures 15-22'!K73</f>
        <v>125408</v>
      </c>
      <c r="C1142" s="2" t="s">
        <v>594</v>
      </c>
      <c r="D1142" s="2" t="str">
        <f t="shared" si="16"/>
        <v>Error?</v>
      </c>
    </row>
    <row r="1143" spans="1:4" x14ac:dyDescent="0.2">
      <c r="A1143" s="5">
        <v>1082</v>
      </c>
      <c r="B1143" s="138">
        <f>'Expenditures 15-22'!K74</f>
        <v>3040200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459551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5714040</v>
      </c>
      <c r="C1152" s="2" t="s">
        <v>594</v>
      </c>
      <c r="D1152" s="2" t="str">
        <f t="shared" si="17"/>
        <v>Error?</v>
      </c>
    </row>
    <row r="1153" spans="1:4" x14ac:dyDescent="0.2">
      <c r="A1153" s="5">
        <v>1092</v>
      </c>
      <c r="B1153" s="138">
        <f>'Expenditures 15-22'!K115</f>
        <v>500166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348720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848886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2348261</v>
      </c>
      <c r="D2009" s="2" t="str">
        <f t="shared" si="30"/>
        <v>Error?</v>
      </c>
    </row>
    <row r="2010" spans="1:4" x14ac:dyDescent="0.2">
      <c r="A2010" s="5">
        <v>1949</v>
      </c>
      <c r="B2010" s="138">
        <f>'Cap Outlay Deprec 26'!C10</f>
        <v>6382</v>
      </c>
      <c r="D2010" s="2" t="str">
        <f t="shared" si="30"/>
        <v>Error?</v>
      </c>
    </row>
    <row r="2011" spans="1:4" x14ac:dyDescent="0.2">
      <c r="A2011" s="5">
        <v>1950</v>
      </c>
      <c r="B2011" s="138">
        <f>'Cap Outlay Deprec 26'!C12</f>
        <v>684634</v>
      </c>
      <c r="D2011" s="2" t="str">
        <f t="shared" si="30"/>
        <v>Error?</v>
      </c>
    </row>
    <row r="2012" spans="1:4" x14ac:dyDescent="0.2">
      <c r="A2012" s="5">
        <v>1951</v>
      </c>
      <c r="B2012" s="138">
        <f>'Cap Outlay Deprec 26'!C13</f>
        <v>23546</v>
      </c>
      <c r="D2012" s="2" t="str">
        <f t="shared" si="30"/>
        <v>Error?</v>
      </c>
    </row>
    <row r="2013" spans="1:4" x14ac:dyDescent="0.2">
      <c r="A2013" s="5">
        <v>1952</v>
      </c>
      <c r="B2013" s="138">
        <f>'Cap Outlay Deprec 26'!C16</f>
        <v>3062823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29119</v>
      </c>
      <c r="D2018" s="2" t="str">
        <f t="shared" si="30"/>
        <v>Error?</v>
      </c>
    </row>
    <row r="2019" spans="1:4" x14ac:dyDescent="0.2">
      <c r="A2019" s="5">
        <v>1958</v>
      </c>
      <c r="B2019" s="138">
        <f>'Cap Outlay Deprec 26'!D16</f>
        <v>29119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15656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15656</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2348261</v>
      </c>
      <c r="C2027" s="2" t="s">
        <v>594</v>
      </c>
      <c r="D2027" s="2" t="str">
        <f t="shared" si="30"/>
        <v>Error?</v>
      </c>
    </row>
    <row r="2028" spans="1:4" x14ac:dyDescent="0.2">
      <c r="A2028" s="5">
        <v>1967</v>
      </c>
      <c r="B2028" s="138">
        <f>'Cap Outlay Deprec 26'!F10</f>
        <v>6382</v>
      </c>
      <c r="C2028" s="2" t="s">
        <v>594</v>
      </c>
      <c r="D2028" s="2" t="str">
        <f t="shared" si="30"/>
        <v>Error?</v>
      </c>
    </row>
    <row r="2029" spans="1:4" x14ac:dyDescent="0.2">
      <c r="A2029" s="5">
        <v>1968</v>
      </c>
      <c r="B2029" s="138">
        <f>'Cap Outlay Deprec 26'!F12</f>
        <v>668978</v>
      </c>
      <c r="C2029" s="2" t="s">
        <v>594</v>
      </c>
      <c r="D2029" s="2" t="str">
        <f t="shared" si="30"/>
        <v>Error?</v>
      </c>
    </row>
    <row r="2030" spans="1:4" x14ac:dyDescent="0.2">
      <c r="A2030" s="5">
        <v>1969</v>
      </c>
      <c r="B2030" s="138">
        <f>'Cap Outlay Deprec 26'!F13</f>
        <v>52665</v>
      </c>
      <c r="C2030" s="2" t="s">
        <v>594</v>
      </c>
      <c r="D2030" s="2" t="str">
        <f t="shared" si="30"/>
        <v>Error?</v>
      </c>
    </row>
    <row r="2031" spans="1:4" x14ac:dyDescent="0.2">
      <c r="A2031" s="5">
        <v>1970</v>
      </c>
      <c r="B2031" s="138">
        <f>'Cap Outlay Deprec 26'!F16</f>
        <v>3076286</v>
      </c>
      <c r="C2031" s="2" t="s">
        <v>594</v>
      </c>
      <c r="D2031" s="2" t="str">
        <f t="shared" si="30"/>
        <v>Error?</v>
      </c>
    </row>
    <row r="2032" spans="1:4" x14ac:dyDescent="0.2">
      <c r="A2032" s="10">
        <v>1971</v>
      </c>
      <c r="D2032" s="2" t="str">
        <f t="shared" si="30"/>
        <v>OK</v>
      </c>
    </row>
    <row r="2033" spans="1:4" x14ac:dyDescent="0.2">
      <c r="A2033" s="5">
        <v>1972</v>
      </c>
      <c r="B2033" s="138">
        <f>'Cap Outlay Deprec 26'!H8</f>
        <v>564735</v>
      </c>
      <c r="D2033" s="2" t="str">
        <f t="shared" si="30"/>
        <v>Error?</v>
      </c>
    </row>
    <row r="2034" spans="1:4" x14ac:dyDescent="0.2">
      <c r="A2034" s="5">
        <v>1973</v>
      </c>
      <c r="B2034" s="138">
        <f>'Cap Outlay Deprec 26'!H10</f>
        <v>6062</v>
      </c>
      <c r="D2034" s="2" t="str">
        <f t="shared" si="30"/>
        <v>Error?</v>
      </c>
    </row>
    <row r="2035" spans="1:4" x14ac:dyDescent="0.2">
      <c r="A2035" s="5">
        <v>1974</v>
      </c>
      <c r="B2035" s="138">
        <f>'Cap Outlay Deprec 26'!H12</f>
        <v>435092</v>
      </c>
      <c r="D2035" s="2" t="str">
        <f t="shared" si="30"/>
        <v>Error?</v>
      </c>
    </row>
    <row r="2036" spans="1:4" x14ac:dyDescent="0.2">
      <c r="A2036" s="5">
        <v>1975</v>
      </c>
      <c r="B2036" s="138">
        <f>'Cap Outlay Deprec 26'!H13</f>
        <v>2800</v>
      </c>
      <c r="D2036" s="2" t="str">
        <f t="shared" si="30"/>
        <v>Error?</v>
      </c>
    </row>
    <row r="2037" spans="1:4" x14ac:dyDescent="0.2">
      <c r="A2037" s="5">
        <v>1976</v>
      </c>
      <c r="B2037" s="138">
        <f>'Cap Outlay Deprec 26'!H16</f>
        <v>1008689</v>
      </c>
      <c r="C2037" s="2" t="s">
        <v>594</v>
      </c>
      <c r="D2037" s="2" t="str">
        <f t="shared" si="30"/>
        <v>Error?</v>
      </c>
    </row>
    <row r="2038" spans="1:4" x14ac:dyDescent="0.2">
      <c r="A2038" s="10">
        <v>1977</v>
      </c>
      <c r="D2038" s="2" t="str">
        <f t="shared" si="30"/>
        <v>OK</v>
      </c>
    </row>
    <row r="2039" spans="1:4" x14ac:dyDescent="0.2">
      <c r="A2039" s="5">
        <v>1978</v>
      </c>
      <c r="B2039" s="138">
        <f>'Cap Outlay Deprec 26'!I8</f>
        <v>46965</v>
      </c>
      <c r="D2039" s="2" t="str">
        <f t="shared" si="30"/>
        <v>Error?</v>
      </c>
    </row>
    <row r="2040" spans="1:4" x14ac:dyDescent="0.2">
      <c r="A2040" s="5">
        <v>1979</v>
      </c>
      <c r="B2040" s="138">
        <f>'Cap Outlay Deprec 26'!I10</f>
        <v>320</v>
      </c>
      <c r="D2040" s="2" t="str">
        <f t="shared" si="30"/>
        <v>Error?</v>
      </c>
    </row>
    <row r="2041" spans="1:4" x14ac:dyDescent="0.2">
      <c r="A2041" s="5">
        <v>1980</v>
      </c>
      <c r="B2041" s="138">
        <f>'Cap Outlay Deprec 26'!I12</f>
        <v>67570</v>
      </c>
      <c r="D2041" s="2" t="str">
        <f t="shared" si="30"/>
        <v>Error?</v>
      </c>
    </row>
    <row r="2042" spans="1:4" x14ac:dyDescent="0.2">
      <c r="A2042" s="5">
        <v>1981</v>
      </c>
      <c r="B2042" s="138">
        <f>'Cap Outlay Deprec 26'!I13</f>
        <v>5595</v>
      </c>
      <c r="D2042" s="2" t="str">
        <f t="shared" si="30"/>
        <v>Error?</v>
      </c>
    </row>
    <row r="2043" spans="1:4" x14ac:dyDescent="0.2">
      <c r="A2043" s="5">
        <v>1982</v>
      </c>
      <c r="B2043" s="138">
        <f>'Cap Outlay Deprec 26'!I16</f>
        <v>120450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11898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11898</v>
      </c>
      <c r="C2049" s="2" t="s">
        <v>594</v>
      </c>
      <c r="D2049" s="2" t="str">
        <f t="shared" si="31"/>
        <v>Error?</v>
      </c>
    </row>
    <row r="2050" spans="1:4" x14ac:dyDescent="0.2">
      <c r="A2050" s="10">
        <v>1989</v>
      </c>
      <c r="D2050" s="2" t="str">
        <f t="shared" si="31"/>
        <v>OK</v>
      </c>
    </row>
    <row r="2051" spans="1:4" x14ac:dyDescent="0.2">
      <c r="A2051" s="5">
        <v>1990</v>
      </c>
      <c r="B2051" s="138">
        <f>'Cap Outlay Deprec 26'!K8</f>
        <v>611700</v>
      </c>
      <c r="C2051" s="2" t="s">
        <v>594</v>
      </c>
      <c r="D2051" s="2" t="str">
        <f t="shared" si="31"/>
        <v>Error?</v>
      </c>
    </row>
    <row r="2052" spans="1:4" x14ac:dyDescent="0.2">
      <c r="A2052" s="5">
        <v>1991</v>
      </c>
      <c r="B2052" s="138">
        <f>'Cap Outlay Deprec 26'!K10</f>
        <v>6382</v>
      </c>
      <c r="C2052" s="2" t="s">
        <v>594</v>
      </c>
      <c r="D2052" s="2" t="str">
        <f t="shared" si="31"/>
        <v>Error?</v>
      </c>
    </row>
    <row r="2053" spans="1:4" x14ac:dyDescent="0.2">
      <c r="A2053" s="5">
        <v>1992</v>
      </c>
      <c r="B2053" s="138">
        <f>'Cap Outlay Deprec 26'!K12</f>
        <v>490764</v>
      </c>
      <c r="C2053" s="2" t="s">
        <v>594</v>
      </c>
      <c r="D2053" s="2" t="str">
        <f t="shared" si="31"/>
        <v>Error?</v>
      </c>
    </row>
    <row r="2054" spans="1:4" x14ac:dyDescent="0.2">
      <c r="A2054" s="5">
        <v>1993</v>
      </c>
      <c r="B2054" s="138">
        <f>'Cap Outlay Deprec 26'!K13</f>
        <v>8395</v>
      </c>
      <c r="C2054" s="2" t="s">
        <v>594</v>
      </c>
      <c r="D2054" s="2" t="str">
        <f t="shared" si="31"/>
        <v>Error?</v>
      </c>
    </row>
    <row r="2055" spans="1:4" x14ac:dyDescent="0.2">
      <c r="A2055" s="5">
        <v>1994</v>
      </c>
      <c r="B2055" s="138">
        <f>'Cap Outlay Deprec 26'!K16</f>
        <v>1117241</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1736561</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178214</v>
      </c>
      <c r="C2059" s="2" t="s">
        <v>594</v>
      </c>
      <c r="D2059" s="2" t="str">
        <f t="shared" si="31"/>
        <v>Error?</v>
      </c>
    </row>
    <row r="2060" spans="1:4" x14ac:dyDescent="0.2">
      <c r="A2060" s="5">
        <v>1999</v>
      </c>
      <c r="B2060" s="138">
        <f>'Cap Outlay Deprec 26'!L13</f>
        <v>44270</v>
      </c>
      <c r="C2060" s="2" t="s">
        <v>594</v>
      </c>
      <c r="D2060" s="2" t="str">
        <f t="shared" si="31"/>
        <v>Error?</v>
      </c>
    </row>
    <row r="2061" spans="1:4" x14ac:dyDescent="0.2">
      <c r="A2061" s="5">
        <v>2000</v>
      </c>
      <c r="B2061" s="138">
        <f>'Cap Outlay Deprec 26'!L16</f>
        <v>1959045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64811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459551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2530158</v>
      </c>
      <c r="C2551" s="2" t="s">
        <v>594</v>
      </c>
      <c r="D2551" s="2" t="str">
        <f t="shared" si="38"/>
        <v>Error?</v>
      </c>
    </row>
    <row r="2552" spans="1:4" x14ac:dyDescent="0.2">
      <c r="A2552" s="10">
        <v>2491</v>
      </c>
      <c r="D2552" s="2" t="str">
        <f t="shared" si="38"/>
        <v>OK</v>
      </c>
    </row>
    <row r="2553" spans="1:4" x14ac:dyDescent="0.2">
      <c r="A2553" s="5">
        <v>2492</v>
      </c>
      <c r="B2553" s="138">
        <f>'Acct Summary 7-8'!C6</f>
        <v>909308</v>
      </c>
      <c r="C2553" s="2" t="s">
        <v>594</v>
      </c>
      <c r="D2553" s="2" t="str">
        <f t="shared" si="38"/>
        <v>Error?</v>
      </c>
    </row>
    <row r="2554" spans="1:4" x14ac:dyDescent="0.2">
      <c r="A2554" s="5">
        <v>2493</v>
      </c>
      <c r="B2554" s="138">
        <f>'Acct Summary 7-8'!C7</f>
        <v>2709929</v>
      </c>
      <c r="C2554" s="2" t="s">
        <v>594</v>
      </c>
      <c r="D2554" s="2" t="str">
        <f t="shared" si="38"/>
        <v>Error?</v>
      </c>
    </row>
    <row r="2555" spans="1:4" x14ac:dyDescent="0.2">
      <c r="A2555" s="5">
        <v>2494</v>
      </c>
      <c r="B2555" s="138">
        <f>'Acct Summary 7-8'!C8</f>
        <v>6214206</v>
      </c>
      <c r="C2555" s="2" t="s">
        <v>594</v>
      </c>
      <c r="D2555" s="2" t="str">
        <f t="shared" si="38"/>
        <v>Error?</v>
      </c>
    </row>
    <row r="2556" spans="1:4" x14ac:dyDescent="0.2">
      <c r="A2556" s="5">
        <v>2495</v>
      </c>
      <c r="B2556" s="138">
        <f>'Acct Summary 7-8'!C12</f>
        <v>2214289</v>
      </c>
      <c r="C2556" s="2" t="s">
        <v>594</v>
      </c>
      <c r="D2556" s="2" t="str">
        <f t="shared" si="38"/>
        <v>Error?</v>
      </c>
    </row>
    <row r="2557" spans="1:4" x14ac:dyDescent="0.2">
      <c r="A2557" s="5">
        <v>2496</v>
      </c>
      <c r="B2557" s="138">
        <f>'Acct Summary 7-8'!C13</f>
        <v>3040200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459551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5714040</v>
      </c>
      <c r="C2561" s="2" t="s">
        <v>594</v>
      </c>
      <c r="D2561" s="2" t="str">
        <f t="shared" si="39"/>
        <v>Error?</v>
      </c>
    </row>
    <row r="2562" spans="1:4" x14ac:dyDescent="0.2">
      <c r="A2562" s="5">
        <v>2501</v>
      </c>
      <c r="B2562" s="138">
        <f>'Acct Summary 7-8'!C20</f>
        <v>500166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459739</v>
      </c>
      <c r="D2718" s="2" t="str">
        <f t="shared" si="41"/>
        <v>Error?</v>
      </c>
    </row>
    <row r="2719" spans="1:4" x14ac:dyDescent="0.2">
      <c r="A2719" s="5">
        <v>2658</v>
      </c>
      <c r="B2719" s="138">
        <f>'Expenditures 15-22'!D51</f>
        <v>71269</v>
      </c>
      <c r="D2719" s="2" t="str">
        <f t="shared" si="41"/>
        <v>Error?</v>
      </c>
    </row>
    <row r="2720" spans="1:4" x14ac:dyDescent="0.2">
      <c r="A2720" s="5">
        <v>2659</v>
      </c>
      <c r="B2720" s="138">
        <f>'Expenditures 15-22'!E51</f>
        <v>95897</v>
      </c>
      <c r="D2720" s="2" t="str">
        <f t="shared" si="41"/>
        <v>Error?</v>
      </c>
    </row>
    <row r="2721" spans="1:4" x14ac:dyDescent="0.2">
      <c r="A2721" s="5">
        <v>2660</v>
      </c>
      <c r="B2721" s="138">
        <f>'Expenditures 15-22'!F51</f>
        <v>5565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632470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394740</v>
      </c>
      <c r="C2789" s="2" t="s">
        <v>594</v>
      </c>
      <c r="D2789" s="2" t="str">
        <f t="shared" si="42"/>
        <v>Error?</v>
      </c>
    </row>
    <row r="2790" spans="1:4" x14ac:dyDescent="0.2">
      <c r="A2790" s="5">
        <v>2729</v>
      </c>
      <c r="B2790" s="138">
        <f>'Expenditures 15-22'!E102</f>
        <v>394740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5160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807</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208411</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394740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64811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459551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500166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1384506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276306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72345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1733157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64811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852947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1851656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8065862</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1851656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7565696</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848886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54696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64129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15485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2500053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2500053</v>
      </c>
      <c r="C5087" s="2" t="s">
        <v>594</v>
      </c>
      <c r="D5087" s="2" t="str">
        <f t="shared" si="78"/>
        <v>Error?</v>
      </c>
    </row>
    <row r="5088" spans="1:4" x14ac:dyDescent="0.2">
      <c r="A5088" s="5">
        <v>5027</v>
      </c>
      <c r="B5088" s="138">
        <f>'Revenues 9-14'!C65</f>
        <v>6619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6619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13403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10083</v>
      </c>
      <c r="D5119" s="2" t="str">
        <f t="shared" ref="D5119:D5182" si="79">IF(ISBLANK(B5119),"OK",IF(A5119-B5119=0,"OK","Error?"))</f>
        <v>Error?</v>
      </c>
    </row>
    <row r="5120" spans="1:4" x14ac:dyDescent="0.2">
      <c r="A5120" s="5">
        <v>5059</v>
      </c>
      <c r="B5120" s="138">
        <f>'Revenues 9-14'!C108</f>
        <v>23486</v>
      </c>
      <c r="C5120" s="2" t="s">
        <v>594</v>
      </c>
      <c r="D5120" s="2" t="str">
        <f t="shared" si="79"/>
        <v>Error?</v>
      </c>
    </row>
    <row r="5121" spans="1:4" x14ac:dyDescent="0.2">
      <c r="A5121" s="5">
        <v>5060</v>
      </c>
      <c r="B5121" s="138">
        <f>'Revenues 9-14'!C109</f>
        <v>2530158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64811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64811</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887747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887747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6076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6076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909308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909308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139257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2451847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2591104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2709929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2709929</v>
      </c>
      <c r="C5326" s="2" t="s">
        <v>594</v>
      </c>
      <c r="D5326" s="2" t="str">
        <f t="shared" si="82"/>
        <v>Error?</v>
      </c>
    </row>
    <row r="5327" spans="1:4" x14ac:dyDescent="0.2">
      <c r="A5327" s="5">
        <v>5266</v>
      </c>
      <c r="B5327" s="138">
        <f>'Revenues 9-14'!C275</f>
        <v>6214206</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500166</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0.58920279048070057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366801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321605</v>
      </c>
      <c r="D7251" s="2" t="str">
        <f t="shared" si="112"/>
        <v>Error?</v>
      </c>
    </row>
    <row r="7252" spans="1:4" x14ac:dyDescent="0.2">
      <c r="A7252">
        <f t="shared" si="113"/>
        <v>7191</v>
      </c>
      <c r="B7252" s="138">
        <f>'Expenditures 15-22'!D9</f>
        <v>40764</v>
      </c>
      <c r="D7252" s="2" t="str">
        <f t="shared" si="112"/>
        <v>Error?</v>
      </c>
    </row>
    <row r="7253" spans="1:4" x14ac:dyDescent="0.2">
      <c r="A7253">
        <f t="shared" si="113"/>
        <v>7192</v>
      </c>
      <c r="B7253" s="138">
        <f>'Expenditures 15-22'!E9</f>
        <v>4432</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120450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353032</v>
      </c>
      <c r="D7797" s="2" t="str">
        <f t="shared" si="127"/>
        <v>Error?</v>
      </c>
      <c r="E7797" s="4" t="s">
        <v>2016</v>
      </c>
    </row>
    <row r="7798" spans="1:5" x14ac:dyDescent="0.2">
      <c r="A7798">
        <v>7737</v>
      </c>
      <c r="B7798" s="138">
        <f>'Contracts Paid in CY 29'!F141</f>
        <v>139178</v>
      </c>
      <c r="D7798" s="2" t="str">
        <f t="shared" si="127"/>
        <v>Error?</v>
      </c>
      <c r="E7798" s="4" t="s">
        <v>2016</v>
      </c>
    </row>
    <row r="7799" spans="1:5" x14ac:dyDescent="0.2">
      <c r="A7799">
        <v>7738</v>
      </c>
      <c r="B7799" s="138">
        <f>'Contracts Paid in CY 29'!G141</f>
        <v>30000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B42" sqref="B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14" t="s">
        <v>1252</v>
      </c>
      <c r="B3" s="2414"/>
      <c r="C3" s="2414"/>
      <c r="D3" s="2414"/>
      <c r="E3" s="2414"/>
      <c r="F3" s="2414"/>
      <c r="G3" s="2414"/>
      <c r="H3" s="2414"/>
      <c r="I3" s="2414"/>
      <c r="J3" s="2414"/>
      <c r="K3" s="2414"/>
      <c r="L3" s="2414"/>
    </row>
    <row r="4" spans="1:29" ht="13.5" customHeight="1" x14ac:dyDescent="0.2">
      <c r="A4" s="2428" t="s">
        <v>1799</v>
      </c>
      <c r="B4" s="2445"/>
      <c r="C4" s="2445"/>
      <c r="D4" s="2445"/>
      <c r="E4" s="2445"/>
      <c r="F4" s="2445"/>
      <c r="G4" s="2445"/>
      <c r="H4" s="2445"/>
      <c r="I4" s="2445"/>
      <c r="J4" s="2445"/>
      <c r="K4" s="2445"/>
      <c r="L4" s="244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8" t="str">
        <f>COVER!A17</f>
        <v>South Eastern SpEd Program</v>
      </c>
      <c r="B7" s="2409"/>
      <c r="C7" s="2409"/>
      <c r="D7" s="2446"/>
      <c r="E7" s="2447">
        <f>COVER!A13</f>
        <v>12017801060</v>
      </c>
      <c r="F7" s="2448"/>
      <c r="G7" s="2415" t="str">
        <f>COVER!T23</f>
        <v>066-003998</v>
      </c>
      <c r="H7" s="2416"/>
      <c r="I7" s="2416"/>
      <c r="J7" s="2416"/>
      <c r="K7" s="2416"/>
      <c r="L7" s="241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8"/>
      <c r="B9" s="2419"/>
      <c r="C9" s="2419"/>
      <c r="D9" s="2419"/>
      <c r="E9" s="2419"/>
      <c r="F9" s="2420"/>
      <c r="G9" s="2421" t="str">
        <f>COVER!T13</f>
        <v>Kemper CPA Group LLP</v>
      </c>
      <c r="H9" s="2422"/>
      <c r="I9" s="2422"/>
      <c r="J9" s="2422"/>
      <c r="K9" s="2422"/>
      <c r="L9" s="2423"/>
    </row>
    <row r="10" spans="1:29" ht="13.5" customHeight="1" x14ac:dyDescent="0.2">
      <c r="A10" s="2405" t="str">
        <f>COVER!A38</f>
        <v>Jill Keller-Weems</v>
      </c>
      <c r="B10" s="2406"/>
      <c r="C10" s="2406"/>
      <c r="D10" s="2406"/>
      <c r="E10" s="2406"/>
      <c r="F10" s="2407"/>
      <c r="G10" s="2421" t="str">
        <f>COVER!T17</f>
        <v>302. E Walnut Street</v>
      </c>
      <c r="H10" s="2434"/>
      <c r="I10" s="2434"/>
      <c r="J10" s="2434"/>
      <c r="K10" s="2434"/>
      <c r="L10" s="2435"/>
    </row>
    <row r="11" spans="1:29" ht="13.5" customHeight="1" x14ac:dyDescent="0.2">
      <c r="A11" s="1185" t="s">
        <v>1599</v>
      </c>
      <c r="B11" s="1186"/>
      <c r="C11" s="1187"/>
      <c r="D11" s="1192"/>
      <c r="E11" s="1187"/>
      <c r="F11" s="1191"/>
      <c r="G11" s="2421" t="str">
        <f>COVER!T19</f>
        <v>Robinson</v>
      </c>
      <c r="H11" s="2434"/>
      <c r="I11" s="2434"/>
      <c r="J11" s="2434"/>
      <c r="K11" s="2434"/>
      <c r="L11" s="2435"/>
    </row>
    <row r="12" spans="1:29" ht="13.5" customHeight="1" x14ac:dyDescent="0.2">
      <c r="A12" s="2439" t="s">
        <v>1598</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1600</v>
      </c>
      <c r="H13" s="2430"/>
      <c r="I13" s="2442" t="str">
        <f>COVER!T25</f>
        <v>jtruitt@kempercpa.com</v>
      </c>
      <c r="J13" s="2443"/>
      <c r="K13" s="2443"/>
      <c r="L13" s="2444"/>
    </row>
    <row r="14" spans="1:29" ht="13.5" customHeight="1" x14ac:dyDescent="0.2">
      <c r="A14" s="2421" t="str">
        <f>COVER!A19</f>
        <v>P.O. Box 185</v>
      </c>
      <c r="B14" s="2434"/>
      <c r="C14" s="2434"/>
      <c r="D14" s="2434"/>
      <c r="E14" s="2434"/>
      <c r="F14" s="2435"/>
      <c r="G14" s="1196" t="s">
        <v>1247</v>
      </c>
      <c r="H14" s="1194"/>
      <c r="I14" s="1194"/>
      <c r="J14" s="1194"/>
      <c r="K14" s="1194"/>
      <c r="L14" s="1195"/>
    </row>
    <row r="15" spans="1:29" ht="13.5" customHeight="1" x14ac:dyDescent="0.2">
      <c r="A15" s="2421" t="str">
        <f>COVER!A21</f>
        <v>St. Marie</v>
      </c>
      <c r="B15" s="2434"/>
      <c r="C15" s="2434"/>
      <c r="D15" s="2434"/>
      <c r="E15" s="2434"/>
      <c r="F15" s="2435"/>
      <c r="G15" s="2431" t="str">
        <f>COVER!T15</f>
        <v>Jodi Truitt</v>
      </c>
      <c r="H15" s="2432"/>
      <c r="I15" s="2432"/>
      <c r="J15" s="2432"/>
      <c r="K15" s="2432"/>
      <c r="L15" s="2433"/>
    </row>
    <row r="16" spans="1:29" ht="12.2" customHeight="1" x14ac:dyDescent="0.2">
      <c r="A16" s="2411">
        <f>COVER!A25</f>
        <v>62459</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6" t="s">
        <v>1246</v>
      </c>
      <c r="H17" s="1194"/>
      <c r="I17" s="1194"/>
      <c r="J17" s="1194"/>
      <c r="K17" s="1198" t="s">
        <v>1245</v>
      </c>
      <c r="L17" s="1191"/>
      <c r="M17" s="1184"/>
    </row>
    <row r="18" spans="1:13" ht="12.2" customHeight="1" x14ac:dyDescent="0.2">
      <c r="A18" s="2405"/>
      <c r="B18" s="2406"/>
      <c r="C18" s="2406"/>
      <c r="D18" s="2406"/>
      <c r="E18" s="2406"/>
      <c r="F18" s="2407"/>
      <c r="G18" s="2408" t="str">
        <f>COVER!T21</f>
        <v>618-546-1502</v>
      </c>
      <c r="H18" s="2409"/>
      <c r="I18" s="2409"/>
      <c r="J18" s="2409"/>
      <c r="K18" s="2408" t="str">
        <f>COVER!X21</f>
        <v>618-544-2140</v>
      </c>
      <c r="L18" s="241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2092</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2092</v>
      </c>
      <c r="C26" s="1203" t="s">
        <v>1801</v>
      </c>
    </row>
    <row r="27" spans="1:13" s="1199" customFormat="1" ht="9" customHeight="1" x14ac:dyDescent="0.2">
      <c r="B27" s="1204"/>
      <c r="C27" s="1203"/>
    </row>
    <row r="28" spans="1:13" s="1199" customFormat="1" ht="12.2" customHeight="1" x14ac:dyDescent="0.2">
      <c r="A28" s="1206"/>
      <c r="B28" s="1202" t="s">
        <v>2092</v>
      </c>
      <c r="C28" s="1203" t="s">
        <v>1802</v>
      </c>
    </row>
    <row r="29" spans="1:13" s="1199" customFormat="1" ht="9" customHeight="1" x14ac:dyDescent="0.2">
      <c r="A29" s="1206"/>
      <c r="B29" s="1204"/>
      <c r="C29" s="1203"/>
    </row>
    <row r="30" spans="1:13" s="1199" customFormat="1" ht="12.2" customHeight="1" x14ac:dyDescent="0.2">
      <c r="B30" s="1202" t="s">
        <v>2092</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2092</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2092</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2092</v>
      </c>
      <c r="C38" s="1203" t="s">
        <v>1647</v>
      </c>
    </row>
    <row r="39" spans="1:8" ht="9" customHeight="1" x14ac:dyDescent="0.2">
      <c r="B39" s="1204"/>
      <c r="C39" s="1207"/>
    </row>
    <row r="40" spans="1:8" s="1199" customFormat="1" ht="13.5" customHeight="1" x14ac:dyDescent="0.2">
      <c r="B40" s="1202" t="s">
        <v>2092</v>
      </c>
      <c r="C40" s="1203" t="s">
        <v>1648</v>
      </c>
    </row>
    <row r="41" spans="1:8" ht="9" customHeight="1" x14ac:dyDescent="0.2">
      <c r="A41" s="1208"/>
      <c r="B41" s="1204"/>
      <c r="C41" s="1207"/>
    </row>
    <row r="42" spans="1:8" s="1199" customFormat="1" ht="13.5" customHeight="1" x14ac:dyDescent="0.2">
      <c r="B42" s="1202" t="s">
        <v>2092</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0" zoomScale="125" zoomScaleNormal="125" workbookViewId="0">
      <selection activeCell="D97" sqref="D9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South Eastern SpEd Program</v>
      </c>
      <c r="B1" s="2445"/>
      <c r="C1" s="2445"/>
      <c r="D1" s="2445"/>
    </row>
    <row r="2" spans="1:11" s="1215" customFormat="1" ht="12.75" x14ac:dyDescent="0.2">
      <c r="A2" s="2450">
        <f>'Single Audit Cover'!E7</f>
        <v>12017801060</v>
      </c>
      <c r="B2" s="2451"/>
      <c r="C2" s="2451"/>
      <c r="D2" s="2451"/>
    </row>
    <row r="3" spans="1:11" s="1215" customFormat="1" ht="12.75" x14ac:dyDescent="0.2">
      <c r="A3" s="2449" t="s">
        <v>1593</v>
      </c>
      <c r="B3" s="2445"/>
      <c r="C3" s="2445"/>
      <c r="D3" s="244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2092</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2092</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2092</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2092</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2092</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2096</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2092</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2092</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2092</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2096</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2092</v>
      </c>
      <c r="C42" s="1232">
        <v>11</v>
      </c>
      <c r="D42" s="1243" t="s">
        <v>1655</v>
      </c>
      <c r="E42" s="312"/>
    </row>
    <row r="43" spans="1:5" ht="3" customHeight="1" x14ac:dyDescent="0.2">
      <c r="A43" s="1222"/>
      <c r="B43" s="1239"/>
      <c r="C43" s="1240"/>
      <c r="D43" s="1221"/>
    </row>
    <row r="44" spans="1:5" x14ac:dyDescent="0.2">
      <c r="A44" s="1222"/>
      <c r="B44" s="1225" t="s">
        <v>2096</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2096</v>
      </c>
      <c r="C48" s="1226">
        <f>C44+1</f>
        <v>13</v>
      </c>
      <c r="D48" s="1237" t="s">
        <v>1656</v>
      </c>
    </row>
    <row r="49" spans="1:4" ht="3" customHeight="1" x14ac:dyDescent="0.2">
      <c r="A49" s="1222"/>
      <c r="B49" s="1229"/>
      <c r="C49" s="1226"/>
      <c r="D49" s="1237"/>
    </row>
    <row r="50" spans="1:4" x14ac:dyDescent="0.2">
      <c r="A50" s="1222"/>
      <c r="B50" s="1225" t="s">
        <v>2096</v>
      </c>
      <c r="C50" s="1226">
        <f>C48+1</f>
        <v>14</v>
      </c>
      <c r="D50" s="1237" t="s">
        <v>1274</v>
      </c>
    </row>
    <row r="51" spans="1:4" ht="3" customHeight="1" x14ac:dyDescent="0.2">
      <c r="A51" s="1222"/>
      <c r="B51" s="1229"/>
      <c r="C51" s="1226"/>
      <c r="D51" s="1237"/>
    </row>
    <row r="52" spans="1:4" x14ac:dyDescent="0.2">
      <c r="A52" s="1222"/>
      <c r="B52" s="1225" t="s">
        <v>2096</v>
      </c>
      <c r="C52" s="1226">
        <f>C50+1</f>
        <v>15</v>
      </c>
      <c r="D52" s="1237" t="s">
        <v>1273</v>
      </c>
    </row>
    <row r="53" spans="1:4" ht="3" customHeight="1" x14ac:dyDescent="0.2">
      <c r="A53" s="1222"/>
      <c r="B53" s="1229"/>
      <c r="C53" s="1226"/>
      <c r="D53" s="1237"/>
    </row>
    <row r="54" spans="1:4" x14ac:dyDescent="0.2">
      <c r="A54" s="1222"/>
      <c r="B54" s="1225" t="s">
        <v>2096</v>
      </c>
      <c r="C54" s="1226">
        <f>C52+1</f>
        <v>16</v>
      </c>
      <c r="D54" s="1237" t="s">
        <v>1272</v>
      </c>
    </row>
    <row r="55" spans="1:4" ht="3" customHeight="1" x14ac:dyDescent="0.2">
      <c r="A55" s="1222"/>
      <c r="B55" s="1229"/>
      <c r="C55" s="1226"/>
      <c r="D55" s="1237"/>
    </row>
    <row r="56" spans="1:4" x14ac:dyDescent="0.2">
      <c r="A56" s="1222"/>
      <c r="B56" s="1225" t="s">
        <v>2096</v>
      </c>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t="s">
        <v>2092</v>
      </c>
      <c r="C72" s="1226">
        <f>C56+1</f>
        <v>18</v>
      </c>
      <c r="D72" s="1247" t="s">
        <v>1817</v>
      </c>
    </row>
    <row r="73" spans="1:4" ht="3" customHeight="1" x14ac:dyDescent="0.2">
      <c r="A73" s="1222"/>
      <c r="B73" s="1229"/>
      <c r="C73" s="1226"/>
      <c r="D73" s="1247"/>
    </row>
    <row r="74" spans="1:4" x14ac:dyDescent="0.2">
      <c r="A74" s="1222"/>
      <c r="B74" s="1225" t="s">
        <v>2092</v>
      </c>
      <c r="C74" s="1226">
        <f>C72+1</f>
        <v>19</v>
      </c>
      <c r="D74" s="1237" t="s">
        <v>1267</v>
      </c>
    </row>
    <row r="75" spans="1:4" ht="3" customHeight="1" x14ac:dyDescent="0.2">
      <c r="A75" s="1222"/>
      <c r="B75" s="1229"/>
      <c r="C75" s="1226"/>
      <c r="D75" s="1237"/>
    </row>
    <row r="76" spans="1:4" x14ac:dyDescent="0.2">
      <c r="A76" s="1222"/>
      <c r="B76" s="1225" t="s">
        <v>2092</v>
      </c>
      <c r="C76" s="1226">
        <f>C74+1</f>
        <v>20</v>
      </c>
      <c r="D76" s="1248" t="s">
        <v>1818</v>
      </c>
    </row>
    <row r="77" spans="1:4" ht="3" customHeight="1" x14ac:dyDescent="0.2">
      <c r="A77" s="1222"/>
      <c r="B77" s="1229"/>
      <c r="C77" s="1226"/>
      <c r="D77" s="1248"/>
    </row>
    <row r="78" spans="1:4" x14ac:dyDescent="0.2">
      <c r="A78" s="1222"/>
      <c r="B78" s="1225" t="s">
        <v>2092</v>
      </c>
      <c r="C78" s="1226">
        <f>C76+1</f>
        <v>21</v>
      </c>
      <c r="D78" s="1221" t="s">
        <v>1819</v>
      </c>
    </row>
    <row r="79" spans="1:4" ht="3" customHeight="1" x14ac:dyDescent="0.2">
      <c r="A79" s="1222"/>
      <c r="B79" s="1229"/>
      <c r="C79" s="1226"/>
      <c r="D79" s="1221"/>
    </row>
    <row r="80" spans="1:4" x14ac:dyDescent="0.2">
      <c r="A80" s="1222"/>
      <c r="B80" s="1225" t="s">
        <v>2092</v>
      </c>
      <c r="C80" s="1226">
        <f>C78+1</f>
        <v>22</v>
      </c>
      <c r="D80" s="1249" t="s">
        <v>1820</v>
      </c>
    </row>
    <row r="81" spans="1:4" ht="3" customHeight="1" x14ac:dyDescent="0.2">
      <c r="A81" s="1222"/>
      <c r="B81" s="1229"/>
      <c r="C81" s="1226"/>
      <c r="D81" s="1249"/>
    </row>
    <row r="82" spans="1:4" x14ac:dyDescent="0.2">
      <c r="A82" s="1222"/>
      <c r="B82" s="1225" t="s">
        <v>2092</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2092</v>
      </c>
      <c r="C85" s="1226">
        <f>C82+1</f>
        <v>24</v>
      </c>
      <c r="D85" s="1237" t="s">
        <v>1265</v>
      </c>
    </row>
    <row r="86" spans="1:4" ht="3" customHeight="1" x14ac:dyDescent="0.2">
      <c r="A86" s="1222"/>
      <c r="B86" s="1229"/>
      <c r="C86" s="1226"/>
      <c r="D86" s="1237"/>
    </row>
    <row r="87" spans="1:4" x14ac:dyDescent="0.2">
      <c r="A87" s="1222"/>
      <c r="B87" s="1225" t="s">
        <v>2092</v>
      </c>
      <c r="C87" s="1226">
        <f>C85+1</f>
        <v>25</v>
      </c>
      <c r="D87" s="1237" t="s">
        <v>1264</v>
      </c>
    </row>
    <row r="88" spans="1:4" ht="3" customHeight="1" x14ac:dyDescent="0.2">
      <c r="A88" s="1222"/>
      <c r="B88" s="1229"/>
      <c r="C88" s="1226"/>
      <c r="D88" s="1237"/>
    </row>
    <row r="89" spans="1:4" x14ac:dyDescent="0.2">
      <c r="A89" s="1222"/>
      <c r="B89" s="1225" t="s">
        <v>2092</v>
      </c>
      <c r="C89" s="1226">
        <f>C87+1</f>
        <v>26</v>
      </c>
      <c r="D89" s="1237" t="s">
        <v>1263</v>
      </c>
    </row>
    <row r="90" spans="1:4" ht="3" customHeight="1" x14ac:dyDescent="0.2">
      <c r="A90" s="1222"/>
      <c r="B90" s="1229"/>
      <c r="C90" s="1226"/>
      <c r="D90" s="1237"/>
    </row>
    <row r="91" spans="1:4" x14ac:dyDescent="0.2">
      <c r="A91" s="1222"/>
      <c r="B91" s="1225" t="s">
        <v>2092</v>
      </c>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2092</v>
      </c>
      <c r="C96" s="1226">
        <f>C91+1</f>
        <v>28</v>
      </c>
      <c r="D96" s="1237" t="s">
        <v>1823</v>
      </c>
    </row>
    <row r="97" spans="1:4" ht="3" customHeight="1" x14ac:dyDescent="0.2">
      <c r="A97" s="1222"/>
      <c r="B97" s="1229"/>
      <c r="C97" s="1226"/>
      <c r="D97" s="1237"/>
    </row>
    <row r="98" spans="1:4" x14ac:dyDescent="0.2">
      <c r="A98" s="1222"/>
      <c r="B98" s="1225" t="s">
        <v>2092</v>
      </c>
      <c r="C98" s="1226">
        <f>C96+1</f>
        <v>29</v>
      </c>
      <c r="D98" s="1251" t="s">
        <v>1824</v>
      </c>
    </row>
    <row r="99" spans="1:4" ht="3" customHeight="1" x14ac:dyDescent="0.2">
      <c r="A99" s="1222"/>
      <c r="B99" s="1229"/>
      <c r="C99" s="1226"/>
      <c r="D99" s="1251"/>
    </row>
    <row r="100" spans="1:4" x14ac:dyDescent="0.2">
      <c r="A100" s="1222"/>
      <c r="B100" s="1225" t="s">
        <v>2092</v>
      </c>
      <c r="C100" s="1226">
        <f>C98+1</f>
        <v>30</v>
      </c>
      <c r="D100" s="1237" t="s">
        <v>1825</v>
      </c>
    </row>
    <row r="101" spans="1:4" ht="3" customHeight="1" x14ac:dyDescent="0.2">
      <c r="A101" s="1222"/>
      <c r="B101" s="1229"/>
      <c r="C101" s="1226"/>
      <c r="D101" s="1252"/>
    </row>
    <row r="102" spans="1:4" x14ac:dyDescent="0.2">
      <c r="A102" s="1222"/>
      <c r="B102" s="1225" t="s">
        <v>2092</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2092</v>
      </c>
      <c r="C106" s="1226">
        <f>C102+1</f>
        <v>32</v>
      </c>
      <c r="D106" s="1221" t="s">
        <v>1661</v>
      </c>
    </row>
    <row r="107" spans="1:4" ht="3" customHeight="1" x14ac:dyDescent="0.2">
      <c r="A107" s="1222"/>
      <c r="B107" s="1229"/>
      <c r="C107" s="1226"/>
      <c r="D107" s="1221"/>
    </row>
    <row r="108" spans="1:4" x14ac:dyDescent="0.2">
      <c r="A108" s="1222"/>
      <c r="B108" s="1225" t="s">
        <v>2092</v>
      </c>
      <c r="C108" s="1226">
        <v>33</v>
      </c>
      <c r="D108" s="1221" t="s">
        <v>1826</v>
      </c>
    </row>
    <row r="109" spans="1:4" ht="3" customHeight="1" x14ac:dyDescent="0.2">
      <c r="A109" s="1222"/>
      <c r="B109" s="1229"/>
      <c r="C109" s="1226"/>
      <c r="D109" s="1221"/>
    </row>
    <row r="110" spans="1:4" x14ac:dyDescent="0.2">
      <c r="A110" s="1222"/>
      <c r="B110" s="1225" t="s">
        <v>2096</v>
      </c>
      <c r="C110" s="1226">
        <f>C108+1</f>
        <v>34</v>
      </c>
      <c r="D110" s="1221" t="s">
        <v>1260</v>
      </c>
    </row>
    <row r="111" spans="1:4" ht="3" customHeight="1" x14ac:dyDescent="0.2">
      <c r="A111" s="1222"/>
      <c r="B111" s="1229"/>
      <c r="C111" s="1226"/>
      <c r="D111" s="1221"/>
    </row>
    <row r="112" spans="1:4" x14ac:dyDescent="0.2">
      <c r="A112" s="1222"/>
      <c r="B112" s="1225" t="s">
        <v>2096</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2096</v>
      </c>
      <c r="C115" s="1226">
        <f>C112+1</f>
        <v>36</v>
      </c>
      <c r="D115" s="1237" t="s">
        <v>1257</v>
      </c>
    </row>
    <row r="116" spans="1:4" ht="3" customHeight="1" x14ac:dyDescent="0.2">
      <c r="A116" s="1222"/>
      <c r="B116" s="1229"/>
      <c r="C116" s="1226"/>
      <c r="D116" s="1237"/>
    </row>
    <row r="117" spans="1:4" x14ac:dyDescent="0.2">
      <c r="A117" s="1222"/>
      <c r="B117" s="1225" t="s">
        <v>2096</v>
      </c>
      <c r="C117" s="1226">
        <f>C115+1</f>
        <v>37</v>
      </c>
      <c r="D117" s="1237" t="s">
        <v>1827</v>
      </c>
    </row>
    <row r="118" spans="1:4" ht="3" customHeight="1" x14ac:dyDescent="0.2">
      <c r="A118" s="1222"/>
      <c r="B118" s="1229"/>
      <c r="C118" s="1226"/>
      <c r="D118" s="1237"/>
    </row>
    <row r="119" spans="1:4" x14ac:dyDescent="0.2">
      <c r="A119" s="1222"/>
      <c r="B119" s="1225" t="s">
        <v>2096</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2092</v>
      </c>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South Eastern SpEd Program</v>
      </c>
      <c r="B1" s="2453"/>
      <c r="C1" s="2453"/>
      <c r="D1" s="2453"/>
      <c r="E1" s="2453"/>
    </row>
    <row r="2" spans="1:5" x14ac:dyDescent="0.2">
      <c r="A2" s="2454">
        <f>'Single Audit Cover'!E7</f>
        <v>12017801060</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2709929</v>
      </c>
    </row>
    <row r="11" spans="1:5" ht="18" customHeight="1" x14ac:dyDescent="0.2">
      <c r="A11" s="1261" t="s">
        <v>1302</v>
      </c>
      <c r="B11" s="1262"/>
      <c r="C11" s="1262"/>
    </row>
    <row r="12" spans="1:5" x14ac:dyDescent="0.2">
      <c r="A12" s="1261" t="s">
        <v>1301</v>
      </c>
      <c r="B12" s="1262" t="s">
        <v>1300</v>
      </c>
      <c r="C12" s="1262"/>
      <c r="D12" s="1264">
        <f>SUM('Revenues 9-14'!C112:D112,'Revenues 9-14'!F112:G112)</f>
        <v>64811</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-64129</v>
      </c>
    </row>
    <row r="19" spans="1:4" ht="13.5" thickBot="1" x14ac:dyDescent="0.25">
      <c r="A19" s="1265" t="s">
        <v>1297</v>
      </c>
      <c r="D19" s="1266">
        <f>SUM(D10:D17)</f>
        <v>2710611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2710611</v>
      </c>
    </row>
    <row r="33" spans="1:4" x14ac:dyDescent="0.2">
      <c r="D33" s="1269"/>
    </row>
    <row r="34" spans="1:4" x14ac:dyDescent="0.2">
      <c r="A34" s="317" t="s">
        <v>1294</v>
      </c>
    </row>
    <row r="35" spans="1:4" x14ac:dyDescent="0.2">
      <c r="A35" s="317" t="s">
        <v>1293</v>
      </c>
      <c r="B35" s="1258" t="s">
        <v>1292</v>
      </c>
      <c r="D35" s="1270">
        <v>2710611</v>
      </c>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2710611</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9"/>
  <sheetViews>
    <sheetView showGridLines="0" topLeftCell="A19" zoomScale="120" zoomScaleNormal="120" workbookViewId="0">
      <selection activeCell="K37" sqref="K3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South Eastern SpEd Program</v>
      </c>
      <c r="B1" s="2458"/>
      <c r="C1" s="2458"/>
      <c r="D1" s="2458"/>
      <c r="E1" s="2458"/>
      <c r="F1" s="2458"/>
    </row>
    <row r="2" spans="1:7" ht="13.5" customHeight="1" x14ac:dyDescent="0.2">
      <c r="A2" s="2459">
        <f>'Single Audit Cover'!E7</f>
        <v>12017801060</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2159</v>
      </c>
      <c r="B7" s="2457"/>
      <c r="C7" s="2457"/>
      <c r="D7" s="2457"/>
      <c r="E7" s="2457"/>
      <c r="F7" s="245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2092</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7" t="s">
        <v>2160</v>
      </c>
      <c r="B13" s="2457"/>
      <c r="C13" s="2457"/>
      <c r="D13" s="2457"/>
      <c r="E13" s="2457"/>
      <c r="F13" s="2457"/>
    </row>
    <row r="14" spans="1:7" ht="9.75" customHeight="1" x14ac:dyDescent="0.2">
      <c r="C14" s="1260"/>
      <c r="D14" s="1260"/>
    </row>
    <row r="15" spans="1:7" ht="13.5" customHeight="1" x14ac:dyDescent="0.2">
      <c r="C15" s="1870" t="s">
        <v>1332</v>
      </c>
      <c r="D15" s="2463" t="s">
        <v>1331</v>
      </c>
      <c r="E15" s="2463"/>
      <c r="F15" s="2463"/>
    </row>
    <row r="16" spans="1:7" ht="13.5" customHeight="1" x14ac:dyDescent="0.2">
      <c r="A16" s="1282"/>
      <c r="B16" s="1276" t="s">
        <v>1330</v>
      </c>
      <c r="C16" s="1870" t="s">
        <v>1329</v>
      </c>
      <c r="D16" s="2464" t="s">
        <v>1670</v>
      </c>
      <c r="E16" s="2464"/>
      <c r="F16" s="2464"/>
    </row>
    <row r="17" spans="1:6" ht="20.45" customHeight="1" x14ac:dyDescent="0.2">
      <c r="A17" s="1283"/>
      <c r="B17" s="1284" t="s">
        <v>2147</v>
      </c>
      <c r="C17" s="1285" t="s">
        <v>2139</v>
      </c>
      <c r="D17" s="2465"/>
      <c r="E17" s="2465"/>
      <c r="F17" s="2465"/>
    </row>
    <row r="18" spans="1:6" ht="20.65" customHeight="1" x14ac:dyDescent="0.2">
      <c r="A18" s="1283"/>
      <c r="B18" s="1960" t="s">
        <v>2148</v>
      </c>
      <c r="C18" s="1285"/>
      <c r="D18" s="2462">
        <v>25462</v>
      </c>
      <c r="E18" s="2462"/>
      <c r="F18" s="2462"/>
    </row>
    <row r="19" spans="1:6" ht="20.65" customHeight="1" x14ac:dyDescent="0.2">
      <c r="A19" s="1283"/>
      <c r="B19" s="1960" t="s">
        <v>2149</v>
      </c>
      <c r="C19" s="1285"/>
      <c r="D19" s="2462">
        <v>1444</v>
      </c>
      <c r="E19" s="2462"/>
      <c r="F19" s="2462"/>
    </row>
    <row r="20" spans="1:6" ht="20.65" customHeight="1" x14ac:dyDescent="0.2">
      <c r="A20" s="1283"/>
      <c r="B20" s="1960" t="s">
        <v>2150</v>
      </c>
      <c r="C20" s="1285"/>
      <c r="D20" s="2462">
        <v>5184</v>
      </c>
      <c r="E20" s="2462"/>
      <c r="F20" s="2462"/>
    </row>
    <row r="21" spans="1:6" ht="20.65" customHeight="1" x14ac:dyDescent="0.2">
      <c r="A21" s="1283"/>
      <c r="B21" s="1960" t="s">
        <v>2151</v>
      </c>
      <c r="C21" s="1285"/>
      <c r="D21" s="2462">
        <v>30005</v>
      </c>
      <c r="E21" s="2462"/>
      <c r="F21" s="2462"/>
    </row>
    <row r="22" spans="1:6" ht="20.65" customHeight="1" x14ac:dyDescent="0.2">
      <c r="A22" s="1283"/>
      <c r="B22" s="1961" t="s">
        <v>158</v>
      </c>
      <c r="C22" s="1285" t="s">
        <v>2139</v>
      </c>
      <c r="D22" s="2462">
        <f>SUM(D18:F21)</f>
        <v>62095</v>
      </c>
      <c r="E22" s="2462"/>
      <c r="F22" s="2462"/>
    </row>
    <row r="23" spans="1:6" ht="20.65" customHeight="1" x14ac:dyDescent="0.2">
      <c r="A23" s="1283"/>
      <c r="B23" s="1284" t="s">
        <v>2152</v>
      </c>
      <c r="C23" s="1285" t="s">
        <v>2140</v>
      </c>
      <c r="D23" s="2462"/>
      <c r="E23" s="2462"/>
      <c r="F23" s="2462"/>
    </row>
    <row r="24" spans="1:6" ht="20.65" customHeight="1" x14ac:dyDescent="0.2">
      <c r="A24" s="1283"/>
      <c r="B24" s="1960" t="s">
        <v>2148</v>
      </c>
      <c r="C24" s="1285"/>
      <c r="D24" s="2462">
        <v>625</v>
      </c>
      <c r="E24" s="2462"/>
      <c r="F24" s="2462"/>
    </row>
    <row r="25" spans="1:6" ht="20.65" customHeight="1" x14ac:dyDescent="0.2">
      <c r="A25" s="1283"/>
      <c r="B25" s="1960" t="s">
        <v>2151</v>
      </c>
      <c r="C25" s="1285"/>
      <c r="D25" s="2466">
        <v>2091</v>
      </c>
      <c r="E25" s="2467"/>
      <c r="F25" s="2468"/>
    </row>
    <row r="26" spans="1:6" ht="20.65" customHeight="1" x14ac:dyDescent="0.2">
      <c r="A26" s="1283"/>
      <c r="B26" s="1961" t="s">
        <v>158</v>
      </c>
      <c r="C26" s="1285" t="s">
        <v>2140</v>
      </c>
      <c r="D26" s="2470">
        <f>SUM(D24:F25)</f>
        <v>2716</v>
      </c>
      <c r="E26" s="2470"/>
      <c r="F26" s="2470"/>
    </row>
    <row r="27" spans="1:6" ht="12" customHeight="1" x14ac:dyDescent="0.2">
      <c r="A27" s="328"/>
      <c r="B27" s="328"/>
      <c r="C27" s="1478"/>
      <c r="D27" s="1927"/>
      <c r="E27" s="1286"/>
    </row>
    <row r="28" spans="1:6" ht="12" customHeight="1" x14ac:dyDescent="0.2">
      <c r="A28" s="1287" t="s">
        <v>1630</v>
      </c>
      <c r="B28" s="328"/>
      <c r="C28" s="1478"/>
      <c r="D28" s="1927"/>
      <c r="E28" s="1286"/>
    </row>
    <row r="29" spans="1:6" ht="30" customHeight="1" x14ac:dyDescent="0.2">
      <c r="A29" s="2471" t="s">
        <v>2158</v>
      </c>
      <c r="B29" s="2471"/>
      <c r="C29" s="2471"/>
      <c r="D29" s="2471"/>
      <c r="E29" s="2471"/>
      <c r="F29" s="2471"/>
    </row>
    <row r="30" spans="1:6" ht="13.5" customHeight="1" x14ac:dyDescent="0.2">
      <c r="A30" s="328" t="s">
        <v>1509</v>
      </c>
      <c r="B30" s="328"/>
      <c r="C30" s="1288">
        <v>0</v>
      </c>
      <c r="D30" s="1927"/>
      <c r="E30" s="1286"/>
    </row>
    <row r="31" spans="1:6" ht="13.5" customHeight="1" x14ac:dyDescent="0.2">
      <c r="A31" s="328" t="s">
        <v>1945</v>
      </c>
      <c r="B31" s="328"/>
      <c r="C31" s="1289">
        <v>0</v>
      </c>
      <c r="D31" s="1927" t="s">
        <v>1671</v>
      </c>
      <c r="E31" s="2472">
        <f>+C30+C31</f>
        <v>0</v>
      </c>
      <c r="F31" s="2473"/>
    </row>
    <row r="32" spans="1:6" ht="12" customHeight="1" x14ac:dyDescent="0.2">
      <c r="A32" s="328"/>
      <c r="B32" s="328"/>
      <c r="C32" s="1928"/>
      <c r="D32" s="1927"/>
      <c r="E32" s="1290"/>
      <c r="F32" s="1291"/>
    </row>
    <row r="33" spans="1:6" ht="13.5" customHeight="1" x14ac:dyDescent="0.2">
      <c r="A33" s="1287" t="s">
        <v>1631</v>
      </c>
      <c r="B33" s="328"/>
      <c r="C33" s="1478"/>
      <c r="D33" s="1927"/>
      <c r="E33" s="1286"/>
    </row>
    <row r="34" spans="1:6" ht="14.25" customHeight="1" x14ac:dyDescent="0.2">
      <c r="A34" s="328" t="s">
        <v>1563</v>
      </c>
      <c r="B34" s="328"/>
      <c r="C34" s="1929"/>
      <c r="D34" s="1927"/>
      <c r="E34" s="1286"/>
    </row>
    <row r="35" spans="1:6" ht="14.25" customHeight="1" x14ac:dyDescent="0.2">
      <c r="A35" s="328"/>
      <c r="B35" s="328" t="s">
        <v>1510</v>
      </c>
      <c r="C35" s="1292" t="s">
        <v>593</v>
      </c>
      <c r="D35" s="1927"/>
      <c r="E35" s="1286"/>
    </row>
    <row r="36" spans="1:6" ht="14.25" customHeight="1" x14ac:dyDescent="0.2">
      <c r="A36" s="328"/>
      <c r="B36" s="328" t="s">
        <v>1511</v>
      </c>
      <c r="C36" s="1292" t="s">
        <v>401</v>
      </c>
      <c r="D36" s="1927"/>
      <c r="E36" s="1286"/>
    </row>
    <row r="37" spans="1:6" ht="14.25" customHeight="1" x14ac:dyDescent="0.2">
      <c r="A37" s="328"/>
      <c r="B37" s="328" t="s">
        <v>1512</v>
      </c>
      <c r="C37" s="1292" t="s">
        <v>593</v>
      </c>
      <c r="D37" s="1927"/>
      <c r="E37" s="1286"/>
    </row>
    <row r="38" spans="1:6" ht="14.25" customHeight="1" x14ac:dyDescent="0.2">
      <c r="A38" s="328"/>
      <c r="B38" s="328" t="s">
        <v>1513</v>
      </c>
      <c r="C38" s="1292" t="s">
        <v>593</v>
      </c>
      <c r="D38" s="1927"/>
      <c r="E38" s="1286"/>
    </row>
    <row r="39" spans="1:6" ht="14.25" customHeight="1" x14ac:dyDescent="0.2">
      <c r="A39" s="328" t="s">
        <v>1514</v>
      </c>
      <c r="B39" s="328"/>
      <c r="C39" s="1925" t="s">
        <v>401</v>
      </c>
      <c r="D39" s="1927"/>
      <c r="E39" s="1286"/>
    </row>
    <row r="40" spans="1:6" ht="14.25" customHeight="1" x14ac:dyDescent="0.2">
      <c r="A40" s="328" t="s">
        <v>1515</v>
      </c>
      <c r="B40" s="328"/>
      <c r="C40" s="1293" t="s">
        <v>401</v>
      </c>
      <c r="D40" s="1927"/>
      <c r="E40" s="1286"/>
    </row>
    <row r="41" spans="1:6" ht="14.25" customHeight="1" x14ac:dyDescent="0.2">
      <c r="A41" s="328"/>
      <c r="B41" s="328"/>
      <c r="C41" s="1929" t="s">
        <v>1516</v>
      </c>
      <c r="D41" s="1927"/>
      <c r="E41" s="1286"/>
    </row>
    <row r="42" spans="1:6" ht="13.5" customHeight="1" x14ac:dyDescent="0.2">
      <c r="B42" s="322"/>
      <c r="C42" s="1294"/>
      <c r="D42" s="1294"/>
    </row>
    <row r="43" spans="1:6" x14ac:dyDescent="0.2">
      <c r="A43" s="1295" t="s">
        <v>1833</v>
      </c>
      <c r="C43" s="317"/>
      <c r="D43" s="317"/>
    </row>
    <row r="44" spans="1:6" s="322" customFormat="1" ht="11.25" customHeight="1" x14ac:dyDescent="0.2">
      <c r="A44" s="1296"/>
      <c r="B44" s="1297"/>
      <c r="C44" s="1297"/>
      <c r="D44" s="1297"/>
      <c r="E44" s="1297"/>
      <c r="F44" s="1297"/>
    </row>
    <row r="45" spans="1:6" s="322" customFormat="1" ht="6" customHeight="1" x14ac:dyDescent="0.2">
      <c r="A45" s="1298"/>
    </row>
    <row r="46" spans="1:6" s="1300" customFormat="1" ht="23.25" customHeight="1" x14ac:dyDescent="0.2">
      <c r="A46" s="1299">
        <v>5</v>
      </c>
      <c r="B46" s="2474" t="s">
        <v>1672</v>
      </c>
      <c r="C46" s="2474"/>
      <c r="D46" s="2474"/>
      <c r="E46" s="1399"/>
    </row>
    <row r="47" spans="1:6" s="1300" customFormat="1" ht="3.75" customHeight="1" x14ac:dyDescent="0.2">
      <c r="A47" s="1299"/>
      <c r="B47" s="1869"/>
      <c r="C47" s="1869"/>
      <c r="D47" s="1869"/>
      <c r="E47" s="1399"/>
    </row>
    <row r="48" spans="1:6" s="1300" customFormat="1" ht="20.25" customHeight="1" x14ac:dyDescent="0.2">
      <c r="A48" s="1301">
        <v>6</v>
      </c>
      <c r="B48" s="2469" t="s">
        <v>1632</v>
      </c>
      <c r="C48" s="2469"/>
      <c r="D48" s="2469"/>
    </row>
    <row r="49" spans="1:4" ht="14.25" customHeight="1" x14ac:dyDescent="0.2">
      <c r="A49" s="1301"/>
      <c r="B49" s="2469"/>
      <c r="C49" s="2469"/>
      <c r="D49" s="2469"/>
    </row>
  </sheetData>
  <mergeCells count="23">
    <mergeCell ref="D25:F25"/>
    <mergeCell ref="B48:D48"/>
    <mergeCell ref="B49:D49"/>
    <mergeCell ref="D26:F26"/>
    <mergeCell ref="A29:F29"/>
    <mergeCell ref="E31:F31"/>
    <mergeCell ref="B46:D46"/>
    <mergeCell ref="D24:F24"/>
    <mergeCell ref="D15:F15"/>
    <mergeCell ref="D16:F16"/>
    <mergeCell ref="D17:F17"/>
    <mergeCell ref="D18:F18"/>
    <mergeCell ref="D19:F19"/>
    <mergeCell ref="D20:F20"/>
    <mergeCell ref="D21:F21"/>
    <mergeCell ref="D22:F22"/>
    <mergeCell ref="D23:F23"/>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5"/>
  <sheetViews>
    <sheetView showGridLines="0" topLeftCell="A10" zoomScaleNormal="100" workbookViewId="0">
      <selection activeCell="I29" sqref="I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South Eastern SpEd Program</v>
      </c>
      <c r="C1" s="2475"/>
      <c r="D1" s="2475"/>
      <c r="E1" s="2475"/>
      <c r="F1" s="2475"/>
      <c r="G1" s="2475"/>
      <c r="H1" s="2475"/>
      <c r="I1" s="2475"/>
      <c r="J1" s="2475"/>
      <c r="K1" s="2475"/>
      <c r="L1" s="2475"/>
      <c r="M1" s="2475"/>
    </row>
    <row r="2" spans="2:14" ht="15" x14ac:dyDescent="0.2">
      <c r="B2" s="2459">
        <f>'Single Audit Cover'!E7</f>
        <v>12017801060</v>
      </c>
      <c r="C2" s="2459"/>
      <c r="D2" s="2459"/>
      <c r="E2" s="2459"/>
      <c r="F2" s="2459"/>
      <c r="G2" s="2459"/>
      <c r="H2" s="2459"/>
      <c r="I2" s="2459"/>
      <c r="J2" s="2459"/>
      <c r="K2" s="2459"/>
      <c r="L2" s="2459"/>
      <c r="M2" s="2459"/>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2130</v>
      </c>
      <c r="C11" s="1338"/>
      <c r="D11" s="1339"/>
      <c r="E11" s="1340"/>
      <c r="F11" s="1340"/>
      <c r="G11" s="1340"/>
      <c r="H11" s="1340"/>
      <c r="I11" s="1340"/>
      <c r="J11" s="1340"/>
      <c r="K11" s="1340"/>
      <c r="L11" s="1340">
        <f>+G11+I11+K11</f>
        <v>0</v>
      </c>
      <c r="M11" s="1340"/>
    </row>
    <row r="12" spans="2:14" ht="20.100000000000001" customHeight="1" x14ac:dyDescent="0.2">
      <c r="B12" s="1958" t="s">
        <v>2131</v>
      </c>
      <c r="C12" s="1341"/>
      <c r="D12" s="1342"/>
      <c r="E12" s="1343"/>
      <c r="F12" s="1343"/>
      <c r="G12" s="1343"/>
      <c r="H12" s="1343"/>
      <c r="I12" s="1343"/>
      <c r="J12" s="1343"/>
      <c r="K12" s="1343"/>
      <c r="L12" s="1340">
        <f t="shared" ref="L12:L26" si="0">+G12+I12+K12</f>
        <v>0</v>
      </c>
      <c r="M12" s="1343"/>
    </row>
    <row r="13" spans="2:14" ht="20.100000000000001" customHeight="1" x14ac:dyDescent="0.2">
      <c r="B13" s="1958" t="s">
        <v>2164</v>
      </c>
      <c r="C13" s="1341"/>
      <c r="D13" s="1342"/>
      <c r="E13" s="1343"/>
      <c r="F13" s="1343"/>
      <c r="G13" s="1343"/>
      <c r="H13" s="1343"/>
      <c r="I13" s="1343"/>
      <c r="J13" s="1343"/>
      <c r="K13" s="1343"/>
      <c r="L13" s="1340"/>
      <c r="M13" s="1343"/>
    </row>
    <row r="14" spans="2:14" ht="20.100000000000001" customHeight="1" x14ac:dyDescent="0.2">
      <c r="B14" s="1959" t="s">
        <v>2132</v>
      </c>
      <c r="C14" s="1341" t="s">
        <v>2139</v>
      </c>
      <c r="D14" s="1342" t="s">
        <v>2141</v>
      </c>
      <c r="E14" s="1343"/>
      <c r="F14" s="1343">
        <v>1883627</v>
      </c>
      <c r="G14" s="1343"/>
      <c r="H14" s="1343"/>
      <c r="I14" s="1343">
        <v>2173519</v>
      </c>
      <c r="J14" s="1343"/>
      <c r="K14" s="1343">
        <v>383086</v>
      </c>
      <c r="L14" s="1340">
        <f t="shared" si="0"/>
        <v>2556605</v>
      </c>
      <c r="M14" s="1343">
        <v>2737937</v>
      </c>
    </row>
    <row r="15" spans="2:14" ht="20.100000000000001" customHeight="1" x14ac:dyDescent="0.2">
      <c r="B15" s="1959" t="s">
        <v>2133</v>
      </c>
      <c r="C15" s="1341" t="s">
        <v>2139</v>
      </c>
      <c r="D15" s="1342" t="s">
        <v>2142</v>
      </c>
      <c r="E15" s="1343">
        <v>2227993</v>
      </c>
      <c r="F15" s="1343">
        <v>568220</v>
      </c>
      <c r="G15" s="1343">
        <v>2410875</v>
      </c>
      <c r="H15" s="1343"/>
      <c r="I15" s="1343">
        <v>385338</v>
      </c>
      <c r="J15" s="1343"/>
      <c r="K15" s="1343"/>
      <c r="L15" s="1340">
        <f t="shared" si="0"/>
        <v>2796213</v>
      </c>
      <c r="M15" s="1343">
        <v>2863385</v>
      </c>
    </row>
    <row r="16" spans="2:14" ht="20.100000000000001" customHeight="1" x14ac:dyDescent="0.2">
      <c r="B16" s="1959" t="s">
        <v>2134</v>
      </c>
      <c r="C16" s="1341" t="s">
        <v>2139</v>
      </c>
      <c r="D16" s="1342" t="s">
        <v>2143</v>
      </c>
      <c r="E16" s="1343"/>
      <c r="F16" s="1343">
        <v>62095</v>
      </c>
      <c r="G16" s="1343"/>
      <c r="H16" s="1343"/>
      <c r="I16" s="1343"/>
      <c r="J16" s="1343">
        <v>62095</v>
      </c>
      <c r="K16" s="1343"/>
      <c r="L16" s="1340">
        <f t="shared" si="0"/>
        <v>0</v>
      </c>
      <c r="M16" s="1343"/>
    </row>
    <row r="17" spans="2:14" ht="20.100000000000001" customHeight="1" x14ac:dyDescent="0.2">
      <c r="B17" s="1959" t="s">
        <v>2135</v>
      </c>
      <c r="C17" s="1341" t="s">
        <v>2139</v>
      </c>
      <c r="D17" s="1342" t="s">
        <v>2144</v>
      </c>
      <c r="E17" s="1343">
        <v>39064</v>
      </c>
      <c r="F17" s="1343"/>
      <c r="G17" s="1343"/>
      <c r="H17" s="1343">
        <v>39064</v>
      </c>
      <c r="I17" s="1343"/>
      <c r="J17" s="1343"/>
      <c r="K17" s="1343"/>
      <c r="L17" s="1340">
        <f t="shared" si="0"/>
        <v>0</v>
      </c>
      <c r="M17" s="1343"/>
    </row>
    <row r="18" spans="2:14" ht="20.100000000000001" customHeight="1" x14ac:dyDescent="0.2">
      <c r="B18" s="1959" t="s">
        <v>2136</v>
      </c>
      <c r="C18" s="1341" t="s">
        <v>2140</v>
      </c>
      <c r="D18" s="1342" t="s">
        <v>2145</v>
      </c>
      <c r="E18" s="1343"/>
      <c r="F18" s="1343">
        <v>121493</v>
      </c>
      <c r="G18" s="1343"/>
      <c r="H18" s="1343"/>
      <c r="I18" s="1343">
        <v>130903</v>
      </c>
      <c r="J18" s="1343"/>
      <c r="K18" s="1343">
        <v>12036</v>
      </c>
      <c r="L18" s="1340">
        <f t="shared" si="0"/>
        <v>142939</v>
      </c>
      <c r="M18" s="1343">
        <v>145675</v>
      </c>
    </row>
    <row r="19" spans="2:14" ht="20.100000000000001" customHeight="1" x14ac:dyDescent="0.2">
      <c r="B19" s="1959" t="s">
        <v>2137</v>
      </c>
      <c r="C19" s="1341" t="s">
        <v>2140</v>
      </c>
      <c r="D19" s="1342" t="s">
        <v>2146</v>
      </c>
      <c r="E19" s="1343">
        <v>113164</v>
      </c>
      <c r="F19" s="1343">
        <v>17764</v>
      </c>
      <c r="G19" s="1343">
        <v>121396</v>
      </c>
      <c r="H19" s="1343"/>
      <c r="I19" s="1343">
        <v>9532</v>
      </c>
      <c r="J19" s="1343"/>
      <c r="K19" s="1343"/>
      <c r="L19" s="1340">
        <f t="shared" si="0"/>
        <v>130928</v>
      </c>
      <c r="M19" s="1343">
        <v>139353</v>
      </c>
    </row>
    <row r="20" spans="2:14" ht="20.100000000000001" customHeight="1" x14ac:dyDescent="0.2">
      <c r="B20" s="1959" t="s">
        <v>2136</v>
      </c>
      <c r="C20" s="1341" t="s">
        <v>2140</v>
      </c>
      <c r="D20" s="1342" t="s">
        <v>2143</v>
      </c>
      <c r="E20" s="1343"/>
      <c r="F20" s="1343">
        <v>2716</v>
      </c>
      <c r="G20" s="1343"/>
      <c r="H20" s="1343"/>
      <c r="I20" s="1343"/>
      <c r="J20" s="1343">
        <v>2716</v>
      </c>
      <c r="K20" s="1343"/>
      <c r="L20" s="1340">
        <f t="shared" si="0"/>
        <v>0</v>
      </c>
      <c r="M20" s="1343"/>
    </row>
    <row r="21" spans="2:14" ht="20.100000000000001" customHeight="1" x14ac:dyDescent="0.2">
      <c r="B21" s="1959" t="s">
        <v>2137</v>
      </c>
      <c r="C21" s="1341" t="s">
        <v>2140</v>
      </c>
      <c r="D21" s="1342" t="s">
        <v>2144</v>
      </c>
      <c r="E21" s="1962">
        <v>4460</v>
      </c>
      <c r="F21" s="1962"/>
      <c r="G21" s="1962"/>
      <c r="H21" s="1962">
        <v>4460</v>
      </c>
      <c r="I21" s="1962"/>
      <c r="J21" s="1962"/>
      <c r="K21" s="1962"/>
      <c r="L21" s="1962">
        <f t="shared" si="0"/>
        <v>0</v>
      </c>
      <c r="M21" s="1343"/>
    </row>
    <row r="22" spans="2:14" ht="20.100000000000001" customHeight="1" x14ac:dyDescent="0.2">
      <c r="B22" s="1958" t="s">
        <v>2167</v>
      </c>
      <c r="C22" s="1341"/>
      <c r="D22" s="1342"/>
      <c r="E22" s="1964">
        <f>SUM(E14:E21)</f>
        <v>2384681</v>
      </c>
      <c r="F22" s="1964">
        <f t="shared" ref="F22:L22" si="1">SUM(F14:F21)</f>
        <v>2655915</v>
      </c>
      <c r="G22" s="1964">
        <f t="shared" si="1"/>
        <v>2532271</v>
      </c>
      <c r="H22" s="1964">
        <f t="shared" si="1"/>
        <v>43524</v>
      </c>
      <c r="I22" s="1964">
        <f t="shared" si="1"/>
        <v>2699292</v>
      </c>
      <c r="J22" s="1964">
        <f t="shared" si="1"/>
        <v>64811</v>
      </c>
      <c r="K22" s="1964">
        <f t="shared" si="1"/>
        <v>395122</v>
      </c>
      <c r="L22" s="1964">
        <f t="shared" si="1"/>
        <v>5626685</v>
      </c>
      <c r="M22" s="1343"/>
    </row>
    <row r="23" spans="2:14" ht="20.100000000000001" customHeight="1" x14ac:dyDescent="0.2">
      <c r="B23" s="1959" t="s">
        <v>2168</v>
      </c>
      <c r="C23" s="1341"/>
      <c r="D23" s="1342"/>
      <c r="E23" s="1964">
        <f>E22</f>
        <v>2384681</v>
      </c>
      <c r="F23" s="1964">
        <f t="shared" ref="F23:L23" si="2">F22</f>
        <v>2655915</v>
      </c>
      <c r="G23" s="1964">
        <f t="shared" si="2"/>
        <v>2532271</v>
      </c>
      <c r="H23" s="1964">
        <f t="shared" si="2"/>
        <v>43524</v>
      </c>
      <c r="I23" s="1964">
        <f t="shared" si="2"/>
        <v>2699292</v>
      </c>
      <c r="J23" s="1964">
        <f t="shared" si="2"/>
        <v>64811</v>
      </c>
      <c r="K23" s="1964">
        <f t="shared" si="2"/>
        <v>395122</v>
      </c>
      <c r="L23" s="1964">
        <f t="shared" si="2"/>
        <v>5626685</v>
      </c>
      <c r="M23" s="1343"/>
    </row>
    <row r="24" spans="2:14" ht="20.100000000000001" customHeight="1" x14ac:dyDescent="0.2">
      <c r="B24" s="1337" t="s">
        <v>2165</v>
      </c>
      <c r="C24" s="1341"/>
      <c r="D24" s="1342"/>
      <c r="E24" s="1340"/>
      <c r="F24" s="1343"/>
      <c r="G24" s="1343"/>
      <c r="H24" s="1343"/>
      <c r="I24" s="1343"/>
      <c r="J24" s="1343"/>
      <c r="K24" s="1343"/>
      <c r="L24" s="1340">
        <f t="shared" si="0"/>
        <v>0</v>
      </c>
      <c r="M24" s="1343"/>
    </row>
    <row r="25" spans="2:14" ht="20.100000000000001" customHeight="1" x14ac:dyDescent="0.2">
      <c r="B25" s="1958" t="s">
        <v>2166</v>
      </c>
      <c r="C25" s="1341"/>
      <c r="D25" s="1342"/>
      <c r="E25" s="1343"/>
      <c r="F25" s="1343"/>
      <c r="G25" s="1343"/>
      <c r="H25" s="1343"/>
      <c r="I25" s="1343"/>
      <c r="J25" s="1343"/>
      <c r="K25" s="1343"/>
      <c r="L25" s="1340">
        <f t="shared" si="0"/>
        <v>0</v>
      </c>
      <c r="M25" s="1343"/>
    </row>
    <row r="26" spans="2:14" ht="20.100000000000001" customHeight="1" x14ac:dyDescent="0.2">
      <c r="B26" s="1959" t="s">
        <v>2138</v>
      </c>
      <c r="C26" s="1341">
        <v>93.778000000000006</v>
      </c>
      <c r="D26" s="1342" t="s">
        <v>2096</v>
      </c>
      <c r="E26" s="1962">
        <v>55266</v>
      </c>
      <c r="F26" s="1962">
        <v>54696</v>
      </c>
      <c r="G26" s="1962">
        <v>60086</v>
      </c>
      <c r="H26" s="1962"/>
      <c r="I26" s="1962">
        <v>55618</v>
      </c>
      <c r="J26" s="1962"/>
      <c r="K26" s="1962"/>
      <c r="L26" s="1962">
        <f t="shared" si="0"/>
        <v>115704</v>
      </c>
      <c r="M26" s="1343"/>
    </row>
    <row r="27" spans="2:14" ht="20.100000000000001" customHeight="1" thickBot="1" x14ac:dyDescent="0.25">
      <c r="B27" s="1337" t="s">
        <v>1223</v>
      </c>
      <c r="C27" s="1341"/>
      <c r="D27" s="1342"/>
      <c r="E27" s="1963">
        <f>E23+E26</f>
        <v>2439947</v>
      </c>
      <c r="F27" s="1963">
        <f t="shared" ref="F27:L27" si="3">F23+F26</f>
        <v>2710611</v>
      </c>
      <c r="G27" s="1963">
        <f t="shared" si="3"/>
        <v>2592357</v>
      </c>
      <c r="H27" s="1963">
        <f t="shared" si="3"/>
        <v>43524</v>
      </c>
      <c r="I27" s="1963">
        <f t="shared" si="3"/>
        <v>2754910</v>
      </c>
      <c r="J27" s="1963">
        <f t="shared" si="3"/>
        <v>64811</v>
      </c>
      <c r="K27" s="1963">
        <f t="shared" si="3"/>
        <v>395122</v>
      </c>
      <c r="L27" s="1963">
        <f t="shared" si="3"/>
        <v>5742389</v>
      </c>
      <c r="M27" s="1343"/>
    </row>
    <row r="28" spans="2:14" ht="20.100000000000001" customHeight="1" thickTop="1" x14ac:dyDescent="0.2">
      <c r="B28" s="1337"/>
      <c r="C28" s="1341"/>
      <c r="D28" s="1342"/>
      <c r="E28" s="1340"/>
      <c r="F28" s="1343"/>
      <c r="G28" s="1343"/>
      <c r="H28" s="1343"/>
      <c r="I28" s="1343"/>
      <c r="J28" s="1343"/>
      <c r="K28" s="1343"/>
      <c r="L28" s="1340"/>
      <c r="M28" s="1343"/>
    </row>
    <row r="29" spans="2:14" ht="20.100000000000001" customHeight="1" x14ac:dyDescent="0.2">
      <c r="B29" s="1337"/>
      <c r="C29" s="1341"/>
      <c r="D29" s="1342"/>
      <c r="E29" s="1343"/>
      <c r="F29" s="1343"/>
      <c r="G29" s="1343"/>
      <c r="H29" s="1343"/>
      <c r="I29" s="1343"/>
      <c r="J29" s="1343"/>
      <c r="K29" s="1343"/>
      <c r="L29" s="1340"/>
      <c r="M29" s="1343"/>
    </row>
    <row r="30" spans="2:14" ht="20.100000000000001" customHeight="1" x14ac:dyDescent="0.2">
      <c r="B30" s="1337"/>
      <c r="C30" s="1341"/>
      <c r="D30" s="1342"/>
      <c r="E30" s="1343"/>
      <c r="F30" s="1343"/>
      <c r="G30" s="1343"/>
      <c r="H30" s="1343"/>
      <c r="I30" s="1343"/>
      <c r="J30" s="1343"/>
      <c r="K30" s="1343"/>
      <c r="L30" s="1340"/>
      <c r="M30" s="1343"/>
      <c r="N30" s="1344"/>
    </row>
    <row r="31" spans="2:14" ht="12.75" customHeight="1" x14ac:dyDescent="0.2">
      <c r="B31" s="1345"/>
      <c r="C31" s="1346"/>
      <c r="D31" s="1347"/>
      <c r="E31" s="1348"/>
      <c r="F31" s="1348"/>
      <c r="G31" s="1348"/>
      <c r="H31" s="1348"/>
      <c r="I31" s="1348"/>
      <c r="J31" s="1348"/>
      <c r="K31" s="1348"/>
      <c r="L31" s="1348"/>
      <c r="M31" s="1348"/>
      <c r="N31" s="1344"/>
    </row>
    <row r="32" spans="2:14" x14ac:dyDescent="0.2">
      <c r="B32" s="1257"/>
      <c r="C32" s="1349"/>
      <c r="D32" s="1350"/>
      <c r="E32" s="1257"/>
      <c r="F32" s="1257"/>
      <c r="G32" s="1250"/>
      <c r="H32" s="1250"/>
      <c r="I32" s="1250"/>
      <c r="J32" s="1250"/>
      <c r="K32" s="1250"/>
      <c r="L32" s="1250"/>
      <c r="M32" s="1257"/>
      <c r="N32" s="1344"/>
    </row>
    <row r="33" spans="2:14" ht="13.5" customHeight="1" x14ac:dyDescent="0.2">
      <c r="B33" s="1282" t="s">
        <v>1837</v>
      </c>
      <c r="C33" s="1349"/>
      <c r="D33" s="1350"/>
      <c r="E33" s="1257"/>
      <c r="F33" s="1257"/>
      <c r="G33" s="1250"/>
      <c r="H33" s="1250"/>
      <c r="I33" s="1250"/>
      <c r="J33" s="1250"/>
      <c r="K33" s="1250"/>
      <c r="L33" s="1250"/>
      <c r="M33" s="1257"/>
      <c r="N33" s="1344"/>
    </row>
    <row r="34" spans="2:14" ht="8.25" customHeight="1" x14ac:dyDescent="0.2">
      <c r="B34" s="1282"/>
      <c r="C34" s="1349"/>
      <c r="D34" s="1350"/>
      <c r="E34" s="1257"/>
      <c r="F34" s="1257"/>
      <c r="G34" s="1250"/>
      <c r="H34" s="1250"/>
      <c r="I34" s="1250"/>
      <c r="J34" s="1250"/>
      <c r="K34" s="1250"/>
      <c r="L34" s="1250"/>
      <c r="M34" s="1257"/>
      <c r="N34" s="1344"/>
    </row>
    <row r="35" spans="2:14" x14ac:dyDescent="0.2">
      <c r="B35" s="1351" t="s">
        <v>1947</v>
      </c>
      <c r="C35" s="1352"/>
      <c r="D35" s="1353"/>
      <c r="E35" s="1354"/>
      <c r="F35" s="1354"/>
      <c r="G35" s="1354"/>
      <c r="H35" s="1354"/>
      <c r="I35" s="317"/>
      <c r="J35" s="317"/>
    </row>
    <row r="36" spans="2:14" x14ac:dyDescent="0.2">
      <c r="B36" s="1277"/>
      <c r="C36" s="1355"/>
      <c r="D36" s="1356"/>
      <c r="E36" s="1278"/>
      <c r="F36" s="1278"/>
      <c r="G36" s="317"/>
      <c r="H36" s="317"/>
      <c r="I36" s="317"/>
      <c r="J36" s="317"/>
    </row>
    <row r="37" spans="2:14" ht="13.5" customHeight="1" x14ac:dyDescent="0.2">
      <c r="B37" s="1276" t="s">
        <v>1308</v>
      </c>
      <c r="G37" s="317"/>
      <c r="H37" s="317"/>
      <c r="I37" s="317"/>
      <c r="J37" s="317"/>
    </row>
    <row r="38" spans="2:14" ht="13.5" customHeight="1" x14ac:dyDescent="0.2">
      <c r="B38" s="1359"/>
      <c r="C38" s="1360"/>
      <c r="D38" s="1361"/>
      <c r="E38" s="1297"/>
      <c r="F38" s="1297"/>
      <c r="G38" s="1297"/>
      <c r="H38" s="1297"/>
      <c r="I38" s="1297"/>
      <c r="J38" s="1297"/>
      <c r="K38" s="1362"/>
      <c r="L38" s="1362"/>
      <c r="M38" s="1297"/>
    </row>
    <row r="39" spans="2:14" ht="9.6" customHeight="1" x14ac:dyDescent="0.2">
      <c r="B39" s="1363"/>
      <c r="G39" s="317"/>
      <c r="H39" s="317"/>
      <c r="I39" s="317"/>
      <c r="J39" s="317"/>
    </row>
    <row r="40" spans="2:14" ht="11.25" customHeight="1" x14ac:dyDescent="0.2">
      <c r="B40" s="1364" t="s">
        <v>1838</v>
      </c>
      <c r="C40" s="1365"/>
      <c r="D40" s="1365"/>
      <c r="E40" s="1365"/>
      <c r="F40" s="1365"/>
      <c r="G40" s="1365"/>
      <c r="H40" s="1365"/>
      <c r="I40" s="1366"/>
      <c r="J40" s="1366"/>
      <c r="K40" s="1366"/>
      <c r="L40" s="1366"/>
      <c r="M40" s="1366"/>
    </row>
    <row r="41" spans="2:14" ht="11.25" customHeight="1" x14ac:dyDescent="0.2">
      <c r="B41" s="1367" t="s">
        <v>1666</v>
      </c>
      <c r="C41" s="1366"/>
      <c r="D41" s="1366"/>
      <c r="E41" s="1366"/>
      <c r="F41" s="1366"/>
      <c r="G41" s="1366"/>
      <c r="H41" s="1366"/>
      <c r="I41" s="1366"/>
      <c r="J41" s="1366"/>
      <c r="K41" s="1366"/>
      <c r="L41" s="1366"/>
      <c r="M41" s="1366"/>
    </row>
    <row r="42" spans="2:14" ht="3.95" customHeight="1" x14ac:dyDescent="0.2">
      <c r="B42" s="1367"/>
      <c r="C42" s="1366"/>
      <c r="D42" s="1366"/>
      <c r="E42" s="1366"/>
      <c r="F42" s="1366"/>
      <c r="G42" s="1366"/>
      <c r="H42" s="1366"/>
      <c r="I42" s="1366"/>
      <c r="J42" s="1366"/>
      <c r="K42" s="1366"/>
      <c r="L42" s="1366"/>
      <c r="M42" s="1366"/>
    </row>
    <row r="43" spans="2:14" ht="11.25" customHeight="1" x14ac:dyDescent="0.2">
      <c r="B43" s="1364" t="s">
        <v>1839</v>
      </c>
      <c r="C43" s="1366"/>
      <c r="D43" s="1366"/>
      <c r="E43" s="1366"/>
      <c r="F43" s="1366"/>
      <c r="G43" s="1366"/>
      <c r="H43" s="1366"/>
      <c r="I43" s="1366"/>
      <c r="J43" s="1366"/>
      <c r="K43" s="1366"/>
      <c r="L43" s="1366"/>
      <c r="M43" s="1366"/>
    </row>
    <row r="44" spans="2:14" ht="11.25" customHeight="1" x14ac:dyDescent="0.2">
      <c r="B44" s="1300" t="s">
        <v>1667</v>
      </c>
      <c r="C44" s="1368"/>
      <c r="D44" s="1369"/>
      <c r="E44" s="1300"/>
      <c r="F44" s="1300"/>
      <c r="G44" s="1300"/>
      <c r="H44" s="1300"/>
      <c r="I44" s="1300"/>
      <c r="J44" s="1300"/>
      <c r="K44" s="1370"/>
      <c r="L44" s="1370"/>
      <c r="M44" s="1300"/>
    </row>
    <row r="45" spans="2:14" ht="3.95" customHeight="1" x14ac:dyDescent="0.2">
      <c r="B45" s="1300"/>
      <c r="C45" s="1368"/>
      <c r="D45" s="1369"/>
      <c r="E45" s="1300"/>
      <c r="F45" s="1300"/>
      <c r="G45" s="1300"/>
      <c r="H45" s="1300"/>
      <c r="I45" s="1300"/>
      <c r="J45" s="1300"/>
      <c r="K45" s="1370"/>
      <c r="L45" s="1370"/>
      <c r="M45" s="1300"/>
    </row>
    <row r="46" spans="2:14" ht="11.25" customHeight="1" x14ac:dyDescent="0.2">
      <c r="B46" s="1371" t="s">
        <v>1840</v>
      </c>
      <c r="C46" s="1368"/>
      <c r="D46" s="1369"/>
      <c r="E46" s="1300"/>
      <c r="F46" s="1300"/>
      <c r="G46" s="1300"/>
      <c r="H46" s="1300"/>
      <c r="I46" s="1300"/>
      <c r="J46" s="1300"/>
      <c r="K46" s="1370"/>
      <c r="L46" s="1370"/>
      <c r="M46" s="1300"/>
    </row>
    <row r="47" spans="2:14" ht="3.95" customHeight="1" x14ac:dyDescent="0.2">
      <c r="B47" s="1371"/>
      <c r="C47" s="1368"/>
      <c r="D47" s="1369"/>
      <c r="E47" s="1300"/>
      <c r="F47" s="1300"/>
      <c r="G47" s="1300"/>
      <c r="H47" s="1300"/>
      <c r="I47" s="1300"/>
      <c r="J47" s="1300"/>
      <c r="K47" s="1370"/>
      <c r="L47" s="1370"/>
      <c r="M47" s="1300"/>
    </row>
    <row r="48" spans="2:14" ht="11.25" customHeight="1" x14ac:dyDescent="0.2">
      <c r="B48" s="1372" t="s">
        <v>1841</v>
      </c>
      <c r="C48" s="1368"/>
      <c r="D48" s="1369"/>
      <c r="E48" s="1300"/>
      <c r="F48" s="1300"/>
      <c r="G48" s="1300"/>
      <c r="H48" s="1300"/>
      <c r="I48" s="1300"/>
      <c r="J48" s="1300"/>
      <c r="K48" s="1370"/>
      <c r="L48" s="1370"/>
      <c r="M48" s="1300"/>
    </row>
    <row r="49" spans="2:13" ht="11.25" customHeight="1" x14ac:dyDescent="0.2">
      <c r="B49" s="1300" t="s">
        <v>1668</v>
      </c>
      <c r="G49" s="317"/>
      <c r="H49" s="317"/>
      <c r="I49" s="317"/>
      <c r="J49" s="317"/>
    </row>
    <row r="50" spans="2:13" ht="11.1" customHeight="1" x14ac:dyDescent="0.2">
      <c r="B50" s="1300"/>
      <c r="G50" s="317"/>
      <c r="H50" s="317"/>
      <c r="I50" s="317"/>
      <c r="J50" s="317"/>
    </row>
    <row r="51" spans="2:13" ht="11.1" customHeight="1" x14ac:dyDescent="0.2">
      <c r="B51" s="1300"/>
      <c r="G51" s="317"/>
      <c r="H51" s="317"/>
      <c r="I51" s="317"/>
      <c r="J51" s="317"/>
    </row>
    <row r="52" spans="2:13" ht="13.5" customHeight="1" x14ac:dyDescent="0.2">
      <c r="M52" s="1373"/>
    </row>
    <row r="53" spans="2:13" ht="13.5" customHeight="1" x14ac:dyDescent="0.2">
      <c r="M53" s="1373"/>
    </row>
    <row r="54" spans="2:13" ht="13.5" customHeight="1" x14ac:dyDescent="0.2">
      <c r="M54" s="1373"/>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t="s">
        <v>2091</v>
      </c>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2082</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G51" sqref="G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South Eastern SpEd Program</v>
      </c>
      <c r="C1" s="2483"/>
      <c r="D1" s="2483"/>
      <c r="E1" s="2483"/>
      <c r="F1" s="2483"/>
      <c r="G1" s="2483"/>
      <c r="H1" s="2483"/>
      <c r="I1" s="2483"/>
      <c r="J1" s="1422"/>
    </row>
    <row r="2" spans="2:10" s="317" customFormat="1" ht="12.75" customHeight="1" x14ac:dyDescent="0.2">
      <c r="B2" s="2484">
        <f>'Single Audit Cover'!E7</f>
        <v>12017801060</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t="s">
        <v>1226</v>
      </c>
      <c r="D11" s="248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2074</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t="s">
        <v>2161</v>
      </c>
      <c r="E29" s="2489"/>
      <c r="F29" s="2489"/>
      <c r="G29" s="2489"/>
      <c r="H29" s="2489"/>
      <c r="I29" s="2489"/>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0" t="s">
        <v>1851</v>
      </c>
      <c r="D37" s="2491"/>
      <c r="E37" s="2491"/>
      <c r="F37" s="2492"/>
      <c r="G37" s="2490" t="s">
        <v>1674</v>
      </c>
      <c r="H37" s="2491"/>
      <c r="I37" s="2492"/>
    </row>
    <row r="38" spans="2:9" ht="16.5" customHeight="1" x14ac:dyDescent="0.2">
      <c r="B38" s="1444" t="s">
        <v>2162</v>
      </c>
      <c r="C38" s="2478" t="s">
        <v>2163</v>
      </c>
      <c r="D38" s="2479"/>
      <c r="E38" s="2479"/>
      <c r="F38" s="2480"/>
      <c r="G38" s="2493">
        <v>2764103</v>
      </c>
      <c r="H38" s="2494"/>
      <c r="I38" s="2495"/>
    </row>
    <row r="39" spans="2:9" ht="16.5" customHeight="1" x14ac:dyDescent="0.2">
      <c r="B39" s="1444"/>
      <c r="C39" s="2478"/>
      <c r="D39" s="2479"/>
      <c r="E39" s="2479"/>
      <c r="F39" s="2480"/>
      <c r="G39" s="2481"/>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96" t="s">
        <v>1675</v>
      </c>
      <c r="D43" s="2497"/>
      <c r="E43" s="2497"/>
      <c r="F43" s="2498"/>
      <c r="G43" s="2499">
        <f>SUM(G38:I42)</f>
        <v>2764103</v>
      </c>
      <c r="H43" s="2499"/>
      <c r="I43" s="2499"/>
    </row>
    <row r="44" spans="2:9" ht="12.75" customHeight="1" x14ac:dyDescent="0.2"/>
    <row r="45" spans="2:9" ht="12.75" customHeight="1" x14ac:dyDescent="0.2">
      <c r="B45" s="1435" t="s">
        <v>1948</v>
      </c>
      <c r="D45" s="2500">
        <v>2819721</v>
      </c>
      <c r="E45" s="2501"/>
    </row>
    <row r="46" spans="2:9" ht="5.25" customHeight="1" x14ac:dyDescent="0.2">
      <c r="B46" s="1445"/>
      <c r="D46" s="1446"/>
      <c r="E46" s="1447"/>
    </row>
    <row r="47" spans="2:9" ht="12.75" customHeight="1" x14ac:dyDescent="0.2">
      <c r="B47" s="1300" t="s">
        <v>1676</v>
      </c>
      <c r="C47" s="1300"/>
      <c r="D47" s="1448">
        <f>+G43/D45</f>
        <v>0.98027535348355388</v>
      </c>
      <c r="E47" s="1449"/>
      <c r="F47" s="1450"/>
      <c r="I47" s="1451"/>
    </row>
    <row r="48" spans="2:9" ht="9.9499999999999993" customHeight="1" x14ac:dyDescent="0.2"/>
    <row r="49" spans="1:9" x14ac:dyDescent="0.2">
      <c r="B49" s="1368" t="s">
        <v>1335</v>
      </c>
      <c r="C49" s="1282"/>
      <c r="D49" s="1282"/>
      <c r="E49" s="2502">
        <v>750000</v>
      </c>
      <c r="F49" s="2502"/>
      <c r="G49" s="2502"/>
      <c r="H49" s="322"/>
    </row>
    <row r="51" spans="1:9" ht="13.5" customHeight="1" x14ac:dyDescent="0.2">
      <c r="B51" s="1368" t="s">
        <v>1334</v>
      </c>
      <c r="C51" s="1282"/>
      <c r="E51" s="1438" t="s">
        <v>2074</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South Eastern SpEd Program</v>
      </c>
      <c r="C1" s="2482"/>
      <c r="D1" s="2482"/>
      <c r="E1" s="2482"/>
      <c r="F1" s="2482"/>
      <c r="G1" s="2482"/>
      <c r="H1" s="2482"/>
      <c r="I1" s="2482"/>
      <c r="J1" s="2482"/>
      <c r="K1" s="2482"/>
      <c r="L1" s="1374"/>
      <c r="M1" s="1374"/>
    </row>
    <row r="2" spans="1:13" ht="12" customHeight="1" x14ac:dyDescent="0.2">
      <c r="B2" s="2484">
        <f>'Single Audit Cover'!E7</f>
        <v>12017801060</v>
      </c>
      <c r="C2" s="2484"/>
      <c r="D2" s="2484"/>
      <c r="E2" s="2484"/>
      <c r="F2" s="2484"/>
      <c r="G2" s="2484"/>
      <c r="H2" s="2484"/>
      <c r="I2" s="2484"/>
      <c r="J2" s="2484"/>
      <c r="K2" s="2484"/>
      <c r="L2" s="1375"/>
      <c r="M2" s="1376"/>
    </row>
    <row r="3" spans="1:13" ht="10.35" customHeight="1" x14ac:dyDescent="0.2">
      <c r="B3" s="2505" t="s">
        <v>1347</v>
      </c>
      <c r="C3" s="2505"/>
      <c r="D3" s="2505"/>
      <c r="E3" s="2505"/>
      <c r="F3" s="2505"/>
      <c r="G3" s="2505"/>
      <c r="H3" s="2505"/>
      <c r="I3" s="2505"/>
      <c r="J3" s="2505"/>
      <c r="K3" s="2505"/>
      <c r="L3" s="1377"/>
      <c r="M3" s="1377"/>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6" t="s">
        <v>1363</v>
      </c>
      <c r="C7" s="2506"/>
      <c r="D7" s="2507"/>
      <c r="E7" s="2507"/>
      <c r="F7" s="2507"/>
      <c r="G7" s="2507"/>
      <c r="H7" s="2507"/>
      <c r="I7" s="2507"/>
      <c r="J7" s="2507"/>
      <c r="K7" s="250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4" t="s">
        <v>2102</v>
      </c>
      <c r="C14" s="2504"/>
      <c r="D14" s="2504"/>
      <c r="E14" s="2504"/>
      <c r="F14" s="2504"/>
      <c r="G14" s="2504"/>
      <c r="H14" s="2504"/>
      <c r="I14" s="2504"/>
      <c r="J14" s="2504"/>
      <c r="K14" s="250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4" t="s">
        <v>2103</v>
      </c>
      <c r="C17" s="2504"/>
      <c r="D17" s="2504"/>
      <c r="E17" s="2504"/>
      <c r="F17" s="2504"/>
      <c r="G17" s="2504"/>
      <c r="H17" s="2504"/>
      <c r="I17" s="2504"/>
      <c r="J17" s="2504"/>
      <c r="K17" s="250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8" t="s">
        <v>2104</v>
      </c>
      <c r="C20" s="2508"/>
      <c r="D20" s="2504"/>
      <c r="E20" s="2504"/>
      <c r="F20" s="2504"/>
      <c r="G20" s="2504"/>
      <c r="H20" s="2504"/>
      <c r="I20" s="2504"/>
      <c r="J20" s="2504"/>
      <c r="K20" s="250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4" t="s">
        <v>2105</v>
      </c>
      <c r="C23" s="2504"/>
      <c r="D23" s="2504"/>
      <c r="E23" s="2504"/>
      <c r="F23" s="2504"/>
      <c r="G23" s="2504"/>
      <c r="H23" s="2504"/>
      <c r="I23" s="2504"/>
      <c r="J23" s="2504"/>
      <c r="K23" s="250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4" t="s">
        <v>2106</v>
      </c>
      <c r="C26" s="2504"/>
      <c r="D26" s="2504"/>
      <c r="E26" s="2504"/>
      <c r="F26" s="2504"/>
      <c r="G26" s="2504"/>
      <c r="H26" s="2504"/>
      <c r="I26" s="2504"/>
      <c r="J26" s="2504"/>
      <c r="K26" s="250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3" t="s">
        <v>2107</v>
      </c>
      <c r="C29" s="2503"/>
      <c r="D29" s="2504"/>
      <c r="E29" s="2504"/>
      <c r="F29" s="2504"/>
      <c r="G29" s="2504"/>
      <c r="H29" s="2504"/>
      <c r="I29" s="2504"/>
      <c r="J29" s="2504"/>
      <c r="K29" s="250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3" t="s">
        <v>2108</v>
      </c>
      <c r="C32" s="2503"/>
      <c r="D32" s="2504"/>
      <c r="E32" s="2504"/>
      <c r="F32" s="2504"/>
      <c r="G32" s="2504"/>
      <c r="H32" s="2504"/>
      <c r="I32" s="2504"/>
      <c r="J32" s="2504"/>
      <c r="K32" s="250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South Eastern SpEd Program</v>
      </c>
      <c r="C1" s="2509"/>
      <c r="D1" s="2509"/>
      <c r="E1" s="2509"/>
      <c r="F1" s="2509"/>
      <c r="G1" s="2509"/>
      <c r="H1" s="2509"/>
      <c r="I1" s="2509"/>
      <c r="J1" s="2509"/>
      <c r="K1" s="2509"/>
      <c r="L1" s="1465"/>
    </row>
    <row r="2" spans="1:12" ht="12.75" customHeight="1" x14ac:dyDescent="0.2">
      <c r="B2" s="2510">
        <f>'Single Audit Cover'!E7</f>
        <v>12017801060</v>
      </c>
      <c r="C2" s="2510"/>
      <c r="D2" s="2510"/>
      <c r="E2" s="2510"/>
      <c r="F2" s="2510"/>
      <c r="G2" s="2510"/>
      <c r="H2" s="2510"/>
      <c r="I2" s="2510"/>
      <c r="J2" s="2510"/>
      <c r="K2" s="2510"/>
      <c r="L2" s="1466"/>
    </row>
    <row r="3" spans="1:12" ht="12.75" customHeight="1" x14ac:dyDescent="0.2">
      <c r="B3" s="2505" t="s">
        <v>1347</v>
      </c>
      <c r="C3" s="2505"/>
      <c r="D3" s="2505"/>
      <c r="E3" s="2505"/>
      <c r="F3" s="2505"/>
      <c r="G3" s="2505"/>
      <c r="H3" s="2505"/>
      <c r="I3" s="2505"/>
      <c r="J3" s="2505"/>
      <c r="K3" s="2505"/>
      <c r="L3" s="1377"/>
    </row>
    <row r="4" spans="1:12" ht="12.75" customHeight="1" x14ac:dyDescent="0.2">
      <c r="B4" s="2505" t="str">
        <f>'Single Audit Cover'!A4</f>
        <v>Year Ending June 30, 2018</v>
      </c>
      <c r="C4" s="2505"/>
      <c r="D4" s="2505"/>
      <c r="E4" s="2505"/>
      <c r="F4" s="2505"/>
      <c r="G4" s="2505"/>
      <c r="H4" s="2505"/>
      <c r="I4" s="2505"/>
      <c r="J4" s="2505"/>
      <c r="K4" s="2505"/>
      <c r="L4" s="1377"/>
    </row>
    <row r="5" spans="1:12" ht="5.25" customHeight="1" x14ac:dyDescent="0.2">
      <c r="B5" s="1260" t="s">
        <v>1231</v>
      </c>
      <c r="C5" s="1260"/>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2096</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t="s">
        <v>2096</v>
      </c>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2" t="s">
        <v>2096</v>
      </c>
      <c r="E14" s="2512"/>
      <c r="F14" s="2512"/>
      <c r="H14" s="1475" t="s">
        <v>1370</v>
      </c>
      <c r="I14" s="2513" t="s">
        <v>2096</v>
      </c>
      <c r="J14" s="2513"/>
      <c r="K14" s="251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3" t="s">
        <v>2096</v>
      </c>
      <c r="E16" s="2513"/>
      <c r="F16" s="2513"/>
      <c r="G16" s="2513"/>
      <c r="H16" s="2513"/>
      <c r="I16" s="2513"/>
      <c r="J16" s="2513"/>
      <c r="K16" s="2513"/>
      <c r="L16" s="322"/>
    </row>
    <row r="17" spans="2:12" ht="13.5" customHeight="1" x14ac:dyDescent="0.2">
      <c r="B17" s="1387" t="s">
        <v>1368</v>
      </c>
      <c r="C17" s="1387"/>
      <c r="D17" s="2514" t="s">
        <v>2096</v>
      </c>
      <c r="E17" s="2514"/>
      <c r="F17" s="2514"/>
      <c r="G17" s="2514"/>
      <c r="H17" s="2514"/>
      <c r="I17" s="2514"/>
      <c r="J17" s="2514"/>
      <c r="K17" s="251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4" t="s">
        <v>2096</v>
      </c>
      <c r="C20" s="2504"/>
      <c r="D20" s="2504"/>
      <c r="E20" s="2504"/>
      <c r="F20" s="2504"/>
      <c r="G20" s="2504"/>
      <c r="H20" s="2504"/>
      <c r="I20" s="2504"/>
      <c r="J20" s="2504"/>
      <c r="K20" s="250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4" t="s">
        <v>2096</v>
      </c>
      <c r="C23" s="2504"/>
      <c r="D23" s="2504"/>
      <c r="E23" s="2504"/>
      <c r="F23" s="2504"/>
      <c r="G23" s="2504"/>
      <c r="H23" s="2504"/>
      <c r="I23" s="2504"/>
      <c r="J23" s="2504"/>
      <c r="K23" s="250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4" t="s">
        <v>2096</v>
      </c>
      <c r="C26" s="2504"/>
      <c r="D26" s="2504"/>
      <c r="E26" s="2504"/>
      <c r="F26" s="2504"/>
      <c r="G26" s="2504"/>
      <c r="H26" s="2504"/>
      <c r="I26" s="2504"/>
      <c r="J26" s="2504"/>
      <c r="K26" s="250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4" t="s">
        <v>2096</v>
      </c>
      <c r="C29" s="2504"/>
      <c r="D29" s="2504"/>
      <c r="E29" s="2504"/>
      <c r="F29" s="2504"/>
      <c r="G29" s="2504"/>
      <c r="H29" s="2504"/>
      <c r="I29" s="2504"/>
      <c r="J29" s="2504"/>
      <c r="K29" s="250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4" t="s">
        <v>2096</v>
      </c>
      <c r="C32" s="2504"/>
      <c r="D32" s="2504"/>
      <c r="E32" s="2504"/>
      <c r="F32" s="2504"/>
      <c r="G32" s="2504"/>
      <c r="H32" s="2504"/>
      <c r="I32" s="2504"/>
      <c r="J32" s="2504"/>
      <c r="K32" s="250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4" t="s">
        <v>2096</v>
      </c>
      <c r="C35" s="2504"/>
      <c r="D35" s="2504"/>
      <c r="E35" s="2504"/>
      <c r="F35" s="2504"/>
      <c r="G35" s="2504"/>
      <c r="H35" s="2504"/>
      <c r="I35" s="2504"/>
      <c r="J35" s="2504"/>
      <c r="K35" s="250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4" t="s">
        <v>2096</v>
      </c>
      <c r="C38" s="2504"/>
      <c r="D38" s="2504"/>
      <c r="E38" s="2504"/>
      <c r="F38" s="2504"/>
      <c r="G38" s="2504"/>
      <c r="H38" s="2504"/>
      <c r="I38" s="2504"/>
      <c r="J38" s="2504"/>
      <c r="K38" s="250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4" t="s">
        <v>2096</v>
      </c>
      <c r="C41" s="2504"/>
      <c r="D41" s="2504"/>
      <c r="E41" s="2504"/>
      <c r="F41" s="2504"/>
      <c r="G41" s="2504"/>
      <c r="H41" s="2504"/>
      <c r="I41" s="2504"/>
      <c r="J41" s="2504"/>
      <c r="K41" s="250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7" sqref="D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South Eastern SpEd Program</v>
      </c>
      <c r="C1" s="2482"/>
      <c r="D1" s="2482"/>
      <c r="E1" s="1491"/>
    </row>
    <row r="2" spans="2:5" s="1282" customFormat="1" ht="12.75" customHeight="1" x14ac:dyDescent="0.2">
      <c r="B2" s="2484">
        <f>'Single Audit Cover'!E7</f>
        <v>12017801060</v>
      </c>
      <c r="C2" s="2484"/>
      <c r="D2" s="2484"/>
      <c r="E2" s="1492"/>
    </row>
    <row r="3" spans="2:5" ht="12.75" customHeight="1" x14ac:dyDescent="0.2">
      <c r="B3" s="2505" t="s">
        <v>1866</v>
      </c>
      <c r="C3" s="2505"/>
      <c r="D3" s="2505"/>
      <c r="E3" s="1274"/>
    </row>
    <row r="4" spans="2:5" s="1282" customFormat="1" ht="12.75" customHeight="1" x14ac:dyDescent="0.2">
      <c r="B4" s="2515" t="str">
        <f>'Single Audit Cover'!A4</f>
        <v>Year Ending June 30, 2018</v>
      </c>
      <c r="C4" s="2515"/>
      <c r="D4" s="2515"/>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2097</v>
      </c>
      <c r="C7" s="324" t="s">
        <v>2098</v>
      </c>
      <c r="D7" s="324" t="s">
        <v>2101</v>
      </c>
      <c r="E7" s="324"/>
    </row>
    <row r="8" spans="2:5" ht="13.5" customHeight="1" x14ac:dyDescent="0.2">
      <c r="B8" s="1496"/>
      <c r="C8" s="324" t="s">
        <v>2099</v>
      </c>
      <c r="D8" s="324"/>
      <c r="E8" s="324"/>
    </row>
    <row r="9" spans="2:5" ht="13.5" customHeight="1" x14ac:dyDescent="0.2">
      <c r="B9" s="1497"/>
      <c r="C9" s="323" t="s">
        <v>2100</v>
      </c>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6214206</v>
      </c>
      <c r="E16" s="356"/>
      <c r="F16" s="1755">
        <f>SUM('Acct Summary 7-8'!C17,'Acct Summary 7-8'!D17,'Acct Summary 7-8'!F17)</f>
        <v>5714040</v>
      </c>
      <c r="G16" s="356"/>
      <c r="H16" s="1755">
        <f>SUM(D16-F16)</f>
        <v>500166</v>
      </c>
      <c r="I16" s="222"/>
      <c r="J16" s="1755">
        <f>SUM('Acct Summary 7-8'!C81,'Acct Summary 7-8'!D81,'Acct Summary 7-8'!F81,'Acct Summary 7-8'!I81)</f>
        <v>848886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South Eastern SpEd Program</v>
      </c>
      <c r="E7" s="391"/>
      <c r="G7" s="252"/>
      <c r="H7" s="387"/>
      <c r="I7" s="387"/>
      <c r="J7" s="387"/>
      <c r="K7" s="387"/>
      <c r="L7" s="329"/>
      <c r="M7" s="329"/>
      <c r="N7" s="329"/>
      <c r="O7" s="329"/>
      <c r="P7" s="329"/>
    </row>
    <row r="8" spans="1:18" ht="12.75" x14ac:dyDescent="0.2">
      <c r="A8" s="329"/>
      <c r="B8" s="329"/>
      <c r="C8" s="389" t="s">
        <v>1187</v>
      </c>
      <c r="D8" s="392">
        <f>COVER!A13</f>
        <v>12017801060</v>
      </c>
      <c r="E8" s="393"/>
      <c r="G8" s="329"/>
      <c r="H8" s="329"/>
      <c r="I8" s="329"/>
      <c r="J8" s="329"/>
      <c r="K8" s="329"/>
      <c r="L8" s="329"/>
      <c r="M8" s="329"/>
      <c r="N8" s="329"/>
      <c r="O8" s="329"/>
      <c r="P8" s="329"/>
    </row>
    <row r="9" spans="1:18" ht="12.75" x14ac:dyDescent="0.2">
      <c r="A9" s="329"/>
      <c r="B9" s="329"/>
      <c r="C9" s="389" t="s">
        <v>737</v>
      </c>
      <c r="D9" s="394" t="str">
        <f>COVER!A15</f>
        <v>Jasper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848886</v>
      </c>
      <c r="I12" s="404"/>
      <c r="J12" s="404"/>
      <c r="K12" s="405">
        <f>TRUNC((H12/H13*100000),5)/100000</f>
        <v>0.13660409709999999</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6214206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5714040</v>
      </c>
      <c r="I17" s="404"/>
      <c r="J17" s="416"/>
      <c r="K17" s="405">
        <f>TRUNC((H17/H18*100000),5)/100000</f>
        <v>0.91951248470000002</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6214206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852947</v>
      </c>
      <c r="I24" s="422"/>
      <c r="J24" s="422"/>
      <c r="K24" s="423">
        <f>TRUNC(((H24/H25*100000)/100000),2)</f>
        <v>53.73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15872.333329999999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9" activePane="bottomLeft" state="frozen"/>
      <selection activeCell="A47" sqref="A47"/>
      <selection pane="bottomLeft"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v>852947</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852947</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2348261</v>
      </c>
      <c r="N17" s="484"/>
    </row>
    <row r="18" spans="1:14" s="485" customFormat="1" ht="12.75" customHeight="1" x14ac:dyDescent="0.2">
      <c r="A18" s="482" t="s">
        <v>1471</v>
      </c>
      <c r="B18" s="483">
        <v>240</v>
      </c>
      <c r="C18" s="477"/>
      <c r="D18" s="477"/>
      <c r="E18" s="477"/>
      <c r="F18" s="477"/>
      <c r="G18" s="477"/>
      <c r="H18" s="477"/>
      <c r="I18" s="477"/>
      <c r="J18" s="477"/>
      <c r="K18" s="477"/>
      <c r="L18" s="477"/>
      <c r="M18" s="467">
        <v>6382</v>
      </c>
      <c r="N18" s="484"/>
    </row>
    <row r="19" spans="1:14" s="485" customFormat="1" ht="12.75" customHeight="1" x14ac:dyDescent="0.2">
      <c r="A19" s="482" t="s">
        <v>1472</v>
      </c>
      <c r="B19" s="483">
        <v>250</v>
      </c>
      <c r="C19" s="477"/>
      <c r="D19" s="477"/>
      <c r="E19" s="477"/>
      <c r="F19" s="477"/>
      <c r="G19" s="477"/>
      <c r="H19" s="477"/>
      <c r="I19" s="477"/>
      <c r="J19" s="477"/>
      <c r="K19" s="477"/>
      <c r="L19" s="477"/>
      <c r="M19" s="467">
        <v>721643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3076286</v>
      </c>
      <c r="N23" s="1710">
        <f>SUM(N21:N22)</f>
        <v>0</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4061</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4061</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848886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3076286</v>
      </c>
      <c r="N40" s="497"/>
    </row>
    <row r="41" spans="1:14" ht="13.5" customHeight="1" thickBot="1" x14ac:dyDescent="0.25">
      <c r="A41" s="1758" t="s">
        <v>676</v>
      </c>
      <c r="B41" s="1728"/>
      <c r="C41" s="1710">
        <f>(SUM(C34,C37,C38,C39))</f>
        <v>852947</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3076286</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5"/>
      <c r="D3" s="1596"/>
      <c r="E3" s="1596"/>
      <c r="F3" s="1596"/>
      <c r="G3" s="1596"/>
      <c r="H3" s="1596"/>
      <c r="I3" s="1596"/>
      <c r="J3" s="1596"/>
      <c r="K3" s="1597"/>
      <c r="L3" s="506"/>
    </row>
    <row r="4" spans="1:13" ht="15.75" customHeight="1" x14ac:dyDescent="0.2">
      <c r="A4" s="1953" t="s">
        <v>1579</v>
      </c>
      <c r="B4" s="1954">
        <v>1000</v>
      </c>
      <c r="C4" s="1764">
        <f>'Revenues 9-14'!C109</f>
        <v>2530158</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64811</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909308</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2709929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6214206</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1851656</v>
      </c>
      <c r="D9" s="516"/>
      <c r="E9" s="481"/>
      <c r="F9" s="481"/>
      <c r="G9" s="517"/>
      <c r="H9" s="481"/>
      <c r="I9" s="509" t="s">
        <v>1231</v>
      </c>
      <c r="J9" s="478"/>
      <c r="K9" s="481"/>
      <c r="L9" s="347"/>
    </row>
    <row r="10" spans="1:13" s="519" customFormat="1" ht="13.5" thickBot="1" x14ac:dyDescent="0.25">
      <c r="A10" s="1758" t="s">
        <v>1235</v>
      </c>
      <c r="B10" s="1731"/>
      <c r="C10" s="1710">
        <f>SUM(C8:C9)</f>
        <v>8065862</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64">
        <f>'Expenditures 15-22'!K33</f>
        <v>2214289</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3040200</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459551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5714040</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1851656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7565696</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50" t="s">
        <v>1754</v>
      </c>
      <c r="B20" s="2151"/>
      <c r="C20" s="1768">
        <f>C8-C17</f>
        <v>500166</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2" t="s">
        <v>1239</v>
      </c>
      <c r="B77" s="2143"/>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6" t="s">
        <v>618</v>
      </c>
      <c r="B78" s="2147"/>
      <c r="C78" s="1724">
        <f t="shared" ref="C78:K78" si="9">C20+C77</f>
        <v>500166</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2068</v>
      </c>
      <c r="B79" s="534"/>
      <c r="C79" s="478">
        <v>348720</v>
      </c>
      <c r="D79" s="535"/>
      <c r="E79" s="535"/>
      <c r="F79" s="535"/>
      <c r="G79" s="535"/>
      <c r="H79" s="535"/>
      <c r="I79" s="535"/>
      <c r="J79" s="535"/>
      <c r="K79" s="535"/>
      <c r="L79" s="347"/>
    </row>
    <row r="80" spans="1:12" x14ac:dyDescent="0.2">
      <c r="A80" s="2152" t="s">
        <v>1895</v>
      </c>
      <c r="B80" s="2153"/>
      <c r="C80" s="467"/>
      <c r="D80" s="467"/>
      <c r="E80" s="467"/>
      <c r="F80" s="467"/>
      <c r="G80" s="467"/>
      <c r="H80" s="467"/>
      <c r="I80" s="467"/>
      <c r="J80" s="467"/>
      <c r="K80" s="467"/>
      <c r="L80" s="347"/>
    </row>
    <row r="81" spans="1:12" ht="13.5" thickBot="1" x14ac:dyDescent="0.25">
      <c r="A81" s="2144" t="s">
        <v>2069</v>
      </c>
      <c r="B81" s="2145"/>
      <c r="C81" s="1710">
        <f>(SUM(C78:C80))</f>
        <v>848886</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500166</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0.58920279048070057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33" sqref="C3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1902</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2500053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2500053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6619</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6619</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13403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10083</v>
      </c>
      <c r="D107" s="466"/>
      <c r="E107" s="466"/>
      <c r="F107" s="466"/>
      <c r="G107" s="466"/>
      <c r="H107" s="466"/>
      <c r="I107" s="466"/>
      <c r="J107" s="467"/>
      <c r="K107" s="466"/>
    </row>
    <row r="108" spans="1:12" ht="12.75" customHeight="1" thickBot="1" x14ac:dyDescent="0.25">
      <c r="A108" s="1730" t="s">
        <v>508</v>
      </c>
      <c r="B108" s="1734"/>
      <c r="C108" s="1729">
        <f>SUM(C95:C107)</f>
        <v>23486</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2530158</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64811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64811</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887747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887747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6076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6076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15485</v>
      </c>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909308</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909308</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1903</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139257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2451847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2591104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54696</v>
      </c>
      <c r="D270" s="576"/>
      <c r="E270" s="468"/>
      <c r="F270" s="576"/>
      <c r="G270" s="576"/>
      <c r="H270" s="468"/>
      <c r="I270" s="468"/>
      <c r="J270" s="468"/>
      <c r="K270" s="468"/>
    </row>
    <row r="271" spans="1:11" ht="12.75" customHeight="1" thickTop="1" thickBot="1" x14ac:dyDescent="0.25">
      <c r="A271" s="463" t="s">
        <v>395</v>
      </c>
      <c r="B271" s="470">
        <v>4992</v>
      </c>
      <c r="C271" s="575">
        <v>64129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2709929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2709929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6214206</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2" activePane="bottomLeft" state="frozen"/>
      <selection activeCell="A47" sqref="A47"/>
      <selection pane="bottomLeft" activeCell="Q50" sqref="Q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1384506</v>
      </c>
      <c r="D8" s="466">
        <v>276306</v>
      </c>
      <c r="E8" s="466">
        <v>72345</v>
      </c>
      <c r="F8" s="466"/>
      <c r="G8" s="466"/>
      <c r="H8" s="466"/>
      <c r="I8" s="467"/>
      <c r="J8" s="467"/>
      <c r="K8" s="1693">
        <f t="shared" si="0"/>
        <v>1733157</v>
      </c>
      <c r="L8" s="466">
        <v>1805801</v>
      </c>
    </row>
    <row r="9" spans="1:14" x14ac:dyDescent="0.2">
      <c r="A9" s="1526" t="s">
        <v>745</v>
      </c>
      <c r="B9" s="615" t="s">
        <v>1025</v>
      </c>
      <c r="C9" s="467">
        <v>321605</v>
      </c>
      <c r="D9" s="467">
        <v>40764</v>
      </c>
      <c r="E9" s="467">
        <v>4432</v>
      </c>
      <c r="F9" s="467"/>
      <c r="G9" s="467"/>
      <c r="H9" s="467"/>
      <c r="I9" s="467"/>
      <c r="J9" s="467"/>
      <c r="K9" s="1693">
        <f t="shared" si="0"/>
        <v>366801</v>
      </c>
      <c r="L9" s="466">
        <v>388505</v>
      </c>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80148</v>
      </c>
      <c r="D13" s="466">
        <v>8782</v>
      </c>
      <c r="E13" s="466">
        <v>25401</v>
      </c>
      <c r="F13" s="466"/>
      <c r="G13" s="466"/>
      <c r="H13" s="466"/>
      <c r="I13" s="467"/>
      <c r="J13" s="467"/>
      <c r="K13" s="1693">
        <f t="shared" si="0"/>
        <v>114331</v>
      </c>
      <c r="L13" s="466">
        <v>125426</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1786259</v>
      </c>
      <c r="D33" s="1692">
        <f t="shared" ref="D33:L33" si="1">SUM(D5:D32)</f>
        <v>325852</v>
      </c>
      <c r="E33" s="1692">
        <f t="shared" si="1"/>
        <v>102178</v>
      </c>
      <c r="F33" s="1692">
        <f t="shared" si="1"/>
        <v>0</v>
      </c>
      <c r="G33" s="1692">
        <f t="shared" si="1"/>
        <v>0</v>
      </c>
      <c r="H33" s="1692">
        <f t="shared" si="1"/>
        <v>0</v>
      </c>
      <c r="I33" s="1692">
        <f t="shared" si="1"/>
        <v>0</v>
      </c>
      <c r="J33" s="1692">
        <f t="shared" si="1"/>
        <v>0</v>
      </c>
      <c r="K33" s="1692">
        <f t="shared" si="1"/>
        <v>2214289</v>
      </c>
      <c r="L33" s="1692">
        <f t="shared" si="1"/>
        <v>2319732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291630</v>
      </c>
      <c r="D36" s="481">
        <v>28047</v>
      </c>
      <c r="E36" s="481">
        <v>12164</v>
      </c>
      <c r="F36" s="481"/>
      <c r="G36" s="481"/>
      <c r="H36" s="481"/>
      <c r="I36" s="467"/>
      <c r="J36" s="467"/>
      <c r="K36" s="1693">
        <f t="shared" ref="K36:K41" si="2">SUM(C36:J36)</f>
        <v>331841</v>
      </c>
      <c r="L36" s="466">
        <v>332390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370182</v>
      </c>
      <c r="D38" s="466">
        <v>82518</v>
      </c>
      <c r="E38" s="466">
        <v>27454</v>
      </c>
      <c r="F38" s="466"/>
      <c r="G38" s="466"/>
      <c r="H38" s="466"/>
      <c r="I38" s="467"/>
      <c r="J38" s="467"/>
      <c r="K38" s="1693">
        <f t="shared" si="2"/>
        <v>480154</v>
      </c>
      <c r="L38" s="466">
        <v>485583</v>
      </c>
    </row>
    <row r="39" spans="1:14" x14ac:dyDescent="0.2">
      <c r="A39" s="1526" t="s">
        <v>208</v>
      </c>
      <c r="B39" s="615">
        <v>2140</v>
      </c>
      <c r="C39" s="466">
        <v>462752</v>
      </c>
      <c r="D39" s="466">
        <v>49349</v>
      </c>
      <c r="E39" s="466">
        <v>35179</v>
      </c>
      <c r="F39" s="466"/>
      <c r="G39" s="466"/>
      <c r="H39" s="466"/>
      <c r="I39" s="467"/>
      <c r="J39" s="467"/>
      <c r="K39" s="1693">
        <f t="shared" si="2"/>
        <v>547280</v>
      </c>
      <c r="L39" s="466">
        <v>611728</v>
      </c>
    </row>
    <row r="40" spans="1:14" x14ac:dyDescent="0.2">
      <c r="A40" s="1526" t="s">
        <v>209</v>
      </c>
      <c r="B40" s="615">
        <v>2150</v>
      </c>
      <c r="C40" s="466">
        <v>325882</v>
      </c>
      <c r="D40" s="466">
        <v>28669</v>
      </c>
      <c r="E40" s="466">
        <v>26036</v>
      </c>
      <c r="F40" s="466"/>
      <c r="G40" s="466"/>
      <c r="H40" s="466"/>
      <c r="I40" s="467"/>
      <c r="J40" s="467"/>
      <c r="K40" s="1693">
        <f t="shared" si="2"/>
        <v>380587</v>
      </c>
      <c r="L40" s="466">
        <v>387720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1450446</v>
      </c>
      <c r="D42" s="1692">
        <f t="shared" ref="D42:L42" si="3">SUM(D36:D41)</f>
        <v>188583</v>
      </c>
      <c r="E42" s="1692">
        <f t="shared" si="3"/>
        <v>100833</v>
      </c>
      <c r="F42" s="1692">
        <f t="shared" si="3"/>
        <v>0</v>
      </c>
      <c r="G42" s="1692">
        <f t="shared" si="3"/>
        <v>0</v>
      </c>
      <c r="H42" s="1692">
        <f t="shared" si="3"/>
        <v>0</v>
      </c>
      <c r="I42" s="1692">
        <f t="shared" si="3"/>
        <v>0</v>
      </c>
      <c r="J42" s="1692">
        <f t="shared" si="3"/>
        <v>0</v>
      </c>
      <c r="K42" s="1692">
        <f t="shared" si="3"/>
        <v>1739862</v>
      </c>
      <c r="L42" s="1692">
        <f t="shared" si="3"/>
        <v>1817421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82758</v>
      </c>
      <c r="D44" s="481">
        <v>10192</v>
      </c>
      <c r="E44" s="481">
        <v>51761</v>
      </c>
      <c r="F44" s="481">
        <v>6228</v>
      </c>
      <c r="G44" s="481"/>
      <c r="H44" s="481"/>
      <c r="I44" s="467"/>
      <c r="J44" s="467"/>
      <c r="K44" s="1694">
        <f>SUM(C44:J44)</f>
        <v>150939</v>
      </c>
      <c r="L44" s="481">
        <v>165715</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82758</v>
      </c>
      <c r="D47" s="1692">
        <f t="shared" ref="D47:K47" si="4">SUM(D44:D46)</f>
        <v>10192</v>
      </c>
      <c r="E47" s="1692">
        <f t="shared" si="4"/>
        <v>51761</v>
      </c>
      <c r="F47" s="1692">
        <f t="shared" si="4"/>
        <v>6228</v>
      </c>
      <c r="G47" s="1692">
        <f t="shared" si="4"/>
        <v>0</v>
      </c>
      <c r="H47" s="1692">
        <f t="shared" si="4"/>
        <v>0</v>
      </c>
      <c r="I47" s="1692">
        <f t="shared" si="4"/>
        <v>0</v>
      </c>
      <c r="J47" s="1692">
        <f t="shared" si="4"/>
        <v>0</v>
      </c>
      <c r="K47" s="1692">
        <f t="shared" si="4"/>
        <v>150939</v>
      </c>
      <c r="L47" s="1692">
        <f>SUM(L44:L46)</f>
        <v>165715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v>500</v>
      </c>
    </row>
    <row r="50" spans="1:14" x14ac:dyDescent="0.2">
      <c r="A50" s="1526" t="s">
        <v>872</v>
      </c>
      <c r="B50" s="615">
        <v>2320</v>
      </c>
      <c r="C50" s="466">
        <v>131739</v>
      </c>
      <c r="D50" s="466">
        <v>18617</v>
      </c>
      <c r="E50" s="466">
        <v>9520</v>
      </c>
      <c r="F50" s="466">
        <v>3979</v>
      </c>
      <c r="G50" s="466"/>
      <c r="H50" s="466">
        <v>1898</v>
      </c>
      <c r="I50" s="467"/>
      <c r="J50" s="467"/>
      <c r="K50" s="1694">
        <f>SUM(C50:J50)</f>
        <v>165753</v>
      </c>
      <c r="L50" s="466">
        <v>179382</v>
      </c>
    </row>
    <row r="51" spans="1:14" x14ac:dyDescent="0.2">
      <c r="A51" s="1526" t="s">
        <v>44</v>
      </c>
      <c r="B51" s="615">
        <v>2330</v>
      </c>
      <c r="C51" s="466">
        <v>459739</v>
      </c>
      <c r="D51" s="466">
        <v>71269</v>
      </c>
      <c r="E51" s="466">
        <v>95897</v>
      </c>
      <c r="F51" s="466">
        <v>5565</v>
      </c>
      <c r="G51" s="466"/>
      <c r="H51" s="466"/>
      <c r="I51" s="467"/>
      <c r="J51" s="467"/>
      <c r="K51" s="1694">
        <f>SUM(C51:J51)</f>
        <v>632470</v>
      </c>
      <c r="L51" s="466">
        <v>645150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591478</v>
      </c>
      <c r="D53" s="1692">
        <f t="shared" ref="D53:L53" si="5">SUM(D49:D52)</f>
        <v>89886</v>
      </c>
      <c r="E53" s="1692">
        <f t="shared" si="5"/>
        <v>105417</v>
      </c>
      <c r="F53" s="1692">
        <f t="shared" si="5"/>
        <v>9544</v>
      </c>
      <c r="G53" s="1692">
        <f t="shared" si="5"/>
        <v>0</v>
      </c>
      <c r="H53" s="1692">
        <f t="shared" si="5"/>
        <v>1898</v>
      </c>
      <c r="I53" s="1692">
        <f t="shared" si="5"/>
        <v>0</v>
      </c>
      <c r="J53" s="1692">
        <f t="shared" si="5"/>
        <v>0</v>
      </c>
      <c r="K53" s="1692">
        <f t="shared" si="5"/>
        <v>798223</v>
      </c>
      <c r="L53" s="1692">
        <f t="shared" si="5"/>
        <v>825032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5160</v>
      </c>
      <c r="F60" s="466"/>
      <c r="G60" s="466"/>
      <c r="H60" s="466"/>
      <c r="I60" s="467"/>
      <c r="J60" s="467"/>
      <c r="K60" s="1694">
        <f t="shared" si="7"/>
        <v>5160</v>
      </c>
      <c r="L60" s="466">
        <v>5160</v>
      </c>
      <c r="M60" s="610"/>
      <c r="N60" s="610"/>
    </row>
    <row r="61" spans="1:14" s="343" customFormat="1" x14ac:dyDescent="0.2">
      <c r="A61" s="1526" t="s">
        <v>206</v>
      </c>
      <c r="B61" s="615">
        <v>2540</v>
      </c>
      <c r="C61" s="466"/>
      <c r="D61" s="466"/>
      <c r="E61" s="466">
        <v>186855</v>
      </c>
      <c r="F61" s="466">
        <v>21556</v>
      </c>
      <c r="G61" s="466"/>
      <c r="H61" s="466"/>
      <c r="I61" s="467"/>
      <c r="J61" s="467"/>
      <c r="K61" s="1694">
        <f t="shared" si="7"/>
        <v>208411</v>
      </c>
      <c r="L61" s="466">
        <v>232750</v>
      </c>
      <c r="M61" s="610"/>
      <c r="N61" s="610"/>
    </row>
    <row r="62" spans="1:14" s="343" customFormat="1" x14ac:dyDescent="0.2">
      <c r="A62" s="1526" t="s">
        <v>1010</v>
      </c>
      <c r="B62" s="615">
        <v>2550</v>
      </c>
      <c r="C62" s="466"/>
      <c r="D62" s="466"/>
      <c r="E62" s="466">
        <v>11390</v>
      </c>
      <c r="F62" s="466"/>
      <c r="G62" s="466"/>
      <c r="H62" s="466"/>
      <c r="I62" s="467"/>
      <c r="J62" s="467"/>
      <c r="K62" s="1694">
        <f t="shared" si="7"/>
        <v>11390</v>
      </c>
      <c r="L62" s="466">
        <v>12350</v>
      </c>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v>500</v>
      </c>
    </row>
    <row r="65" spans="1:14" s="343" customFormat="1" ht="12.75" customHeight="1" thickBot="1" x14ac:dyDescent="0.25">
      <c r="A65" s="1690" t="s">
        <v>743</v>
      </c>
      <c r="B65" s="1691" t="s">
        <v>35</v>
      </c>
      <c r="C65" s="1692">
        <f>SUM(C59:C64)</f>
        <v>0</v>
      </c>
      <c r="D65" s="1692">
        <f t="shared" ref="D65:L65" si="8">SUM(D59:D64)</f>
        <v>0</v>
      </c>
      <c r="E65" s="1692">
        <f t="shared" si="8"/>
        <v>203405</v>
      </c>
      <c r="F65" s="1692">
        <f t="shared" si="8"/>
        <v>21556</v>
      </c>
      <c r="G65" s="1692">
        <f t="shared" si="8"/>
        <v>0</v>
      </c>
      <c r="H65" s="1692">
        <f t="shared" si="8"/>
        <v>0</v>
      </c>
      <c r="I65" s="1692">
        <f t="shared" si="8"/>
        <v>0</v>
      </c>
      <c r="J65" s="1692">
        <f t="shared" si="8"/>
        <v>0</v>
      </c>
      <c r="K65" s="1692">
        <f t="shared" si="8"/>
        <v>224961</v>
      </c>
      <c r="L65" s="1692">
        <f t="shared" si="8"/>
        <v>250760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807</v>
      </c>
      <c r="F70" s="466"/>
      <c r="G70" s="466"/>
      <c r="H70" s="466"/>
      <c r="I70" s="467"/>
      <c r="J70" s="467"/>
      <c r="K70" s="1694">
        <f>SUM(C70:J70)</f>
        <v>807</v>
      </c>
      <c r="L70" s="466">
        <v>1400</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807</v>
      </c>
      <c r="F72" s="1692">
        <f t="shared" si="9"/>
        <v>0</v>
      </c>
      <c r="G72" s="1692">
        <f t="shared" si="9"/>
        <v>0</v>
      </c>
      <c r="H72" s="1692">
        <f t="shared" si="9"/>
        <v>0</v>
      </c>
      <c r="I72" s="1692">
        <f t="shared" si="9"/>
        <v>0</v>
      </c>
      <c r="J72" s="1692">
        <f t="shared" si="9"/>
        <v>0</v>
      </c>
      <c r="K72" s="1692">
        <f t="shared" si="9"/>
        <v>807</v>
      </c>
      <c r="L72" s="1692">
        <f>SUM(L67:L71)</f>
        <v>1400</v>
      </c>
      <c r="M72" s="610"/>
      <c r="N72" s="610"/>
    </row>
    <row r="73" spans="1:14" s="343" customFormat="1" ht="14.25" thickTop="1" thickBot="1" x14ac:dyDescent="0.25">
      <c r="A73" s="1532" t="s">
        <v>1037</v>
      </c>
      <c r="B73" s="633" t="s">
        <v>595</v>
      </c>
      <c r="C73" s="573"/>
      <c r="D73" s="573"/>
      <c r="E73" s="573">
        <v>14089</v>
      </c>
      <c r="F73" s="573">
        <v>82200</v>
      </c>
      <c r="G73" s="573">
        <v>29119</v>
      </c>
      <c r="H73" s="573"/>
      <c r="I73" s="531"/>
      <c r="J73" s="531"/>
      <c r="K73" s="1692">
        <f>SUM(C73:J73)</f>
        <v>125408</v>
      </c>
      <c r="L73" s="576">
        <v>133500</v>
      </c>
      <c r="M73" s="610"/>
      <c r="N73" s="610"/>
    </row>
    <row r="74" spans="1:14" ht="12.75" customHeight="1" thickTop="1" thickBot="1" x14ac:dyDescent="0.25">
      <c r="A74" s="1690" t="s">
        <v>865</v>
      </c>
      <c r="B74" s="1698">
        <v>2000</v>
      </c>
      <c r="C74" s="1699">
        <f>SUM(C42,C47,C53,C57,C65,C72,C73)</f>
        <v>2124682</v>
      </c>
      <c r="D74" s="1699">
        <f t="shared" ref="D74:K74" si="10">SUM(D42,D47,D53,D57,D65,D72,D73)</f>
        <v>288661</v>
      </c>
      <c r="E74" s="1699">
        <f t="shared" si="10"/>
        <v>476312</v>
      </c>
      <c r="F74" s="1699">
        <f t="shared" si="10"/>
        <v>119528</v>
      </c>
      <c r="G74" s="1699">
        <f t="shared" si="10"/>
        <v>29119</v>
      </c>
      <c r="H74" s="1699">
        <f t="shared" si="10"/>
        <v>1898</v>
      </c>
      <c r="I74" s="1699">
        <f t="shared" si="10"/>
        <v>0</v>
      </c>
      <c r="J74" s="1699">
        <f t="shared" si="10"/>
        <v>0</v>
      </c>
      <c r="K74" s="1699">
        <f t="shared" si="10"/>
        <v>3040200</v>
      </c>
      <c r="L74" s="1699">
        <f>SUM(L42,L47,L53,L57,L65,L72,L73)</f>
        <v>3193828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394740</v>
      </c>
      <c r="F79" s="617"/>
      <c r="G79" s="617"/>
      <c r="H79" s="466">
        <v>64811</v>
      </c>
      <c r="I79" s="477"/>
      <c r="J79" s="477"/>
      <c r="K79" s="1693">
        <f t="shared" si="11"/>
        <v>459551</v>
      </c>
      <c r="L79" s="466">
        <v>531830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394740</v>
      </c>
      <c r="F84" s="617"/>
      <c r="G84" s="617"/>
      <c r="H84" s="1692">
        <f>SUM(H78:H83)</f>
        <v>64811</v>
      </c>
      <c r="I84" s="477"/>
      <c r="J84" s="477"/>
      <c r="K84" s="1692">
        <f>SUM(K78:K83)</f>
        <v>459551</v>
      </c>
      <c r="L84" s="1692">
        <f>SUM(L78:L83)</f>
        <v>531830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394740</v>
      </c>
      <c r="F102" s="617"/>
      <c r="G102" s="617"/>
      <c r="H102" s="1699">
        <f>SUM(H84,H92,H100,H101)</f>
        <v>64811</v>
      </c>
      <c r="I102" s="477"/>
      <c r="J102" s="477"/>
      <c r="K102" s="1699">
        <f>SUM(K84,K92,K100,K101)</f>
        <v>459551</v>
      </c>
      <c r="L102" s="1699">
        <f>SUM(L84,L92,L100,L101)</f>
        <v>531830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3910941</v>
      </c>
      <c r="D114" s="1692">
        <f t="shared" ref="D114:K114" si="13">SUM(D33,D74,D75,D102,D112,D113)</f>
        <v>614513</v>
      </c>
      <c r="E114" s="1692">
        <f t="shared" si="13"/>
        <v>973230</v>
      </c>
      <c r="F114" s="1692">
        <f t="shared" si="13"/>
        <v>119528</v>
      </c>
      <c r="G114" s="1692">
        <f t="shared" si="13"/>
        <v>29119</v>
      </c>
      <c r="H114" s="1692">
        <f>SUM(H33,H74,H75,H102,H112,H113)</f>
        <v>66709</v>
      </c>
      <c r="I114" s="1692">
        <f t="shared" si="13"/>
        <v>0</v>
      </c>
      <c r="J114" s="1692">
        <f t="shared" si="13"/>
        <v>0</v>
      </c>
      <c r="K114" s="1692">
        <f t="shared" si="13"/>
        <v>5714040</v>
      </c>
      <c r="L114" s="1692">
        <f>SUM(L33,L74,L75,L102,L112,L113)</f>
        <v>6045390</v>
      </c>
    </row>
    <row r="115" spans="1:14" ht="13.5" thickTop="1" x14ac:dyDescent="0.2">
      <c r="A115" s="2180" t="s">
        <v>1053</v>
      </c>
      <c r="B115" s="2181"/>
      <c r="C115" s="619"/>
      <c r="D115" s="619"/>
      <c r="E115" s="619"/>
      <c r="F115" s="619"/>
      <c r="G115" s="619"/>
      <c r="H115" s="619"/>
      <c r="I115" s="619"/>
      <c r="J115" s="619"/>
      <c r="K115" s="1706">
        <f>'Revenues 9-14'!C275-'Expenditures 15-22'!K114</f>
        <v>500166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7" t="s">
        <v>641</v>
      </c>
      <c r="B151" s="2177"/>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200" t="s">
        <v>1240</v>
      </c>
      <c r="B152" s="2201"/>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80" t="s">
        <v>1053</v>
      </c>
      <c r="B175" s="2181"/>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80" t="s">
        <v>1053</v>
      </c>
      <c r="B211" s="2181"/>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80" t="s">
        <v>1053</v>
      </c>
      <c r="B296" s="2181"/>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1" t="s">
        <v>1053</v>
      </c>
      <c r="B313" s="219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3" t="s">
        <v>1053</v>
      </c>
      <c r="B343" s="219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0" t="s">
        <v>1053</v>
      </c>
      <c r="B368" s="2181"/>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http://schemas.microsoft.com/office/infopath/2007/PartnerControls"/>
    <ds:schemaRef ds:uri="d21dc803-237d-4c68-8692-8d731fd29118"/>
    <ds:schemaRef ds:uri="http://schemas.openxmlformats.org/package/2006/metadata/core-properties"/>
    <ds:schemaRef ds:uri="http://purl.org/dc/terms/"/>
    <ds:schemaRef ds:uri="4d435f69-8686-490b-bd6d-b153bf22ab50"/>
    <ds:schemaRef ds:uri="http://schemas.microsoft.com/office/2006/documentManagement/types"/>
    <ds:schemaRef ds:uri="http://purl.org/dc/elements/1.1/"/>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2018-10-16T14:42:48Z</cp:lastPrinted>
  <dcterms:created xsi:type="dcterms:W3CDTF">2003-10-29T19:06:34Z</dcterms:created>
  <dcterms:modified xsi:type="dcterms:W3CDTF">2018-11-19T20:09:21Z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