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0" windowWidth="288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2 (4)" sheetId="185" r:id="rId34"/>
    <sheet name="SF&amp;QC Sec-3" sheetId="176" r:id="rId35"/>
    <sheet name="SSPAF" sheetId="177" r:id="rId36"/>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C9" i="4" l="1"/>
  <c r="E10" i="108" l="1"/>
  <c r="L217" i="29" l="1"/>
  <c r="L78" i="29"/>
  <c r="L8" i="29"/>
  <c r="L13" i="29"/>
  <c r="L14" i="29"/>
  <c r="L5" i="29"/>
  <c r="B4" i="185" l="1"/>
  <c r="B4" i="184"/>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1" i="185"/>
  <c r="B2" i="179"/>
  <c r="B2" i="185"/>
  <c r="B2" i="184"/>
  <c r="B2" i="183"/>
  <c r="A2" i="173"/>
  <c r="B2" i="174"/>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C201" i="5"/>
  <c r="C211" i="5"/>
  <c r="C216" i="5"/>
  <c r="C224" i="5"/>
  <c r="C228" i="5"/>
  <c r="C259" i="5"/>
  <c r="B6833" i="106" s="1"/>
  <c r="D6833" i="106" s="1"/>
  <c r="B7761" i="106"/>
  <c r="D7761" i="106" s="1"/>
  <c r="L127" i="29"/>
  <c r="L129" i="29" s="1"/>
  <c r="L139" i="29"/>
  <c r="L149" i="29"/>
  <c r="I7" i="145"/>
  <c r="I6" i="145"/>
  <c r="D78" i="36"/>
  <c r="K75" i="29"/>
  <c r="K130" i="29"/>
  <c r="F56" i="34" s="1"/>
  <c r="K185" i="29"/>
  <c r="K122" i="29"/>
  <c r="F15" i="145" s="1"/>
  <c r="F19" i="145" s="1"/>
  <c r="K67" i="29"/>
  <c r="K64" i="29"/>
  <c r="F31" i="108" s="1"/>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D26" i="108"/>
  <c r="E26" i="108"/>
  <c r="F26" i="108"/>
  <c r="G26" i="108"/>
  <c r="D27" i="108"/>
  <c r="E27" i="108"/>
  <c r="F27" i="108"/>
  <c r="G27" i="108"/>
  <c r="F36" i="108"/>
  <c r="G28" i="108"/>
  <c r="E29" i="108"/>
  <c r="G29" i="108"/>
  <c r="G30"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C57" i="34"/>
  <c r="D57" i="34"/>
  <c r="C61" i="34"/>
  <c r="C62" i="34"/>
  <c r="F62" i="34"/>
  <c r="C63" i="34"/>
  <c r="D63" i="34"/>
  <c r="C64" i="34"/>
  <c r="F64" i="34"/>
  <c r="C67" i="34"/>
  <c r="D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s="1"/>
  <c r="D5120" i="106" s="1"/>
  <c r="D108" i="5"/>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33" i="118"/>
  <c r="J22" i="37"/>
  <c r="F131" i="34"/>
  <c r="F128" i="34"/>
  <c r="F111" i="34"/>
  <c r="B5847" i="106"/>
  <c r="D5847" i="106" s="1"/>
  <c r="B5752" i="106"/>
  <c r="D5752" i="106" s="1"/>
  <c r="B5599" i="106"/>
  <c r="D5599" i="106" s="1"/>
  <c r="F106" i="34"/>
  <c r="F127" i="34" l="1"/>
  <c r="F130" i="34"/>
  <c r="F136" i="34"/>
  <c r="L22" i="37"/>
  <c r="B4373" i="106"/>
  <c r="D4373" i="106" s="1"/>
  <c r="B5096" i="106"/>
  <c r="D5096" i="106" s="1"/>
  <c r="F71" i="34"/>
  <c r="F50" i="34"/>
  <c r="F46" i="34"/>
  <c r="F44" i="34"/>
  <c r="F41" i="34"/>
  <c r="F35" i="34"/>
  <c r="G38" i="108"/>
  <c r="D37" i="108"/>
  <c r="D31" i="108"/>
  <c r="E30" i="108"/>
  <c r="F37" i="108"/>
  <c r="D54" i="36"/>
  <c r="B7231" i="106"/>
  <c r="D7231" i="106" s="1"/>
  <c r="B3619" i="106"/>
  <c r="D3619" i="106" s="1"/>
  <c r="B1329" i="106"/>
  <c r="D1329" i="106" s="1"/>
  <c r="F61" i="34"/>
  <c r="B7727" i="106"/>
  <c r="D7727" i="106" s="1"/>
  <c r="D15" i="7"/>
  <c r="B1772" i="106" s="1"/>
  <c r="D1772" i="106" s="1"/>
  <c r="C129" i="29"/>
  <c r="D11" i="37"/>
  <c r="D11" i="7"/>
  <c r="B1768" i="106" s="1"/>
  <c r="D1768" i="106" s="1"/>
  <c r="H112" i="29"/>
  <c r="B7018" i="106" s="1"/>
  <c r="D7018" i="106" s="1"/>
  <c r="J41" i="3"/>
  <c r="B6216" i="106" s="1"/>
  <c r="D6216" i="106" s="1"/>
  <c r="E174" i="29"/>
  <c r="B1309" i="106" s="1"/>
  <c r="D1309" i="106" s="1"/>
  <c r="J274" i="5"/>
  <c r="B7054" i="106" s="1"/>
  <c r="D7054" i="106" s="1"/>
  <c r="D109" i="5"/>
  <c r="L312" i="29"/>
  <c r="F172" i="5"/>
  <c r="B5644" i="106" s="1"/>
  <c r="D5644" i="106" s="1"/>
  <c r="D69" i="36"/>
  <c r="I210" i="29"/>
  <c r="K184" i="29"/>
  <c r="F13" i="4" s="1"/>
  <c r="B2596" i="106" s="1"/>
  <c r="D2596" i="106" s="1"/>
  <c r="G210" i="29"/>
  <c r="H173" i="5"/>
  <c r="D6103" i="106"/>
  <c r="I24" i="12"/>
  <c r="I26" i="12" s="1"/>
  <c r="B7741" i="106" s="1"/>
  <c r="D7741" i="106" s="1"/>
  <c r="K24" i="12"/>
  <c r="F19" i="7"/>
  <c r="B1807" i="106" s="1"/>
  <c r="D1807" i="106" s="1"/>
  <c r="D17" i="7"/>
  <c r="B4104" i="106" s="1"/>
  <c r="D4104" i="106" s="1"/>
  <c r="L367" i="29"/>
  <c r="L5" i="11"/>
  <c r="B2056" i="106" s="1"/>
  <c r="D2056" i="106" s="1"/>
  <c r="D24" i="37"/>
  <c r="B4270" i="106" s="1"/>
  <c r="D4270" i="106" s="1"/>
  <c r="D22" i="37"/>
  <c r="N22" i="3"/>
  <c r="B283" i="106" s="1"/>
  <c r="D283" i="106" s="1"/>
  <c r="H28" i="118"/>
  <c r="D5" i="7"/>
  <c r="B1761" i="106" s="1"/>
  <c r="D1761" i="106" s="1"/>
  <c r="D4" i="7"/>
  <c r="B1760" i="106" s="1"/>
  <c r="D1760" i="106" s="1"/>
  <c r="K285" i="29"/>
  <c r="F73" i="34" s="1"/>
  <c r="K350" i="29"/>
  <c r="B3670" i="106" s="1"/>
  <c r="D3670" i="106" s="1"/>
  <c r="H342" i="29"/>
  <c r="I129" i="29"/>
  <c r="B7037" i="106" s="1"/>
  <c r="D7037" i="106" s="1"/>
  <c r="H365" i="29"/>
  <c r="B7242" i="106" s="1"/>
  <c r="D7242" i="106" s="1"/>
  <c r="D13" i="7"/>
  <c r="B3726" i="106" s="1"/>
  <c r="D3726" i="106" s="1"/>
  <c r="C172" i="5"/>
  <c r="C173" i="5" s="1"/>
  <c r="B5223" i="106" s="1"/>
  <c r="D5223" i="106" s="1"/>
  <c r="H109" i="5"/>
  <c r="B6025" i="106" s="1"/>
  <c r="D6025" i="106" s="1"/>
  <c r="E109" i="5"/>
  <c r="E4" i="4" s="1"/>
  <c r="B2630" i="106" s="1"/>
  <c r="D2630" i="106" s="1"/>
  <c r="B6289" i="106"/>
  <c r="D6289" i="106" s="1"/>
  <c r="J77" i="4"/>
  <c r="B6262" i="106" s="1"/>
  <c r="D6262" i="106" s="1"/>
  <c r="K76" i="4"/>
  <c r="B3586" i="106" s="1"/>
  <c r="D3586" i="106" s="1"/>
  <c r="H29" i="118"/>
  <c r="D31" i="36"/>
  <c r="C342" i="29"/>
  <c r="B7216" i="106" s="1"/>
  <c r="D7216" i="106" s="1"/>
  <c r="H4" i="4"/>
  <c r="B2655" i="106" s="1"/>
  <c r="D2655" i="106" s="1"/>
  <c r="G15" i="4"/>
  <c r="B6032" i="106" s="1"/>
  <c r="D6032" i="106" s="1"/>
  <c r="F28" i="108"/>
  <c r="F41" i="108" s="1"/>
  <c r="G43" i="108" s="1"/>
  <c r="E28" i="108"/>
  <c r="B5355" i="106"/>
  <c r="D5355" i="106" s="1"/>
  <c r="B5356" i="106"/>
  <c r="D5356" i="106" s="1"/>
  <c r="D4" i="4"/>
  <c r="B2564" i="106" s="1"/>
  <c r="D2564" i="106" s="1"/>
  <c r="B5161" i="106"/>
  <c r="D5161" i="106" s="1"/>
  <c r="C109" i="5"/>
  <c r="B5121" i="106" s="1"/>
  <c r="D5121" i="106" s="1"/>
  <c r="D7245" i="106"/>
  <c r="L15" i="11"/>
  <c r="B3459" i="106" s="1"/>
  <c r="D3459" i="106" s="1"/>
  <c r="L13" i="11"/>
  <c r="B2060" i="106" s="1"/>
  <c r="D2060" i="106" s="1"/>
  <c r="D68" i="36"/>
  <c r="F21" i="8"/>
  <c r="D12" i="7"/>
  <c r="B1769" i="106" s="1"/>
  <c r="D1769" i="106" s="1"/>
  <c r="B1746" i="106"/>
  <c r="D1746" i="106" s="1"/>
  <c r="D9" i="7"/>
  <c r="B1767" i="106" s="1"/>
  <c r="D1767" i="106" s="1"/>
  <c r="D7" i="7"/>
  <c r="B1763" i="106" s="1"/>
  <c r="D1763" i="106" s="1"/>
  <c r="B1410" i="106"/>
  <c r="D1410" i="106" s="1"/>
  <c r="B3649" i="106"/>
  <c r="D3649" i="106" s="1"/>
  <c r="G367" i="29"/>
  <c r="B3650" i="106" s="1"/>
  <c r="D3650" i="106" s="1"/>
  <c r="J129" i="29"/>
  <c r="B7038" i="106" s="1"/>
  <c r="D7038" i="106" s="1"/>
  <c r="I342" i="29"/>
  <c r="B7222" i="106" s="1"/>
  <c r="D7222" i="106" s="1"/>
  <c r="J210" i="29"/>
  <c r="B7072" i="106" s="1"/>
  <c r="D7072" i="106" s="1"/>
  <c r="B3621" i="106"/>
  <c r="D3621" i="106" s="1"/>
  <c r="C367" i="29"/>
  <c r="B3622" i="106" s="1"/>
  <c r="D3622" i="106" s="1"/>
  <c r="L342" i="29"/>
  <c r="B5214" i="106"/>
  <c r="D5214" i="106" s="1"/>
  <c r="I173" i="5"/>
  <c r="B4216" i="106" s="1"/>
  <c r="D4216" i="106" s="1"/>
  <c r="G109" i="5"/>
  <c r="B7041" i="106"/>
  <c r="D7041" i="106" s="1"/>
  <c r="K274" i="5"/>
  <c r="K7" i="4" s="1"/>
  <c r="B3718" i="106" s="1"/>
  <c r="D3718" i="106" s="1"/>
  <c r="G172" i="5"/>
  <c r="K173" i="5"/>
  <c r="K6" i="4" s="1"/>
  <c r="B3570" i="106" s="1"/>
  <c r="D3570" i="106" s="1"/>
  <c r="F77" i="4"/>
  <c r="B3255" i="106" s="1"/>
  <c r="D3255" i="106" s="1"/>
  <c r="H76" i="4"/>
  <c r="B3298" i="106" s="1"/>
  <c r="D3298" i="106" s="1"/>
  <c r="B6238" i="106"/>
  <c r="D6238" i="106" s="1"/>
  <c r="K41" i="3"/>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G173" i="5" l="1"/>
  <c r="B5770" i="106"/>
  <c r="D5770" i="106" s="1"/>
  <c r="B1365" i="106"/>
  <c r="D1365" i="106" s="1"/>
  <c r="F65" i="34"/>
  <c r="B7071" i="106"/>
  <c r="D7071" i="106" s="1"/>
  <c r="F66" i="34"/>
  <c r="B5906" i="106"/>
  <c r="D5906" i="106" s="1"/>
  <c r="H6" i="4"/>
  <c r="B2656" i="106" s="1"/>
  <c r="D2656" i="106" s="1"/>
  <c r="D51" i="36"/>
  <c r="D7251" i="106"/>
  <c r="F173" i="5"/>
  <c r="K28" i="118"/>
  <c r="O27" i="118" s="1"/>
  <c r="O29" i="118" s="1"/>
  <c r="B1996" i="106"/>
  <c r="D1996" i="106" s="1"/>
  <c r="K365" i="29"/>
  <c r="H77" i="4"/>
  <c r="B3299" i="106" s="1"/>
  <c r="D3299" i="106" s="1"/>
  <c r="K77" i="4"/>
  <c r="B3587" i="106" s="1"/>
  <c r="D3587" i="106" s="1"/>
  <c r="D274" i="5"/>
  <c r="B5507" i="106" s="1"/>
  <c r="D5507" i="106" s="1"/>
  <c r="B5914" i="106"/>
  <c r="D5914" i="106" s="1"/>
  <c r="B7733" i="106"/>
  <c r="D7733" i="106" s="1"/>
  <c r="K26" i="12"/>
  <c r="B7743" i="106" s="1"/>
  <c r="D7743" i="106" s="1"/>
  <c r="N23" i="3"/>
  <c r="B284" i="106" s="1"/>
  <c r="D284" i="106" s="1"/>
  <c r="I151" i="29"/>
  <c r="F59" i="34" s="1"/>
  <c r="H8" i="4"/>
  <c r="B2658" i="106" s="1"/>
  <c r="D2658" i="106" s="1"/>
  <c r="L16" i="11"/>
  <c r="B2061" i="106" s="1"/>
  <c r="D2061" i="106" s="1"/>
  <c r="K342" i="29"/>
  <c r="F13" i="34" s="1"/>
  <c r="K352" i="29"/>
  <c r="J151" i="29"/>
  <c r="B7052" i="106" s="1"/>
  <c r="D7052" i="106" s="1"/>
  <c r="F274" i="5"/>
  <c r="F7" i="4" s="1"/>
  <c r="B2594" i="106" s="1"/>
  <c r="D2594" i="106" s="1"/>
  <c r="H275" i="5"/>
  <c r="B5915" i="106" s="1"/>
  <c r="D5915" i="106" s="1"/>
  <c r="B6024" i="106"/>
  <c r="D6024" i="106" s="1"/>
  <c r="G4" i="4"/>
  <c r="B2603" i="106" s="1"/>
  <c r="D2603" i="106" s="1"/>
  <c r="D44" i="36"/>
  <c r="C6" i="4"/>
  <c r="B2553" i="106" s="1"/>
  <c r="D2553" i="106" s="1"/>
  <c r="D7253" i="106"/>
  <c r="D7255" i="106"/>
  <c r="D7250" i="106"/>
  <c r="D7256" i="106"/>
  <c r="D7252" i="106"/>
  <c r="D7254" i="106"/>
  <c r="B1879" i="106"/>
  <c r="D1879" i="106" s="1"/>
  <c r="H22" i="37"/>
  <c r="H367" i="29"/>
  <c r="B3660" i="106" s="1"/>
  <c r="D3660" i="106" s="1"/>
  <c r="C114" i="29"/>
  <c r="B757" i="106" s="1"/>
  <c r="D757" i="106" s="1"/>
  <c r="L114" i="29"/>
  <c r="D19" i="7"/>
  <c r="B1775" i="106" s="1"/>
  <c r="D1775" i="106" s="1"/>
  <c r="B6022" i="106"/>
  <c r="D6022"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K13" i="4" l="1"/>
  <c r="B3572" i="106" s="1"/>
  <c r="D3572" i="106" s="1"/>
  <c r="B3672" i="106"/>
  <c r="D3672" i="106" s="1"/>
  <c r="F6" i="4"/>
  <c r="B2593" i="106" s="1"/>
  <c r="D2593" i="106" s="1"/>
  <c r="B5653" i="106"/>
  <c r="D5653" i="106" s="1"/>
  <c r="B5778" i="106"/>
  <c r="D5778" i="106" s="1"/>
  <c r="G6" i="4"/>
  <c r="B2604" i="106" s="1"/>
  <c r="D2604" i="106" s="1"/>
  <c r="K367" i="29"/>
  <c r="F275" i="5"/>
  <c r="B5720" i="106" s="1"/>
  <c r="D5720" i="106" s="1"/>
  <c r="D7" i="4"/>
  <c r="F24" i="37"/>
  <c r="J8" i="4"/>
  <c r="J17" i="4"/>
  <c r="B7224" i="106"/>
  <c r="D7224" i="106" s="1"/>
  <c r="H10" i="4"/>
  <c r="B4127" i="106" s="1"/>
  <c r="D4127" i="106" s="1"/>
  <c r="B5719" i="106"/>
  <c r="D5719" i="106" s="1"/>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595" i="106" l="1"/>
  <c r="D2595" i="106" s="1"/>
  <c r="D8" i="4"/>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<sst xmlns="http://schemas.openxmlformats.org/spreadsheetml/2006/main" count="5156" uniqueCount="2144">
  <si>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</si>
  <si>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</si>
  <si>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</si>
  <si>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</si>
  <si>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</si>
  <si>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</si>
  <si>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</si>
  <si>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</si>
  <si>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</si>
  <si>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</si>
  <si>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</si>
  <si>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</si>
  <si>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</si>
  <si>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</si>
  <si>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</si>
  <si>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</si>
  <si>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</si>
  <si>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</si>
  <si>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</si>
  <si>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</si>
  <si>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</si>
  <si>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</si>
  <si>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</si>
  <si>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</si>
  <si>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</si>
  <si>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</si>
  <si>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</si>
  <si>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</si>
  <si>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</si>
  <si>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</si>
  <si>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</si>
  <si>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</si>
  <si>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</si>
  <si>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</si>
  <si>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</si>
  <si>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</si>
  <si>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</si>
  <si>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</si>
  <si>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</si>
  <si>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</si>
  <si>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</si>
  <si>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</si>
  <si>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</si>
  <si>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</si>
  <si>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</si>
  <si>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</si>
  <si>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</si>
  <si>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</si>
  <si>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</si>
  <si>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</si>
  <si>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</si>
  <si>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</si>
  <si>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</si>
  <si>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</si>
  <si>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</si>
  <si>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</si>
  <si>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</si>
  <si>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</si>
  <si>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</si>
  <si>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</si>
  <si>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</si>
  <si>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</si>
  <si>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</si>
  <si>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</si>
  <si>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</si>
  <si>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</si>
  <si>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</si>
  <si>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</si>
  <si>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</si>
  <si>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</si>
  <si>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</si>
  <si>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</si>
  <si>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</si>
  <si>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</si>
  <si>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</si>
  <si>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</si>
  <si>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</si>
  <si>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</si>
  <si>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</si>
  <si>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</si>
  <si>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</si>
  <si>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</si>
  <si>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</si>
  <si>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</si>
  <si>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</si>
  <si>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</si>
  <si>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</si>
  <si>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</si>
  <si>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</si>
  <si>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</si>
  <si>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</si>
  <si>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</si>
  <si>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</si>
  <si>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</si>
  <si>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</si>
  <si>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</si>
  <si>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</si>
  <si>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</si>
  <si>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</si>
  <si>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</si>
  <si>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</si>
  <si>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</si>
  <si>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</si>
  <si>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</si>
  <si>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</si>
  <si>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</si>
  <si>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</si>
  <si>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</si>
  <si>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</si>
  <si>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</si>
  <si>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</si>
  <si>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</si>
  <si>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</si>
  <si>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</si>
  <si>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</si>
  <si>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</si>
  <si>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</si>
  <si>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</si>
  <si>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</si>
  <si>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</si>
  <si>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</si>
  <si>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</si>
  <si>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</si>
  <si>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</si>
  <si>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</si>
  <si>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</si>
  <si>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</si>
  <si>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</si>
  <si>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</si>
  <si>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</si>
  <si>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</si>
  <si>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</si>
  <si>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</si>
  <si>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</si>
  <si>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</si>
  <si>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</si>
  <si>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</si>
  <si>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</si>
  <si>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</si>
  <si>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</si>
  <si>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</si>
  <si>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</si>
  <si>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</si>
  <si>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</si>
  <si>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</si>
  <si>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</si>
  <si>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</si>
  <si>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</si>
  <si>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</si>
  <si>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</si>
  <si>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</si>
  <si>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</si>
  <si>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</si>
  <si>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</si>
  <si>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</si>
  <si>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</si>
  <si>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</si>
  <si>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</si>
  <si>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</si>
  <si>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</si>
  <si>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</si>
  <si>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</si>
  <si>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</si>
  <si>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</si>
  <si>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</si>
  <si>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</si>
  <si>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</si>
  <si>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</si>
  <si>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</si>
  <si>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</si>
  <si>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</si>
  <si>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</si>
  <si>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</si>
  <si>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</si>
  <si>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</si>
  <si>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</si>
  <si>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</si>
  <si>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</si>
  <si>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</si>
  <si>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</si>
  <si>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</si>
  <si>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</si>
  <si>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</si>
  <si>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</si>
  <si>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</si>
  <si>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</si>
  <si>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</si>
  <si>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</si>
  <si>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</si>
  <si>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</si>
  <si>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</si>
  <si>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</si>
  <si>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</si>
  <si>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</si>
  <si>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</si>
  <si>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</si>
  <si>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</si>
  <si>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</si>
  <si>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</si>
  <si>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</si>
  <si>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</si>
  <si>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</si>
  <si>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</si>
  <si>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</si>
  <si>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</si>
  <si>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</si>
  <si>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</si>
  <si>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</si>
  <si>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</si>
  <si>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</si>
  <si>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</si>
  <si>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</si>
  <si>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</si>
  <si>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</si>
  <si>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</si>
  <si>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</si>
  <si>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</si>
  <si>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</si>
  <si>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</si>
  <si>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</si>
  <si>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</si>
  <si>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</si>
  <si>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</si>
  <si>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</si>
  <si>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</si>
  <si>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</si>
  <si>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</si>
  <si>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</si>
  <si>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</si>
  <si>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</si>
  <si>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</si>
  <si>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</si>
  <si>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</si>
  <si>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</si>
  <si>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</si>
  <si>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</si>
  <si>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</si>
  <si>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</si>
  <si>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</si>
  <si>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</si>
  <si>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</si>
  <si>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</si>
  <si>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</si>
  <si>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</si>
  <si>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</si>
  <si>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</si>
  <si>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</si>
  <si>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</si>
  <si>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</si>
  <si>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</si>
  <si>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</si>
  <si>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</si>
  <si>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</si>
  <si>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</si>
  <si>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</si>
  <si>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</si>
  <si>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</si>
  <si>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</si>
  <si>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</si>
  <si>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</si>
  <si>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</si>
  <si>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</si>
  <si>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</si>
  <si>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</si>
  <si>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</si>
  <si>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</si>
  <si>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</si>
  <si>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</si>
  <si>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</si>
  <si>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</si>
  <si>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</si>
  <si>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</si>
  <si>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</si>
  <si>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</si>
  <si>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</si>
  <si>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</si>
  <si>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</si>
  <si>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</si>
  <si>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</si>
  <si>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</si>
  <si>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</si>
  <si>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</si>
  <si>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</si>
  <si>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</si>
  <si>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</si>
  <si>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</si>
  <si>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</si>
  <si>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</si>
  <si>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</si>
  <si>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</si>
  <si>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</si>
  <si>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</si>
  <si>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</si>
  <si>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</si>
  <si>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</si>
  <si>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</si>
  <si>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</si>
  <si>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</si>
  <si>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</si>
  <si>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</si>
  <si>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</si>
  <si>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</si>
  <si>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</si>
  <si>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</si>
  <si>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</si>
  <si>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</si>
  <si>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</si>
  <si>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</si>
  <si>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</si>
  <si>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</si>
  <si>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</si>
  <si>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</si>
  <si>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</si>
  <si>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</si>
  <si>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</si>
  <si>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</si>
  <si>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</si>
  <si>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</si>
  <si>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</si>
  <si>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</si>
  <si>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</si>
  <si>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</si>
  <si>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</si>
  <si>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</si>
  <si>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</si>
  <si>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</si>
  <si>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</si>
  <si>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</si>
  <si>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</si>
  <si>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</si>
  <si>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</si>
  <si>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</si>
  <si>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</si>
  <si>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</si>
  <si>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</si>
  <si>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</si>
  <si>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</si>
  <si>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</si>
  <si>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</si>
  <si>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</si>
  <si>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</si>
  <si>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</si>
  <si>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</si>
  <si>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</si>
  <si>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</si>
  <si>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</si>
  <si>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</si>
  <si>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</si>
  <si>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</si>
  <si>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</si>
  <si>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</si>
  <si>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</si>
  <si>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</si>
  <si>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</si>
  <si>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</si>
  <si>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</si>
  <si>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</si>
  <si>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</si>
  <si>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</si>
  <si>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</si>
  <si>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</si>
  <si>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</si>
  <si>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</si>
  <si>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</si>
  <si>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</si>
  <si>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</si>
  <si>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</si>
  <si>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</si>
  <si>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</si>
  <si>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</si>
  <si>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</si>
  <si>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</si>
  <si>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</si>
  <si>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</si>
  <si>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</si>
  <si>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</si>
  <si>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</si>
  <si>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</si>
  <si>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</si>
  <si>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</si>
  <si>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</si>
  <si>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</si>
  <si>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</si>
  <si>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</si>
  <si>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</si>
  <si>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</si>
  <si>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</si>
  <si>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</si>
  <si>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</si>
  <si>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</si>
  <si>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</si>
  <si>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</si>
  <si>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</si>
  <si>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</si>
  <si>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</si>
  <si>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</si>
  <si>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</si>
  <si>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</si>
  <si>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</si>
  <si>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</si>
  <si>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</si>
  <si>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</si>
  <si>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</si>
  <si>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</si>
  <si>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</si>
  <si>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</si>
  <si>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</si>
  <si>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</si>
  <si>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</si>
  <si>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</si>
  <si>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</si>
  <si>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</si>
  <si>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</si>
  <si>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</si>
  <si>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</si>
  <si>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</si>
  <si>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</si>
  <si>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</si>
  <si>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</si>
  <si>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</si>
  <si>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</si>
  <si>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</si>
  <si>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</si>
  <si>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</si>
  <si>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</si>
  <si>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</si>
  <si>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</si>
  <si>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</si>
  <si>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</si>
  <si>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</si>
  <si>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</si>
  <si>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</si>
  <si>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</si>
  <si>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</si>
  <si>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</si>
  <si>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</si>
  <si>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</si>
  <si>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</si>
  <si>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</si>
  <si>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</si>
  <si>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</si>
  <si>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</si>
  <si>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</si>
  <si>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</si>
  <si>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</si>
  <si>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</si>
  <si>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</si>
  <si>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</si>
  <si>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</si>
  <si>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</si>
  <si>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</si>
  <si>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</si>
  <si>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</si>
  <si>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</si>
  <si>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</si>
  <si>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</si>
  <si>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</si>
  <si>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</si>
  <si>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</si>
  <si>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</si>
  <si>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</si>
  <si>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</si>
  <si>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</si>
  <si>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</si>
  <si>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</si>
  <si>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</si>
  <si>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</si>
  <si>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</si>
  <si>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</si>
  <si>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</si>
  <si>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</si>
  <si>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</si>
  <si>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</si>
  <si>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</si>
  <si>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</si>
  <si>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</si>
  <si>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</si>
  <si>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</si>
  <si>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</si>
  <si>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</si>
  <si>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</si>
  <si>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</si>
  <si>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</si>
  <si>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</si>
  <si>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</si>
  <si>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</si>
  <si>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</si>
  <si>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</si>
  <si>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</si>
  <si>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</si>
  <si>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</si>
  <si>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</si>
  <si>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</si>
  <si>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</si>
  <si>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</si>
  <si>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</si>
  <si>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</si>
  <si>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</si>
  <si>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</si>
  <si>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</si>
  <si>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</si>
  <si>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</si>
  <si>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</si>
  <si>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</si>
  <si>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</si>
  <si>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</si>
  <si>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</si>
  <si>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</si>
  <si>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</si>
  <si>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</si>
  <si>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</si>
  <si>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</si>
  <si>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</si>
  <si>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</si>
  <si>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</si>
  <si>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</si>
  <si>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</si>
  <si>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</si>
  <si>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</si>
  <si>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</si>
  <si>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</si>
  <si>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</si>
  <si>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</si>
  <si>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</si>
  <si>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</si>
  <si>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</si>
  <si>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</si>
  <si>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</si>
  <si>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</si>
  <si>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</si>
  <si>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</si>
  <si>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</si>
  <si>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</si>
  <si>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</si>
  <si>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</si>
  <si>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</si>
  <si>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</si>
  <si>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</si>
  <si>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</si>
  <si>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</si>
  <si>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</si>
  <si>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</si>
  <si>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</si>
  <si>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</si>
  <si>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</si>
  <si>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</si>
  <si>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</si>
  <si>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</si>
  <si>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</si>
  <si>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</si>
  <si>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</si>
  <si>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</si>
  <si>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</si>
  <si>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</si>
  <si>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</si>
  <si>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</si>
  <si>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</si>
  <si>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</si>
  <si>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</si>
  <si>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</si>
  <si>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</si>
  <si>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</si>
  <si>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</si>
  <si>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</si>
  <si>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</si>
  <si>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</si>
  <si>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</si>
  <si>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</si>
  <si>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</si>
  <si>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</si>
  <si>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</si>
  <si>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</si>
  <si>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</si>
  <si>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</si>
  <si>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</si>
  <si>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</si>
  <si>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</si>
  <si>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</si>
  <si>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</si>
  <si>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</si>
  <si>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</si>
  <si>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</si>
  <si>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</si>
  <si>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</si>
  <si>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</si>
  <si>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</si>
  <si>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</si>
  <si>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</si>
  <si>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</si>
  <si>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</si>
  <si>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</si>
  <si>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</si>
  <si>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</si>
  <si>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</si>
  <si>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</si>
  <si>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</si>
  <si>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</si>
  <si>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</si>
  <si>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</si>
  <si>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</si>
  <si>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</si>
  <si>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</si>
  <si>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</si>
  <si>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</si>
  <si>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</si>
  <si>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</si>
  <si>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</si>
  <si>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</si>
  <si>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</si>
  <si>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</si>
  <si>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</si>
  <si>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</si>
  <si>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</si>
  <si>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</si>
  <si>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</si>
  <si>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</si>
  <si>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</si>
  <si>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</si>
  <si>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</si>
  <si>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</si>
  <si>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</si>
  <si>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</si>
  <si>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</si>
  <si>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</si>
  <si>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</si>
  <si>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</si>
  <si>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</si>
  <si>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</si>
  <si>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</si>
  <si>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</si>
  <si>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</si>
  <si>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</si>
  <si>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</si>
  <si>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</si>
  <si>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</si>
  <si>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</si>
  <si>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</si>
  <si>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</si>
  <si>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</si>
  <si>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</si>
  <si>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</si>
  <si>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</si>
  <si>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</si>
  <si>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</si>
  <si>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</si>
  <si>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</si>
  <si>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</si>
  <si>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</si>
  <si>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</si>
  <si>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</si>
  <si>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</si>
  <si>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</si>
  <si>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</si>
  <si>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</si>
  <si>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</si>
  <si>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</si>
  <si>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</si>
  <si>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</si>
  <si>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</si>
  <si>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</si>
  <si>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</si>
  <si>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</si>
  <si>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</si>
  <si>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</si>
  <si>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</si>
  <si>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</si>
  <si>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</si>
  <si>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</si>
  <si>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</si>
  <si>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</si>
  <si>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</si>
  <si>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</si>
  <si>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</si>
  <si>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</si>
  <si>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</si>
  <si>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</si>
  <si>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</si>
  <si>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</si>
  <si>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</si>
  <si>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</si>
  <si>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</si>
  <si>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</si>
  <si>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</si>
  <si>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</si>
  <si>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</si>
  <si>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</si>
  <si>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</si>
  <si>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</si>
  <si>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</si>
  <si>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</si>
  <si>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</si>
  <si>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</si>
  <si>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</si>
  <si>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</si>
  <si>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</si>
  <si>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</si>
  <si>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</si>
  <si>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</si>
  <si>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</si>
  <si>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</si>
  <si>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</si>
  <si>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</si>
  <si>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</si>
  <si>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</si>
  <si>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</si>
  <si>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</si>
  <si>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</si>
  <si>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</si>
  <si>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</si>
  <si>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</si>
  <si>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</si>
  <si>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</si>
  <si>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</si>
  <si>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</si>
  <si>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</si>
  <si>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</si>
  <si>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</si>
  <si>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</si>
  <si>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</si>
  <si>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</si>
  <si>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</si>
  <si>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</si>
  <si>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</si>
  <si>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</si>
  <si>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</si>
  <si>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</si>
  <si>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</si>
  <si>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</si>
  <si>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</si>
  <si>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</si>
  <si>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</si>
  <si>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</si>
  <si>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</si>
  <si>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</si>
  <si>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</si>
  <si>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</si>
  <si>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</si>
  <si>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</si>
  <si>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</si>
  <si>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</si>
  <si>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</si>
  <si>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</si>
  <si>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</si>
  <si>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</si>
  <si>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</si>
  <si>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</si>
  <si>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</si>
  <si>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</si>
  <si>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</si>
  <si>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</si>
  <si>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</si>
  <si>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</si>
  <si>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</si>
  <si>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</si>
  <si>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</si>
  <si>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</si>
  <si>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</si>
  <si>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</si>
  <si>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</si>
  <si>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</si>
  <si>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</si>
  <si>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</si>
  <si>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</si>
  <si>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</si>
  <si>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</si>
  <si>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</si>
  <si>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</si>
  <si>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</si>
  <si>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</si>
  <si>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</si>
  <si>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</si>
  <si>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</si>
  <si>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</si>
  <si>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</si>
  <si>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</si>
  <si>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</si>
  <si>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</si>
  <si>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</si>
  <si>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</si>
  <si>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</si>
  <si>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</si>
  <si>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</si>
  <si>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</si>
  <si>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</si>
  <si>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</si>
  <si>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</si>
  <si>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</si>
  <si>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</si>
  <si>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</si>
  <si>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</si>
  <si>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</si>
  <si>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</si>
  <si>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</si>
  <si>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</si>
  <si>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</si>
  <si>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</si>
  <si>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</si>
  <si>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</si>
  <si>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</si>
  <si>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</si>
  <si>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</si>
  <si>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</si>
  <si>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</si>
  <si>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</si>
  <si>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</si>
  <si>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</si>
  <si>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</si>
  <si>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</si>
  <si>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</si>
  <si>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</si>
  <si>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</si>
  <si>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</si>
  <si>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</si>
  <si>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</si>
  <si>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</si>
  <si>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</si>
  <si>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</si>
  <si>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</si>
  <si>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</si>
  <si>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</si>
  <si>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</si>
  <si>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</si>
  <si>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</si>
  <si>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</si>
  <si>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</si>
  <si>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</si>
  <si>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</si>
  <si>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</si>
  <si>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</si>
  <si>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</si>
  <si>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</si>
  <si>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</si>
  <si>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</si>
  <si>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</si>
  <si>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</si>
  <si>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</si>
  <si>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</si>
  <si>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</si>
  <si>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</si>
  <si>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</si>
  <si>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</si>
  <si>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</si>
  <si>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</si>
  <si>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</si>
  <si>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</si>
  <si>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</si>
  <si>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</si>
  <si>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</si>
  <si>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</si>
  <si>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</si>
  <si>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</si>
  <si>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</si>
  <si>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</si>
  <si>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</si>
  <si>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</si>
  <si>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</si>
  <si>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</si>
  <si>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</si>
  <si>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</si>
  <si>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</si>
  <si>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</si>
  <si>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</si>
  <si>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</si>
  <si>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</si>
  <si>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</si>
  <si>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</si>
  <si>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</si>
  <si>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</si>
  <si>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</si>
  <si>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</si>
  <si>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</si>
  <si>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</si>
  <si>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</si>
  <si>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</si>
  <si>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</si>
  <si>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</si>
  <si>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</si>
  <si>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</si>
  <si>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</si>
  <si>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</si>
  <si>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</si>
  <si>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</si>
  <si>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</si>
  <si>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</si>
  <si>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</si>
  <si>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</si>
  <si>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</si>
  <si>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</si>
  <si>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</si>
  <si>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</si>
  <si>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</si>
  <si>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</si>
  <si>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</si>
  <si>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</si>
  <si>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</si>
  <si>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</si>
  <si>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</si>
  <si>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</si>
  <si>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</si>
  <si>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</si>
  <si>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</si>
  <si>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</si>
  <si>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</si>
  <si>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</si>
  <si>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</si>
  <si>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</si>
  <si>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</si>
  <si>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</si>
  <si>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</si>
  <si>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</si>
  <si>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</si>
  <si>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</si>
  <si>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</si>
  <si>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</si>
  <si>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</si>
  <si>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</si>
  <si>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</si>
  <si>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</si>
  <si>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</si>
  <si>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</si>
  <si>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</si>
  <si>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</si>
  <si>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</si>
  <si>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</si>
  <si>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</si>
  <si>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</si>
  <si>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</si>
  <si>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</si>
  <si>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</si>
  <si>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</si>
  <si>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</si>
  <si>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</si>
  <si>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</si>
  <si>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</si>
  <si>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</si>
  <si>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</si>
  <si>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</si>
  <si>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</si>
  <si>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</si>
  <si>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</si>
  <si>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</si>
  <si>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</si>
  <si>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</si>
  <si>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</si>
  <si>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</si>
  <si>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</si>
  <si>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</si>
  <si>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</si>
  <si>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</si>
  <si>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</si>
  <si>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</si>
  <si>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</si>
  <si>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</si>
  <si>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</si>
  <si>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</si>
  <si>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</si>
  <si>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</si>
  <si>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</si>
  <si>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</si>
  <si>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</si>
  <si>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</si>
  <si>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</si>
  <si>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</si>
  <si>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</si>
  <si>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</si>
  <si>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</si>
  <si>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</si>
  <si>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</si>
  <si>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</si>
  <si>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</si>
  <si>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</si>
  <si>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</si>
  <si>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</si>
  <si>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</si>
  <si>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</si>
  <si>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</si>
  <si>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</si>
  <si>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</si>
  <si>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</si>
  <si>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</si>
  <si>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</si>
  <si>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</si>
  <si>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</si>
  <si>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</si>
  <si>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</si>
  <si>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</si>
  <si>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</si>
  <si>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</si>
  <si>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</si>
  <si>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</si>
  <si>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</si>
  <si>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</si>
  <si>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</si>
  <si>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</si>
  <si>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</si>
  <si>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</si>
  <si>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</si>
  <si>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</si>
  <si>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</si>
  <si>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</si>
  <si>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</si>
  <si>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</si>
  <si>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</si>
  <si>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</si>
  <si>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</si>
  <si>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</si>
  <si>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</si>
  <si>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</si>
  <si>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</si>
  <si>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</si>
  <si>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</si>
  <si>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</si>
  <si>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</si>
  <si>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</si>
  <si>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</si>
  <si>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</si>
  <si>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</si>
  <si>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</si>
  <si>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</si>
  <si>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</si>
  <si>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</si>
  <si>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</si>
  <si>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</si>
  <si>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</si>
  <si>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</si>
  <si>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</si>
  <si>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</si>
  <si>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</si>
  <si>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</si>
  <si>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</si>
  <si>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</si>
  <si>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</si>
  <si>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</si>
  <si>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</si>
  <si>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</si>
  <si>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</si>
  <si>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</si>
  <si>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</si>
  <si>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</si>
  <si>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</si>
  <si>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</si>
  <si>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</si>
  <si>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</si>
  <si>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</si>
  <si>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</si>
  <si>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</si>
  <si>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</si>
  <si>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</si>
  <si>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</si>
  <si>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</si>
  <si>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</si>
  <si>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</si>
  <si>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</si>
  <si>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</si>
  <si>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</si>
  <si>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</si>
  <si>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</si>
  <si>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</si>
  <si>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</si>
  <si>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</si>
  <si>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</si>
  <si>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</si>
  <si>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</si>
  <si>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</si>
  <si>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</si>
  <si>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</si>
  <si>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</si>
  <si>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</si>
  <si>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</si>
  <si>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</si>
  <si>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</si>
  <si>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</si>
  <si>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</si>
  <si>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</si>
  <si>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</si>
  <si>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</si>
  <si>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</si>
  <si>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</si>
  <si>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</si>
  <si>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</si>
  <si>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</si>
  <si>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</si>
  <si>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</si>
  <si>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</si>
  <si>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</si>
  <si>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</si>
  <si>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</si>
  <si>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</si>
  <si>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</si>
  <si>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</si>
  <si>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</si>
  <si>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</si>
  <si>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</si>
  <si>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</si>
  <si>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</si>
  <si>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</si>
  <si>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</si>
  <si>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</si>
  <si>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</si>
  <si>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</si>
  <si>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</si>
  <si>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</si>
  <si>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</si>
  <si>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</si>
  <si>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</si>
  <si>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</si>
  <si>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</si>
  <si>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</si>
  <si>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</si>
  <si>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</si>
  <si>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</si>
  <si>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</si>
  <si>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</si>
  <si>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</si>
  <si>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</si>
  <si>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</si>
  <si>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</si>
  <si>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</si>
  <si>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</si>
  <si>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</si>
  <si>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</si>
  <si>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</si>
  <si>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</si>
  <si>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</si>
  <si>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</si>
  <si>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</si>
  <si>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</si>
  <si>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</si>
  <si>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</si>
  <si>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</si>
  <si>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</si>
  <si>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</si>
  <si>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</si>
  <si>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</si>
  <si>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</si>
  <si>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</si>
  <si>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</si>
  <si>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</si>
  <si>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</si>
  <si>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</si>
  <si>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</si>
  <si>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</si>
  <si>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</si>
  <si>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</si>
  <si>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</si>
  <si>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</si>
  <si>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</si>
  <si>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</si>
  <si>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</si>
  <si>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</si>
  <si>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</si>
  <si>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</si>
  <si>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</si>
  <si>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</si>
  <si>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</si>
  <si>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</si>
  <si>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</si>
  <si>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</si>
  <si>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</si>
  <si>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</si>
  <si>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</si>
  <si>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</si>
  <si>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</si>
  <si>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</si>
  <si>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</si>
  <si>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</si>
  <si>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</si>
  <si>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</si>
  <si>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</si>
  <si>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</si>
  <si>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</si>
  <si>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</si>
  <si>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</si>
  <si>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</si>
  <si>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</si>
  <si>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</si>
  <si>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</si>
  <si>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</si>
  <si>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</si>
  <si>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</si>
  <si>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</si>
  <si>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</si>
  <si>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</si>
  <si>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</si>
  <si>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</si>
  <si>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</si>
  <si>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</si>
  <si>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</si>
  <si>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</si>
  <si>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</si>
  <si>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</si>
  <si>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</si>
  <si>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</si>
  <si>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</si>
  <si>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</si>
  <si>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</si>
  <si>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</si>
  <si>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</si>
  <si>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</si>
  <si>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</si>
  <si>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</si>
  <si>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</si>
  <si>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</si>
  <si>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</si>
  <si>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</si>
  <si>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</si>
  <si>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</si>
  <si>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</si>
  <si>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</si>
  <si>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</si>
  <si>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</si>
  <si>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</si>
  <si>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</si>
  <si>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</si>
  <si>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</si>
  <si>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</si>
  <si>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</si>
  <si>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</si>
  <si>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</si>
  <si>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</si>
  <si>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</si>
  <si>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</si>
  <si>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</si>
  <si>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</si>
  <si>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</si>
  <si>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</si>
  <si>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</si>
  <si>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</si>
  <si>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</si>
  <si>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</si>
  <si>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</si>
  <si>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</si>
  <si>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</si>
  <si>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</si>
  <si>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</si>
  <si>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</si>
  <si>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</si>
  <si>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</si>
  <si>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</si>
  <si>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</si>
  <si>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</si>
  <si>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</si>
  <si>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</si>
  <si>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</si>
  <si>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</si>
  <si>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</si>
  <si>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</si>
  <si>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</si>
  <si>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</si>
  <si>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</si>
  <si>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</si>
  <si>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</si>
  <si>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</si>
  <si>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</si>
  <si>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</si>
  <si>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</si>
  <si>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</si>
  <si>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</si>
  <si>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</si>
  <si>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</si>
  <si>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</si>
  <si>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</si>
  <si>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</si>
  <si>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</si>
  <si>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</si>
  <si>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</si>
  <si>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</si>
  <si>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</si>
  <si>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</si>
  <si>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</si>
  <si>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</si>
  <si>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</si>
  <si>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</si>
  <si>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</si>
  <si>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</si>
  <si>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</si>
  <si>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</si>
  <si>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</si>
  <si>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</si>
  <si>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</si>
  <si>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</si>
  <si>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</si>
  <si>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</si>
  <si>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</si>
  <si>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</si>
  <si>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</si>
  <si>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</si>
  <si>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</si>
  <si>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</si>
  <si>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</si>
  <si>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</si>
  <si>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</si>
  <si>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</si>
  <si>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</si>
  <si>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</si>
  <si>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</si>
  <si>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</si>
  <si>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</si>
  <si>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</si>
  <si>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</si>
  <si>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</si>
  <si>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</si>
  <si>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</si>
  <si>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</si>
  <si>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</si>
  <si>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</si>
  <si>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</si>
  <si>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</si>
  <si>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</si>
  <si>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</si>
  <si>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</si>
  <si>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</si>
  <si>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</si>
  <si>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</si>
  <si>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</si>
  <si>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</si>
  <si>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</si>
  <si>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</si>
  <si>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</si>
  <si>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</si>
  <si>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</si>
  <si>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</si>
  <si>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</si>
  <si>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</si>
  <si>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</si>
  <si>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</si>
  <si>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</si>
  <si>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</si>
  <si>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</si>
  <si>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</si>
  <si>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</si>
  <si>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</si>
  <si>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</si>
  <si>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</si>
  <si>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</si>
  <si>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</si>
  <si>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</si>
  <si>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</si>
  <si>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</si>
  <si>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</si>
  <si>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</si>
  <si>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</si>
  <si>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</si>
  <si>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</si>
  <si>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</si>
  <si>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</si>
  <si>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</si>
  <si>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</si>
  <si>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</si>
  <si>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</si>
  <si>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</si>
  <si>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</si>
  <si>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</si>
  <si>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</si>
  <si>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</si>
  <si>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</si>
  <si>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</si>
  <si>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</si>
  <si>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</si>
  <si>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</si>
  <si>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</si>
  <si>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</si>
  <si>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</si>
  <si>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</si>
  <si>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</si>
  <si>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</si>
  <si>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</si>
  <si>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</si>
  <si>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</si>
  <si>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</si>
  <si>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</si>
  <si>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</si>
  <si>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</si>
  <si>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</si>
  <si>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</si>
  <si>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</si>
  <si>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</si>
  <si>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</si>
  <si>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</si>
  <si>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</si>
  <si>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</si>
  <si>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</si>
  <si>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</si>
  <si>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</si>
  <si>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</si>
  <si>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</si>
  <si>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</si>
  <si>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</si>
  <si>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</si>
  <si>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</si>
  <si>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</si>
  <si>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</si>
  <si>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</si>
  <si>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</si>
  <si>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</si>
  <si>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</si>
  <si>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</si>
  <si>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</si>
  <si>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</si>
  <si>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</si>
  <si>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</si>
  <si>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</si>
  <si>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</si>
  <si>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</si>
  <si>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</si>
  <si>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</si>
  <si>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</si>
  <si>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</si>
  <si>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</si>
  <si>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</si>
  <si>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</si>
  <si>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</si>
  <si>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</si>
  <si>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</si>
  <si>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</si>
  <si>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</si>
  <si>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</si>
  <si>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</si>
  <si>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</si>
  <si>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</si>
  <si>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</si>
  <si>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</si>
  <si>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</si>
  <si>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</si>
  <si>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</si>
  <si>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</si>
  <si>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</si>
  <si>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</si>
  <si>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</si>
  <si>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</si>
  <si>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</si>
  <si>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</si>
  <si>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</si>
  <si>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</si>
  <si>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</si>
  <si>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</si>
  <si>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</si>
  <si>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</si>
  <si>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</si>
  <si>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</si>
  <si>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</si>
  <si>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</si>
  <si>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</si>
  <si>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</si>
  <si>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</si>
  <si>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</si>
  <si>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</si>
  <si>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</si>
  <si>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</si>
  <si>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</si>
  <si>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</si>
  <si>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</si>
  <si>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</si>
  <si>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</si>
  <si>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</si>
  <si>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</si>
  <si>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</si>
  <si>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</si>
  <si>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</si>
  <si>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</si>
  <si>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</si>
  <si>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</si>
  <si>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</si>
  <si>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</si>
  <si>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</si>
  <si>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</si>
  <si>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</si>
  <si>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</si>
  <si>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</si>
  <si>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</si>
  <si>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</si>
  <si>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</si>
  <si>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</si>
  <si>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</si>
  <si>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</si>
  <si>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</si>
  <si>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</si>
  <si>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</si>
  <si>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</si>
  <si>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</si>
  <si>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</si>
  <si>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</si>
  <si>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</si>
  <si>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</si>
  <si>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</si>
  <si>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</si>
  <si>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</si>
  <si>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</si>
  <si>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</si>
  <si>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</si>
  <si>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</si>
  <si>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</si>
  <si>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</si>
  <si>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</si>
  <si>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</si>
  <si>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</si>
  <si>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</si>
  <si>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</si>
  <si>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</si>
  <si>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</si>
  <si>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</si>
  <si>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</si>
  <si>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</si>
  <si>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</si>
  <si>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</si>
  <si>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</si>
  <si>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</si>
  <si>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</si>
  <si>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</si>
  <si>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</si>
  <si>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</si>
  <si>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</si>
  <si>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</si>
  <si>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</si>
  <si>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</si>
  <si>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</si>
  <si>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</si>
  <si>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</si>
  <si>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</si>
  <si>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</si>
  <si>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</si>
  <si>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</si>
  <si>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</si>
  <si>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</si>
  <si>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</si>
  <si>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</si>
  <si>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</si>
  <si>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</si>
  <si>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</si>
  <si>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</si>
  <si>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</si>
  <si>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</si>
  <si>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</si>
  <si>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</si>
  <si>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</si>
  <si>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</si>
  <si>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</si>
  <si>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</si>
  <si>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</si>
  <si>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</si>
  <si>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</si>
  <si>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</si>
  <si>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</si>
  <si>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</si>
  <si>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</si>
  <si>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</si>
  <si>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</si>
  <si>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</si>
  <si>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</si>
  <si>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</si>
  <si>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</si>
  <si>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</si>
  <si>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</si>
  <si>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</si>
  <si>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</si>
  <si>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</si>
  <si>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</si>
  <si>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</si>
  <si>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</si>
  <si>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</si>
  <si>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</si>
  <si>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</si>
  <si>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</si>
  <si>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</si>
  <si>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</si>
  <si>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</si>
  <si>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</si>
  <si>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</si>
  <si>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</si>
  <si>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</si>
  <si>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</si>
  <si>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</si>
  <si>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</si>
  <si>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</si>
  <si>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</si>
  <si>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</si>
  <si>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</si>
  <si>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</si>
  <si>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</si>
  <si>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</si>
  <si>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</si>
  <si>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</si>
  <si>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</si>
  <si>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</si>
  <si>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</si>
  <si>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</si>
  <si>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</si>
  <si>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</si>
  <si>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</si>
  <si>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</si>
  <si>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</si>
  <si>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</si>
  <si>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</si>
  <si>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</si>
  <si>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</si>
  <si>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</si>
  <si>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</si>
  <si>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</si>
  <si>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</si>
  <si>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</si>
  <si>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</si>
  <si>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</si>
  <si>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</si>
  <si>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</si>
  <si>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</si>
  <si>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</si>
  <si>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</si>
  <si>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</si>
  <si>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</si>
  <si>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</si>
  <si>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</si>
  <si>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</si>
  <si>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</si>
  <si>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</si>
  <si>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</si>
  <si>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</si>
  <si>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</si>
  <si>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</si>
  <si>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</si>
  <si>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</si>
  <si>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</si>
  <si>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</si>
  <si>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</si>
  <si>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</si>
  <si>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</si>
  <si>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</si>
  <si>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</si>
  <si>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</si>
  <si>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</si>
  <si>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</si>
  <si>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</si>
  <si>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</si>
  <si>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</si>
  <si>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</si>
  <si>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</si>
  <si>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</si>
  <si>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</si>
  <si>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</si>
  <si>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</si>
  <si>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</si>
  <si>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</si>
  <si>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</si>
  <si>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</si>
  <si>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</si>
  <si>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</si>
  <si>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</si>
  <si>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</si>
  <si>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</si>
  <si>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</si>
  <si>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</si>
  <si>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</si>
  <si>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</si>
  <si>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</si>
  <si>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</si>
  <si>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</si>
  <si>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</si>
  <si>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</si>
  <si>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</si>
  <si>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</si>
  <si>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</si>
  <si>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</si>
  <si>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</si>
  <si>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</si>
  <si>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</si>
  <si>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</si>
  <si>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</si>
  <si>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</si>
  <si>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</si>
  <si>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</si>
  <si>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</si>
  <si>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</si>
  <si>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</si>
  <si>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</si>
  <si>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</si>
  <si>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</si>
  <si>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</si>
  <si>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</si>
  <si>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</si>
  <si>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</si>
  <si>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</si>
  <si>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</si>
  <si>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</si>
  <si>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</si>
  <si>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</si>
  <si>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</si>
  <si>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</si>
  <si>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</si>
  <si>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</si>
  <si>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</si>
  <si>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</si>
  <si>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</si>
  <si>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</si>
  <si>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</si>
  <si>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</si>
  <si>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</si>
  <si>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</si>
  <si>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</si>
  <si>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</si>
  <si>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</si>
  <si>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</si>
  <si>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</si>
  <si>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</si>
  <si>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</si>
  <si>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</si>
  <si>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</si>
  <si>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</si>
  <si>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</si>
  <si>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</si>
  <si>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</si>
  <si>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</si>
  <si>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</si>
  <si>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</si>
  <si>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</si>
  <si>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</si>
  <si>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</si>
  <si>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</si>
  <si>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</si>
  <si>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</si>
  <si>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</si>
  <si>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</si>
  <si>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</si>
  <si>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</si>
  <si>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</si>
  <si>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</si>
  <si>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</si>
  <si>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</si>
  <si>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</si>
  <si>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</si>
  <si>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</si>
  <si>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</si>
  <si>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</si>
  <si>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</si>
  <si>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</si>
  <si>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</si>
  <si>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</si>
  <si>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</si>
  <si>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</si>
  <si>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</si>
  <si>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</si>
  <si>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</si>
  <si>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</si>
  <si>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</si>
  <si>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</si>
  <si>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</si>
  <si>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</si>
  <si>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</si>
  <si>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</si>
  <si>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</si>
  <si>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</si>
  <si>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</si>
  <si>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</si>
  <si>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</si>
  <si>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</si>
  <si>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</si>
  <si>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</si>
  <si>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</si>
  <si>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</si>
  <si>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</si>
  <si>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</si>
  <si>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</si>
  <si>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</si>
  <si>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</si>
  <si>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</si>
  <si>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</si>
  <si>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</si>
  <si>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</si>
  <si>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</si>
  <si>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</si>
  <si>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</si>
  <si>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</si>
  <si>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</si>
  <si>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</si>
  <si>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</si>
  <si>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</si>
  <si>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</si>
  <si>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</si>
  <si>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</si>
  <si>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</si>
  <si>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</si>
  <si>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</si>
  <si>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</si>
  <si>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</si>
  <si>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</si>
  <si>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</si>
  <si>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</si>
  <si>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</si>
  <si>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</si>
  <si>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</si>
  <si>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</si>
  <si>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</si>
  <si>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</si>
  <si>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</si>
  <si>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</si>
  <si>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</si>
  <si>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</si>
  <si>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</si>
  <si>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</si>
  <si>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</si>
  <si>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</si>
  <si>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</si>
  <si>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</si>
  <si>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</si>
  <si>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</si>
  <si>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</si>
  <si>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</si>
  <si>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</si>
  <si>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</si>
  <si>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</si>
  <si>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</si>
  <si>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</si>
  <si>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</si>
  <si>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</si>
  <si>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</si>
  <si>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</si>
  <si>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</si>
  <si>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</si>
  <si>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</si>
  <si>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</si>
  <si>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</si>
  <si>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</si>
  <si>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</si>
  <si>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</si>
  <si>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</si>
  <si>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</si>
  <si>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</si>
  <si>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</si>
  <si>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</si>
  <si>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</si>
  <si>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</si>
  <si>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</si>
  <si>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</si>
  <si>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</si>
  <si>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</si>
  <si>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</si>
  <si>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</si>
  <si>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</si>
  <si>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</si>
  <si>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</si>
  <si>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</si>
  <si>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</si>
  <si>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</si>
  <si>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</si>
  <si>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</si>
  <si>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</si>
  <si>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</si>
  <si>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</si>
  <si>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</si>
  <si>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</si>
  <si>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</si>
  <si>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</si>
  <si>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</si>
  <si>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</si>
  <si>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</si>
  <si>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</si>
  <si>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</si>
  <si>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</si>
  <si>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</si>
  <si>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</si>
  <si>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</si>
  <si>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</si>
  <si>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</si>
  <si>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</si>
  <si>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</si>
  <si>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</si>
  <si>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</si>
  <si>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</si>
  <si>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</si>
  <si>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</si>
  <si>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</si>
  <si>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</si>
  <si>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</si>
  <si>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</si>
  <si>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</si>
  <si>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</si>
  <si>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</si>
  <si>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</si>
  <si>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</si>
  <si>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</si>
  <si>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</si>
  <si>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</si>
  <si>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</si>
  <si>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</si>
  <si>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</si>
  <si>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</si>
  <si>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</si>
  <si>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</si>
  <si>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</si>
  <si>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</si>
  <si>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</si>
  <si>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</si>
  <si>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</si>
  <si>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</si>
  <si>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</si>
  <si>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</si>
  <si>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</si>
  <si>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</si>
  <si>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</si>
  <si>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</si>
  <si>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</si>
  <si>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</si>
  <si>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</si>
  <si>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</si>
  <si>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</si>
  <si>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</si>
  <si>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</si>
  <si>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</si>
  <si>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</si>
  <si>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</si>
  <si>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</si>
  <si>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</si>
  <si>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</si>
  <si>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</si>
  <si>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</si>
  <si>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</si>
  <si>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</si>
  <si>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</si>
  <si>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</si>
  <si>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</si>
  <si>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</si>
  <si>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</si>
  <si>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</si>
  <si>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</si>
  <si>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</si>
  <si>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</si>
  <si>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</si>
  <si>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</si>
  <si>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</si>
  <si>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</si>
  <si>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</si>
  <si>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</si>
  <si>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</si>
  <si>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</si>
  <si>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</si>
  <si>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</si>
  <si>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</si>
  <si>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</si>
  <si>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</si>
  <si>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</si>
  <si>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</si>
  <si>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</si>
  <si>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</si>
  <si>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</si>
  <si>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</si>
  <si>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</si>
  <si>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</si>
  <si>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</si>
  <si>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</si>
  <si>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</si>
  <si>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</si>
  <si>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</si>
  <si>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</si>
  <si>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</si>
  <si>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</si>
  <si>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</si>
  <si>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</si>
  <si>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</si>
  <si>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</si>
  <si>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</si>
  <si>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</si>
  <si>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</si>
  <si>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</si>
  <si>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</si>
  <si>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</si>
  <si>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</si>
  <si>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</si>
  <si>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</si>
  <si>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</si>
  <si>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</si>
  <si>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</si>
  <si>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</si>
  <si>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</si>
  <si>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</si>
  <si>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</si>
  <si>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</si>
  <si>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</si>
  <si>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</si>
  <si>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</si>
  <si>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</si>
  <si>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</si>
  <si>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</si>
  <si>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</si>
  <si>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</si>
  <si>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</si>
  <si>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</si>
  <si>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</si>
  <si>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</si>
  <si>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</si>
  <si>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</si>
  <si>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</si>
  <si>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</si>
  <si>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</si>
  <si>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</si>
  <si>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</si>
  <si>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</si>
  <si>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</si>
  <si>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</si>
  <si>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</si>
  <si>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</si>
  <si>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</si>
  <si>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</si>
  <si>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</si>
  <si>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</si>
  <si>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</si>
  <si>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</si>
  <si>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</si>
  <si>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</si>
  <si>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</si>
  <si>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</si>
  <si>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</si>
  <si>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</si>
  <si>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</si>
  <si>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</si>
  <si>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</si>
  <si>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</si>
  <si>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</si>
  <si>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</si>
  <si>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</si>
  <si>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</si>
  <si>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</si>
  <si>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</si>
  <si>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</si>
  <si>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</si>
  <si>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</si>
  <si>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</si>
  <si>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</si>
  <si>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</si>
  <si>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</si>
  <si>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</si>
  <si>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</si>
  <si>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</si>
  <si>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</si>
  <si>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</si>
  <si>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</si>
  <si>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</si>
  <si>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</si>
  <si>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</si>
  <si>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</si>
  <si>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</si>
  <si>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</si>
  <si>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</si>
  <si>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</si>
  <si>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</si>
  <si>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</si>
  <si>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</si>
  <si>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</si>
  <si>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</si>
  <si>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</si>
  <si>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</si>
  <si>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</si>
  <si>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</si>
  <si>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</si>
  <si>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</si>
  <si>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</si>
  <si>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</si>
  <si>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</si>
  <si>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</si>
  <si>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</si>
  <si>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</si>
  <si>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</si>
  <si>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</si>
  <si>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</si>
  <si>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</si>
  <si>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</si>
  <si>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</si>
  <si>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</si>
  <si>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</si>
  <si>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</si>
  <si>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</si>
  <si>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</si>
  <si>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</si>
  <si>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</si>
  <si>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</si>
  <si>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</si>
  <si>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</si>
  <si>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</si>
  <si>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</si>
  <si>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</si>
  <si>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</si>
  <si>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Edgar</t>
  </si>
  <si>
    <t>14040 E. 1200th Rd.</t>
  </si>
  <si>
    <t>jlarson@paris95.k12.il.us</t>
  </si>
  <si>
    <t>217-466-1175</t>
  </si>
  <si>
    <t>217-466-1903</t>
  </si>
  <si>
    <t>Larsson, Woodyard &amp; Henson, LLP</t>
  </si>
  <si>
    <t>Curtis. O. Root</t>
  </si>
  <si>
    <t>P.O. Box 407</t>
  </si>
  <si>
    <t>Tuscola</t>
  </si>
  <si>
    <t>IL</t>
  </si>
  <si>
    <t>217-253-5245</t>
  </si>
  <si>
    <t>217-253-5146</t>
  </si>
  <si>
    <t>066-003072</t>
  </si>
  <si>
    <t>croot@lwhcpa.com</t>
  </si>
  <si>
    <t>2017-001</t>
  </si>
  <si>
    <t>2017-002</t>
  </si>
  <si>
    <t>The Cooperative did not have proper internal controls over reconciling certain revenue and expense accounts to supporting documentation.</t>
  </si>
  <si>
    <t>Repeat as 2018-001.</t>
  </si>
  <si>
    <t>The Cooperative does not have an individual with the necessary knowledge and technical expertise to properly prepare the notes to the financial statements.</t>
  </si>
  <si>
    <t>Repeat as 2018-002.</t>
  </si>
  <si>
    <t>2017-003</t>
  </si>
  <si>
    <t>Repeat as 2018-003.</t>
  </si>
  <si>
    <t>The Cooperative's controls over cash disbursements are not operating effectively.</t>
  </si>
  <si>
    <t>The Cooperative does not have proper supporting documentation to support journal entries posted to the Cooperative's books.</t>
  </si>
  <si>
    <t>The Cooperative failed to maintain support over journal entries posted to the books during the fiscal year.</t>
  </si>
  <si>
    <t>The Cooperative should update its procedures to retain documentation for journal entries and implement a written approval process for journal entries.</t>
  </si>
  <si>
    <t>The Cooperative will update its procedures for the next fiscal year-end.</t>
  </si>
  <si>
    <t>The Cooperative requires controls over cash disbursements to be in place and operating effectively.</t>
  </si>
  <si>
    <t>In the absence of controls over cash disbursements, the Cooperative may misuse funds.</t>
  </si>
  <si>
    <t>The controls are not consistently in place and therefore are not operating effectively.</t>
  </si>
  <si>
    <t>The Cooperative should be consistently utilizing their controls over cash disbursements to protect the Cooperative from misuse of Cooperative funds.</t>
  </si>
  <si>
    <t>The Cooperative will ensure proper use of controls over cash disbursements for the next fiscal year-end.</t>
  </si>
  <si>
    <t>The Cooperative's personnel are not consistently using their controls over cash disbursements.</t>
  </si>
  <si>
    <t>The Cooperative did not keep documentation in its files to support journal entries that were made.</t>
  </si>
  <si>
    <t>In the absence of proper support, the Cooperative could be open to potential litigation or questioned costs.  There is also no evidence that the journal entries were reviewed before they were posted to the books.</t>
  </si>
  <si>
    <t>The Cooperative could be liable for questioned costs or litigation if an expense is questioned and no support is available.</t>
  </si>
  <si>
    <t>There are reporting functions that the Cooperative cannot perform.</t>
  </si>
  <si>
    <t>The Cooperative cannot prepare the notes to the financial statements.</t>
  </si>
  <si>
    <t>The Cooperative does not intend to correct the finding in the next fiscal year.</t>
  </si>
  <si>
    <t xml:space="preserve">In the absence of the necessary knowledge and expertise, the Cooperative must rely on the auditors to ensure the notes to the financial statements are properly presented. </t>
  </si>
  <si>
    <t>The Cooperative's personnel have not obtained the necessary knowledge or expertise.</t>
  </si>
  <si>
    <t>The Cooperative should provide the necessary training to personnel or contract with an independent contractor with the knowledge to properly prepare the notes to the financial statements.</t>
  </si>
  <si>
    <t>The Cooperative failed to properly reconcile certain revenue and expense general ledger accounts.</t>
  </si>
  <si>
    <t>The Cooperative will ensure proper reviews of general ledger accounts are performed for the fiscal year-end.</t>
  </si>
  <si>
    <t>The Cooperative does not reconcile certain revenue and expense accounts to the general ledger.</t>
  </si>
  <si>
    <t>In the absence of proper account reconciliations, the Cooperative's financial statements could be misstated.</t>
  </si>
  <si>
    <t>The Cooperative's general ledger is at risk of misstatements occurring that are not detected through the reconciliation process.</t>
  </si>
  <si>
    <t>The Cooperative should review its general ledger activity to ensure all revenue and expenses are recorded properly in accordance with the reporting provisions of the ISBE.</t>
  </si>
  <si>
    <t>MSB Transportation, Inc.</t>
  </si>
  <si>
    <t>40-2550-300</t>
  </si>
  <si>
    <t>TR-Pupil Transportation Services-Purchased Services</t>
  </si>
  <si>
    <t>page 11: 10-3099: Library Per Capita Grant - $750.</t>
  </si>
  <si>
    <t>page 10: 10-1690: Pepsi - $530.</t>
  </si>
  <si>
    <t>page 10: 10-1790: PHS Athletic Fees - $10,910.</t>
  </si>
  <si>
    <t>page 11: 10-1999: Ag Grant - $4,012; Other Miscellaneous Receipts - $14,677</t>
  </si>
  <si>
    <t>page 11: 20-1999: E-Rate Reimbursement - $14,665; Pepsi - $13,000; Parking Pass - $3,581; Other Miscellaneous Receipts - $5,559.</t>
  </si>
  <si>
    <t>page 11: 60-1999: Tuition Reimbursement - $98,255.</t>
  </si>
  <si>
    <t>page 13: 10-4799: Perkins Grant - $75.</t>
  </si>
  <si>
    <t>x</t>
  </si>
  <si>
    <t>Paris Union School District #95 and Paris Community Unit School District No. 4</t>
  </si>
  <si>
    <t>Eastern Illinois Area Special Education</t>
  </si>
  <si>
    <t>lbailey@pchs.k12.il.us</t>
  </si>
  <si>
    <t>Paris</t>
  </si>
  <si>
    <t>Lorraine Bailey</t>
  </si>
  <si>
    <t>PDF in Auditor Affirmation.pdf</t>
  </si>
  <si>
    <t>Paris Coop 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</si>
</sst>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quotePrefix="1"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5" fillId="0" borderId="0" xfId="3" applyFont="1" applyAlignment="1" applyProtection="1">
      <alignment horizontal="left" wrapText="1"/>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7" name="Object 5" hidden="1">
              <a:extLst>
                <a:ext uri="{63B3BB69-23CF-44E3-9099-C40C66FF867C}">
                  <a14:compatExt spid="_x0000_s38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xdr:row>
          <xdr:rowOff>9525</xdr:rowOff>
        </xdr:from>
        <xdr:to>
          <xdr:col>1</xdr:col>
          <xdr:colOff>1981200</xdr:colOff>
          <xdr:row>5</xdr:row>
          <xdr:rowOff>47625</xdr:rowOff>
        </xdr:to>
        <xdr:sp macro="" textlink="">
          <xdr:nvSpPr>
            <xdr:cNvPr id="38918" name="Object 6" hidden="1">
              <a:extLst>
                <a:ext uri="{63B3BB69-23CF-44E3-9099-C40C66FF867C}">
                  <a14:compatExt spid="_x0000_s389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1</xdr:row>
          <xdr:rowOff>9525</xdr:rowOff>
        </xdr:from>
        <xdr:to>
          <xdr:col>1</xdr:col>
          <xdr:colOff>3057525</xdr:colOff>
          <xdr:row>5</xdr:row>
          <xdr:rowOff>47625</xdr:rowOff>
        </xdr:to>
        <xdr:sp macro="" textlink="">
          <xdr:nvSpPr>
            <xdr:cNvPr id="38919" name="Object 7" hidden="1">
              <a:extLst>
                <a:ext uri="{63B3BB69-23CF-44E3-9099-C40C66FF867C}">
                  <a14:compatExt spid="_x0000_s389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95250</xdr:rowOff>
        </xdr:from>
        <xdr:to>
          <xdr:col>1</xdr:col>
          <xdr:colOff>923925</xdr:colOff>
          <xdr:row>10</xdr:row>
          <xdr:rowOff>133350</xdr:rowOff>
        </xdr:to>
        <xdr:sp macro="" textlink="">
          <xdr:nvSpPr>
            <xdr:cNvPr id="38920" name="Object 8" hidden="1">
              <a:extLst>
                <a:ext uri="{63B3BB69-23CF-44E3-9099-C40C66FF867C}">
                  <a14:compatExt spid="_x0000_s389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6</xdr:row>
          <xdr:rowOff>85725</xdr:rowOff>
        </xdr:from>
        <xdr:to>
          <xdr:col>1</xdr:col>
          <xdr:colOff>1990725</xdr:colOff>
          <xdr:row>10</xdr:row>
          <xdr:rowOff>123825</xdr:rowOff>
        </xdr:to>
        <xdr:sp macro="" textlink="">
          <xdr:nvSpPr>
            <xdr:cNvPr id="38921" name="Object 9" hidden="1">
              <a:extLst>
                <a:ext uri="{63B3BB69-23CF-44E3-9099-C40C66FF867C}">
                  <a14:compatExt spid="_x0000_s389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c r="C5" s="26" t="s">
        <v>966</v>
      </c>
      <c r="D5" s="84"/>
      <c r="E5" s="84"/>
      <c r="H5" s="38"/>
      <c r="I5" s="2012" t="s">
        <v>701</v>
      </c>
      <c r="J5" s="2011"/>
      <c r="K5" s="2011"/>
      <c r="L5" s="2011"/>
      <c r="M5" s="2011"/>
      <c r="N5" s="2011"/>
      <c r="O5" s="2011"/>
      <c r="P5" s="2011"/>
      <c r="Q5" s="2011"/>
      <c r="R5" s="2011"/>
      <c r="S5" s="2011"/>
    </row>
    <row r="6" spans="1:28" ht="14.1" customHeight="1" x14ac:dyDescent="0.2">
      <c r="B6" s="104" t="s">
        <v>2077</v>
      </c>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11023800080</v>
      </c>
      <c r="B13" s="2038"/>
      <c r="C13" s="2038"/>
      <c r="D13" s="2038"/>
      <c r="E13" s="2038"/>
      <c r="F13" s="2038"/>
      <c r="G13" s="2038"/>
      <c r="H13" s="2039"/>
      <c r="I13" s="31"/>
      <c r="J13" s="30"/>
      <c r="K13" s="28"/>
      <c r="L13" s="30"/>
      <c r="M13" s="30"/>
      <c r="N13" s="30"/>
      <c r="O13" s="30"/>
      <c r="P13" s="30"/>
      <c r="Q13" s="30"/>
      <c r="R13" s="30"/>
      <c r="S13" s="30"/>
      <c r="T13" s="2042" t="s">
        <v>2083</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2084</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2143</v>
      </c>
      <c r="B17" s="1997"/>
      <c r="C17" s="1997"/>
      <c r="D17" s="1997"/>
      <c r="E17" s="1997"/>
      <c r="F17" s="1997"/>
      <c r="G17" s="1997"/>
      <c r="H17" s="2022"/>
      <c r="T17" s="2053" t="s">
        <v>2085</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2079</v>
      </c>
      <c r="B19" s="1982"/>
      <c r="C19" s="1982"/>
      <c r="D19" s="1982"/>
      <c r="E19" s="1982"/>
      <c r="F19" s="1982"/>
      <c r="G19" s="1982"/>
      <c r="H19" s="1962"/>
      <c r="I19" s="30"/>
      <c r="J19" s="99"/>
      <c r="K19" s="40"/>
      <c r="L19" s="38"/>
      <c r="M19" s="112" t="s">
        <v>333</v>
      </c>
      <c r="P19" s="27"/>
      <c r="Q19" s="27"/>
      <c r="R19" s="27"/>
      <c r="S19" s="31"/>
      <c r="T19" s="2036" t="s">
        <v>2086</v>
      </c>
      <c r="U19" s="1961"/>
      <c r="V19" s="1961"/>
      <c r="W19" s="1962"/>
      <c r="X19" s="2051" t="s">
        <v>2087</v>
      </c>
      <c r="Y19" s="2052"/>
      <c r="Z19" s="2049">
        <v>61953</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2140</v>
      </c>
      <c r="B21" s="1961"/>
      <c r="C21" s="1961"/>
      <c r="D21" s="1961"/>
      <c r="E21" s="1961"/>
      <c r="F21" s="1961"/>
      <c r="G21" s="1961"/>
      <c r="H21" s="1962"/>
      <c r="I21" s="2016" t="s">
        <v>699</v>
      </c>
      <c r="J21" s="2011"/>
      <c r="K21" s="2011"/>
      <c r="L21" s="2011"/>
      <c r="M21" s="2011"/>
      <c r="N21" s="2011"/>
      <c r="O21" s="2011"/>
      <c r="P21" s="2011"/>
      <c r="Q21" s="2011"/>
      <c r="R21" s="2011"/>
      <c r="S21" s="2017"/>
      <c r="T21" s="2060" t="s">
        <v>2089</v>
      </c>
      <c r="U21" s="2061"/>
      <c r="V21" s="2061"/>
      <c r="W21" s="2061"/>
      <c r="X21" s="2066" t="s">
        <v>2088</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2080</v>
      </c>
      <c r="B23" s="2014"/>
      <c r="C23" s="2014"/>
      <c r="D23" s="2014"/>
      <c r="E23" s="2014"/>
      <c r="F23" s="2014"/>
      <c r="G23" s="2014"/>
      <c r="H23" s="2015"/>
      <c r="T23" s="1996" t="s">
        <v>2090</v>
      </c>
      <c r="U23" s="2059"/>
      <c r="V23" s="2059"/>
      <c r="W23" s="2059"/>
      <c r="X23" s="2063">
        <v>43434</v>
      </c>
      <c r="Y23" s="2064"/>
      <c r="Z23" s="2064"/>
      <c r="AA23" s="2065"/>
    </row>
    <row r="24" spans="1:27" ht="14.1" customHeight="1" x14ac:dyDescent="0.2">
      <c r="A24" s="88" t="s">
        <v>698</v>
      </c>
      <c r="B24" s="49"/>
      <c r="C24" s="49"/>
      <c r="D24" s="49"/>
      <c r="E24" s="49"/>
      <c r="F24" s="49"/>
      <c r="G24" s="49"/>
      <c r="H24" s="61"/>
      <c r="J24" s="1983" t="str">
        <f>IF(B5="x",IF(AUDITCHECK!D29="AFR form Incomplete.","",IF(AUDITCHECK!D29="Deficit reduction plan is required.","School District must complete a deficit reduction plan in the 2018-2019 Budget",)),"")</f>
        <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61944</v>
      </c>
      <c r="B25" s="1961"/>
      <c r="C25" s="1961"/>
      <c r="D25" s="1961"/>
      <c r="E25" s="1961"/>
      <c r="F25" s="1961"/>
      <c r="G25" s="1961"/>
      <c r="H25" s="1962"/>
      <c r="I25" s="113"/>
      <c r="J25" s="1985"/>
      <c r="K25" s="1985"/>
      <c r="L25" s="1985"/>
      <c r="M25" s="1985"/>
      <c r="N25" s="1985"/>
      <c r="O25" s="1985"/>
      <c r="P25" s="1985"/>
      <c r="Q25" s="1985"/>
      <c r="R25" s="1985"/>
      <c r="S25" s="1986"/>
      <c r="T25" s="2056" t="s">
        <v>2091</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2141</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2139</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2081</v>
      </c>
      <c r="B42" s="1980"/>
      <c r="C42" s="1981"/>
      <c r="D42" s="1979" t="s">
        <v>2082</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32" sqref="H3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19" sqref="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P30" sqref="P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0</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24" sqref="I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25640716</v>
      </c>
      <c r="D8" s="845"/>
      <c r="E8" s="845"/>
      <c r="F8" s="1782">
        <f>(C8+D8)-E8</f>
        <v>25640716</v>
      </c>
      <c r="G8" s="844">
        <v>50</v>
      </c>
      <c r="H8" s="766">
        <v>1051362</v>
      </c>
      <c r="I8" s="766">
        <v>512814</v>
      </c>
      <c r="J8" s="766"/>
      <c r="K8" s="1791">
        <f>(H8+I8)-J8</f>
        <v>1564176</v>
      </c>
      <c r="L8" s="1791">
        <f>F8-K8</f>
        <v>24076540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850573</v>
      </c>
      <c r="D10" s="847">
        <v>58865</v>
      </c>
      <c r="E10" s="847"/>
      <c r="F10" s="1786">
        <f>(C10+D10)-E10</f>
        <v>909438</v>
      </c>
      <c r="G10" s="844">
        <v>20</v>
      </c>
      <c r="H10" s="848">
        <v>67247</v>
      </c>
      <c r="I10" s="848">
        <v>44459</v>
      </c>
      <c r="J10" s="848"/>
      <c r="K10" s="1791">
        <f>(H10+I10)-J10</f>
        <v>111706</v>
      </c>
      <c r="L10" s="1791">
        <f>F10-K10</f>
        <v>797732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1783233</v>
      </c>
      <c r="D12" s="845">
        <v>10340</v>
      </c>
      <c r="E12" s="845">
        <v>3348</v>
      </c>
      <c r="F12" s="1782">
        <f>(C12+D12)-E12</f>
        <v>1790225</v>
      </c>
      <c r="G12" s="844">
        <v>10</v>
      </c>
      <c r="H12" s="766">
        <v>381172</v>
      </c>
      <c r="I12" s="766">
        <v>178621</v>
      </c>
      <c r="J12" s="766">
        <v>1866</v>
      </c>
      <c r="K12" s="1791">
        <f>(H12+I12)-J12</f>
        <v>557927</v>
      </c>
      <c r="L12" s="1791">
        <f>F12-K12</f>
        <v>1232298</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28274522</v>
      </c>
      <c r="D16" s="1782">
        <f>SUM(D3,D5:D6,D8:D10,D12:D15)</f>
        <v>69205</v>
      </c>
      <c r="E16" s="1782">
        <f>SUM(E3,E5:E6,E8:E10,E12:E15)</f>
        <v>3348</v>
      </c>
      <c r="F16" s="1782">
        <f>SUM(F3,F5:F6,F8:F10,F12:F15)</f>
        <v>28340379</v>
      </c>
      <c r="G16" s="844"/>
      <c r="H16" s="1782">
        <f>SUM(H3,H6,H8:H10,H12:H14,)</f>
        <v>1499781</v>
      </c>
      <c r="I16" s="1782">
        <f>SUM(I3,I6,I8:I10,I12:I14,)</f>
        <v>735894</v>
      </c>
      <c r="J16" s="1782">
        <f>SUM(J3,J6,J8:J10,J12:J14,)</f>
        <v>1866</v>
      </c>
      <c r="K16" s="1782">
        <f>(H16+I16)-J16</f>
        <v>2233809</v>
      </c>
      <c r="L16" s="1782">
        <f>F16-K16</f>
        <v>26106570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735894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3476660</v>
      </c>
      <c r="G8" s="866"/>
    </row>
    <row r="9" spans="1:7" x14ac:dyDescent="0.2">
      <c r="A9" s="870" t="s">
        <v>480</v>
      </c>
      <c r="B9" s="871" t="s">
        <v>1989</v>
      </c>
      <c r="C9" s="872"/>
      <c r="D9" s="870" t="s">
        <v>522</v>
      </c>
      <c r="E9" s="869"/>
      <c r="F9" s="1935">
        <f>'Expenditures 15-22'!K151</f>
        <v>523506</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80263</v>
      </c>
      <c r="G11" s="873"/>
    </row>
    <row r="12" spans="1:7" x14ac:dyDescent="0.2">
      <c r="A12" s="870" t="s">
        <v>482</v>
      </c>
      <c r="B12" s="871" t="s">
        <v>1992</v>
      </c>
      <c r="C12" s="872"/>
      <c r="D12" s="870" t="s">
        <v>522</v>
      </c>
      <c r="E12" s="869"/>
      <c r="F12" s="1935">
        <f>'Expenditures 15-22'!K295</f>
        <v>111356</v>
      </c>
      <c r="G12" s="873"/>
    </row>
    <row r="13" spans="1:7" x14ac:dyDescent="0.2">
      <c r="A13" s="870" t="s">
        <v>108</v>
      </c>
      <c r="B13" s="871" t="s">
        <v>1993</v>
      </c>
      <c r="C13" s="872"/>
      <c r="D13" s="870" t="s">
        <v>522</v>
      </c>
      <c r="E13" s="869"/>
      <c r="F13" s="1935">
        <f>'Expenditures 15-22'!K342</f>
        <v>104658</v>
      </c>
      <c r="G13" s="874"/>
    </row>
    <row r="14" spans="1:7" ht="12" customHeight="1" thickBot="1" x14ac:dyDescent="0.25">
      <c r="A14" s="1792"/>
      <c r="B14" s="1793"/>
      <c r="C14" s="1794"/>
      <c r="D14" s="1795" t="s">
        <v>522</v>
      </c>
      <c r="E14" s="1796" t="s">
        <v>1015</v>
      </c>
      <c r="F14" s="1797">
        <f>SUM(F8:F13)</f>
        <v>4296443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117541</v>
      </c>
      <c r="G53" s="866"/>
    </row>
    <row r="54" spans="1:7" x14ac:dyDescent="0.2">
      <c r="A54" s="870" t="s">
        <v>479</v>
      </c>
      <c r="B54" s="870" t="s">
        <v>1552</v>
      </c>
      <c r="C54" s="890" t="s">
        <v>1039</v>
      </c>
      <c r="D54" s="886" t="s">
        <v>1157</v>
      </c>
      <c r="E54" s="869"/>
      <c r="F54" s="1939">
        <f>'Expenditures 15-22'!G114</f>
        <v>11888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6564</v>
      </c>
      <c r="G57" s="866"/>
    </row>
    <row r="58" spans="1:7" x14ac:dyDescent="0.2">
      <c r="A58" s="870" t="s">
        <v>480</v>
      </c>
      <c r="B58" s="870" t="s">
        <v>1995</v>
      </c>
      <c r="C58" s="887" t="s">
        <v>1039</v>
      </c>
      <c r="D58" s="886" t="s">
        <v>1157</v>
      </c>
      <c r="E58" s="869"/>
      <c r="F58" s="1941">
        <f>'Expenditures 15-22'!G151</f>
        <v>1656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3649</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141298</v>
      </c>
      <c r="G76" s="866"/>
    </row>
    <row r="77" spans="1:8" s="894" customFormat="1" ht="12" customHeight="1" thickTop="1" thickBot="1" x14ac:dyDescent="0.25">
      <c r="A77" s="1801"/>
      <c r="B77" s="1798"/>
      <c r="C77" s="1794"/>
      <c r="D77" s="1799" t="s">
        <v>2012</v>
      </c>
      <c r="E77" s="1796"/>
      <c r="F77" s="1802">
        <f>(F14-F76)</f>
        <v>4155145</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41948</v>
      </c>
      <c r="G94" s="913"/>
    </row>
    <row r="95" spans="1:7" x14ac:dyDescent="0.2">
      <c r="A95" s="909" t="s">
        <v>142</v>
      </c>
      <c r="B95" s="909" t="s">
        <v>177</v>
      </c>
      <c r="C95" s="911">
        <v>1700</v>
      </c>
      <c r="D95" s="919" t="str">
        <f>'Revenues 9-14'!A82</f>
        <v>Total District/School Activity Income</v>
      </c>
      <c r="E95" s="907"/>
      <c r="F95" s="1811">
        <f>SUM('Revenues 9-14'!C82,'Revenues 9-14'!D82)</f>
        <v>85303</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3917622</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38250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96313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1192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84586</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75</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4265289</v>
      </c>
    </row>
    <row r="179" spans="1:7" ht="12" customHeight="1" x14ac:dyDescent="0.2">
      <c r="A179" s="1792"/>
      <c r="B179" s="1806"/>
      <c r="C179" s="1807"/>
      <c r="D179" s="1808" t="s">
        <v>2015</v>
      </c>
      <c r="E179" s="1809"/>
      <c r="F179" s="1811">
        <f>'PCTC-OEPP 27-28'!F77-F178</f>
        <v>-110144</v>
      </c>
    </row>
    <row r="180" spans="1:7" ht="12" customHeight="1" x14ac:dyDescent="0.2">
      <c r="A180" s="1792"/>
      <c r="B180" s="1806"/>
      <c r="C180" s="1807"/>
      <c r="D180" s="1808" t="s">
        <v>1924</v>
      </c>
      <c r="E180" s="1809"/>
      <c r="F180" s="1811">
        <f>'Cap Outlay Deprec 26'!I18</f>
        <v>735894</v>
      </c>
    </row>
    <row r="181" spans="1:7" ht="12" customHeight="1" x14ac:dyDescent="0.2">
      <c r="A181" s="1792"/>
      <c r="B181" s="1806"/>
      <c r="C181" s="1807"/>
      <c r="D181" s="1808" t="s">
        <v>2016</v>
      </c>
      <c r="E181" s="1809"/>
      <c r="F181" s="1811">
        <f>F179+F180</f>
        <v>625750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7" sqref="B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2128</v>
      </c>
      <c r="B17" s="1958" t="s">
        <v>2127</v>
      </c>
      <c r="C17" s="1957" t="s">
        <v>2126</v>
      </c>
      <c r="D17" s="1867">
        <v>65438</v>
      </c>
      <c r="E17" s="1562">
        <f t="shared" ref="E17:E141" si="1">IF(D17&lt;=25000,D17,IF(D17&gt;25000,25000,0))</f>
        <v>25000</v>
      </c>
      <c r="F17" s="1815">
        <f t="shared" si="0"/>
        <v>25000</v>
      </c>
      <c r="G17" s="1816">
        <f>IF(F17=0,0,D17-F17)</f>
        <v>40438</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65438</v>
      </c>
      <c r="E141" s="1563">
        <f t="shared" si="1"/>
        <v>25000</v>
      </c>
      <c r="F141" s="1817">
        <f>SUM(F17:F140)</f>
        <v>25000</v>
      </c>
      <c r="G141" s="1818">
        <f>SUM(G17:G140)</f>
        <v>40438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Q5" sqref="Q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f>'Expenditures 15-22'!E63+'Expenditures 15-22'!F63</f>
        <v>102473</v>
      </c>
      <c r="F10" s="975"/>
      <c r="G10" s="976"/>
      <c r="H10" s="162"/>
      <c r="I10" s="162"/>
    </row>
    <row r="11" spans="1:9" s="669" customFormat="1" ht="22.5" customHeight="1" x14ac:dyDescent="0.2">
      <c r="A11" s="2306" t="s">
        <v>1945</v>
      </c>
      <c r="B11" s="2307"/>
      <c r="C11" s="2307"/>
      <c r="D11" s="2308"/>
      <c r="E11" s="978">
        <v>5914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2636615</v>
      </c>
      <c r="F19" s="1822"/>
      <c r="G19" s="1824">
        <f>'Expenditures 15-22'!K33-SUM('Expenditures 15-22'!G33,'Expenditures 15-22'!I33)+'Expenditures 15-22'!D229</f>
        <v>2636615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177273</v>
      </c>
      <c r="F21" s="1825"/>
      <c r="G21" s="1828">
        <f>'Expenditures 15-22'!K42-SUM('Expenditures 15-22'!G42,'Expenditures 15-22'!I42)+'Expenditures 15-22'!K120-SUM('Expenditures 15-22'!G120,'Expenditures 15-22'!I120)+'Expenditures 15-22'!K180-SUM('Expenditures 15-22'!G180,'Expenditures 15-22'!I180)+'Expenditures 15-22'!D238</f>
        <v>177273</v>
      </c>
      <c r="H21" s="988"/>
      <c r="I21" s="162"/>
    </row>
    <row r="22" spans="1:9" s="669" customFormat="1" ht="12" customHeight="1" x14ac:dyDescent="0.2">
      <c r="A22" s="995" t="s">
        <v>585</v>
      </c>
      <c r="B22" s="996"/>
      <c r="C22" s="994">
        <v>2200</v>
      </c>
      <c r="D22" s="1825"/>
      <c r="E22" s="1827">
        <f>'Expenditures 15-22'!K47-SUM('Expenditures 15-22'!G47,'Expenditures 15-22'!I47)+'Expenditures 15-22'!D243</f>
        <v>7657</v>
      </c>
      <c r="F22" s="1825"/>
      <c r="G22" s="1828">
        <f>'Expenditures 15-22'!K47-SUM('Expenditures 15-22'!G47,'Expenditures 15-22'!I47)+'Expenditures 15-22'!D243</f>
        <v>7657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134685</v>
      </c>
      <c r="F23" s="1825"/>
      <c r="G23" s="1827">
        <f>'Expenditures 15-22'!K53-SUM('Expenditures 15-22'!G53,'Expenditures 15-22'!I53)+'Expenditures 15-22'!D257+'Expenditures 15-22'!K330-SUM('Expenditures 15-22'!G330,'Expenditures 15-22'!I330)</f>
        <v>134685</v>
      </c>
      <c r="H23" s="988"/>
      <c r="I23" s="162"/>
    </row>
    <row r="24" spans="1:9" s="669" customFormat="1" ht="12" customHeight="1" x14ac:dyDescent="0.2">
      <c r="A24" s="995" t="s">
        <v>587</v>
      </c>
      <c r="B24" s="996"/>
      <c r="C24" s="994">
        <v>2400</v>
      </c>
      <c r="D24" s="1825"/>
      <c r="E24" s="1827">
        <f>'Expenditures 15-22'!K57-SUM('Expenditures 15-22'!G57,'Expenditures 15-22'!I57)+'Expenditures 15-22'!D261</f>
        <v>289164</v>
      </c>
      <c r="F24" s="1825"/>
      <c r="G24" s="1828">
        <f>'Expenditures 15-22'!K57-SUM('Expenditures 15-22'!G57,'Expenditures 15-22'!I57)+'Expenditures 15-22'!D261</f>
        <v>289164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5596</v>
      </c>
      <c r="E27" s="1827">
        <f>E8</f>
        <v>0</v>
      </c>
      <c r="F27" s="1827">
        <f>'Expenditures 15-22'!K60-SUM('Expenditures 15-22'!G60,'Expenditures 15-22'!I60)+'Expenditures 15-22'!D264-E8</f>
        <v>5596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411871</v>
      </c>
      <c r="F28" s="1829">
        <f>'Expenditures 15-22'!K61-SUM('Expenditures 15-22'!G61,'Expenditures 15-22'!I61)+'Expenditures 15-22'!K124-SUM('Expenditures 15-22'!G124,'Expenditures 15-22'!I124)+'Expenditures 15-22'!D266-E9</f>
        <v>411871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80263</v>
      </c>
      <c r="F29" s="1825"/>
      <c r="G29" s="1828">
        <f>'Expenditures 15-22'!K62-SUM('Expenditures 15-22'!G62,'Expenditures 15-22'!I62)+'Expenditures 15-22'!K125-SUM('Expenditures 15-22'!G125,'Expenditures 15-22'!I125)+'Expenditures 15-22'!K182-SUM('Expenditures 15-22'!G182,'Expenditures 15-22'!I182)+'Expenditures 15-22'!D267</f>
        <v>80263</v>
      </c>
      <c r="H29" s="986"/>
    </row>
    <row r="30" spans="1:9" ht="12" customHeight="1" x14ac:dyDescent="0.2">
      <c r="A30" s="995" t="s">
        <v>102</v>
      </c>
      <c r="B30" s="998"/>
      <c r="C30" s="994">
        <v>2560</v>
      </c>
      <c r="D30" s="1825"/>
      <c r="E30" s="1827">
        <f>'Expenditures 15-22'!K63-SUM('Expenditures 15-22'!G63,'Expenditures 15-22'!I63)+'Expenditures 15-22'!D268-E10</f>
        <v>86707</v>
      </c>
      <c r="F30" s="1825"/>
      <c r="G30" s="1827">
        <f>'Expenditures 15-22'!K63-SUM('Expenditures 15-22'!G63,'Expenditures 15-22'!I63)+'Expenditures 15-22'!D268-E10</f>
        <v>86707</v>
      </c>
    </row>
    <row r="31" spans="1:9" ht="12" customHeight="1" x14ac:dyDescent="0.2">
      <c r="A31" s="995" t="s">
        <v>103</v>
      </c>
      <c r="B31" s="998"/>
      <c r="C31" s="994">
        <v>2570</v>
      </c>
      <c r="D31" s="1827">
        <f>'Expenditures 15-22'!K64-SUM('Expenditures 15-22'!G64,'Expenditures 15-22'!I64)+'Expenditures 15-22'!D269-E12</f>
        <v>102124</v>
      </c>
      <c r="E31" s="1827">
        <f>E12</f>
        <v>0</v>
      </c>
      <c r="F31" s="1827">
        <f>'Expenditures 15-22'!K64-SUM('Expenditures 15-22'!G64,'Expenditures 15-22'!I64)+'Expenditures 15-22'!D269-E12</f>
        <v>102124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-40438</v>
      </c>
      <c r="F40" s="1825"/>
      <c r="G40" s="1829">
        <f>-'Contracts Paid in CY 29'!G141</f>
        <v>-40438</v>
      </c>
    </row>
    <row r="41" spans="1:7" ht="12" customHeight="1" x14ac:dyDescent="0.2">
      <c r="A41" s="999" t="s">
        <v>158</v>
      </c>
      <c r="B41" s="1000"/>
      <c r="C41" s="1001"/>
      <c r="D41" s="1829">
        <f>SUM(D19:D39)</f>
        <v>107720</v>
      </c>
      <c r="E41" s="1829">
        <f>SUM(E19:E40)</f>
        <v>3783797</v>
      </c>
      <c r="F41" s="1829">
        <f>SUM(F19:F39)</f>
        <v>519591</v>
      </c>
      <c r="G41" s="1829">
        <f>SUM(G19:G40)</f>
        <v>3371926</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107720</v>
      </c>
      <c r="F43" s="1830" t="s">
        <v>495</v>
      </c>
      <c r="G43" s="1831">
        <f>F41</f>
        <v>519591</v>
      </c>
    </row>
    <row r="44" spans="1:7" ht="12" customHeight="1" x14ac:dyDescent="0.2">
      <c r="A44" s="988"/>
      <c r="B44" s="162"/>
      <c r="C44" s="1002"/>
      <c r="D44" s="1830" t="s">
        <v>494</v>
      </c>
      <c r="E44" s="1831">
        <f>E41</f>
        <v>3783797</v>
      </c>
      <c r="F44" s="1830" t="s">
        <v>494</v>
      </c>
      <c r="G44" s="1831">
        <f>G41</f>
        <v>3371926</v>
      </c>
    </row>
    <row r="45" spans="1:7" ht="12" customHeight="1" x14ac:dyDescent="0.2">
      <c r="A45" s="988"/>
      <c r="B45" s="162"/>
      <c r="C45" s="162"/>
      <c r="D45" s="1832" t="s">
        <v>1063</v>
      </c>
      <c r="E45" s="1833">
        <f>(E43/E44)</f>
        <v>2.8468757705553443E-2</v>
      </c>
      <c r="F45" s="1832" t="s">
        <v>1063</v>
      </c>
      <c r="G45" s="1833">
        <f>(G43/G44)</f>
        <v>0.15409323929410076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8" activePane="bottomLeft" state="frozen"/>
      <selection activeCell="A47" sqref="A47"/>
      <selection pane="bottomLeft" activeCell="C27" sqref="C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Paris Coop HS</v>
      </c>
      <c r="D6" s="2327"/>
      <c r="E6" s="2327"/>
      <c r="F6" s="1877"/>
    </row>
    <row r="7" spans="1:10" ht="11.25" customHeight="1" thickBot="1" x14ac:dyDescent="0.3">
      <c r="A7" s="1875"/>
      <c r="B7" s="1876"/>
      <c r="C7" s="2328">
        <f>COVER!A13</f>
        <v>11023800080</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2136</v>
      </c>
      <c r="D14" s="1890" t="s">
        <v>2136</v>
      </c>
      <c r="E14" s="1893" t="s">
        <v>2136</v>
      </c>
      <c r="F14" s="1892" t="s">
        <v>2137</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2136</v>
      </c>
      <c r="D25" s="1890" t="s">
        <v>2136</v>
      </c>
      <c r="E25" s="1893" t="s">
        <v>2136</v>
      </c>
      <c r="F25" s="1892" t="s">
        <v>2137</v>
      </c>
      <c r="H25" s="1903">
        <f t="shared" si="0"/>
        <v>5</v>
      </c>
      <c r="I25" s="1903">
        <f t="shared" si="1"/>
        <v>5</v>
      </c>
      <c r="J25" s="1903">
        <f t="shared" si="2"/>
        <v>5</v>
      </c>
    </row>
    <row r="26" spans="1:12" ht="12" customHeight="1" x14ac:dyDescent="0.2">
      <c r="A26" s="1888" t="s">
        <v>1615</v>
      </c>
      <c r="B26" s="1889"/>
      <c r="C26" s="1890" t="s">
        <v>2136</v>
      </c>
      <c r="D26" s="1890" t="s">
        <v>2136</v>
      </c>
      <c r="E26" s="1893" t="s">
        <v>2136</v>
      </c>
      <c r="F26" s="1892" t="s">
        <v>2138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2136</v>
      </c>
      <c r="D32" s="1890" t="s">
        <v>2136</v>
      </c>
      <c r="E32" s="1893" t="s">
        <v>2136</v>
      </c>
      <c r="F32" s="1892" t="s">
        <v>2137</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K29" sqref="K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Paris Coop HS</v>
      </c>
      <c r="J6" s="2337"/>
      <c r="Q6" s="1686"/>
    </row>
    <row r="7" spans="1:17" x14ac:dyDescent="0.2">
      <c r="A7" s="2338" t="s">
        <v>924</v>
      </c>
      <c r="B7" s="2339"/>
      <c r="C7" s="2339"/>
      <c r="D7" s="2339"/>
      <c r="E7" s="2340"/>
      <c r="F7" s="1018"/>
      <c r="G7" s="1010"/>
      <c r="H7" s="1017" t="s">
        <v>390</v>
      </c>
      <c r="I7" s="2341">
        <f>COVER!A13</f>
        <v>11023800080</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102234</v>
      </c>
      <c r="F16" s="1040"/>
      <c r="G16" s="1834">
        <f t="shared" si="0"/>
        <v>102234</v>
      </c>
      <c r="H16" s="1041">
        <v>174945</v>
      </c>
      <c r="I16" s="1040"/>
      <c r="J16" s="1834">
        <f t="shared" si="1"/>
        <v>174945</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102234</v>
      </c>
      <c r="F19" s="1836">
        <f t="shared" si="2"/>
        <v>0</v>
      </c>
      <c r="G19" s="1836">
        <f t="shared" si="2"/>
        <v>102234</v>
      </c>
      <c r="H19" s="1836">
        <f t="shared" si="2"/>
        <v>174945</v>
      </c>
      <c r="I19" s="1836">
        <f t="shared" si="2"/>
        <v>0</v>
      </c>
      <c r="J19" s="1836">
        <f t="shared" si="2"/>
        <v>174945</v>
      </c>
    </row>
    <row r="20" spans="1:10" ht="13.5" thickTop="1" x14ac:dyDescent="0.2">
      <c r="A20" s="1036">
        <v>9</v>
      </c>
      <c r="B20" s="2348" t="s">
        <v>1703</v>
      </c>
      <c r="C20" s="2348"/>
      <c r="D20" s="2349"/>
      <c r="E20" s="1047"/>
      <c r="F20" s="1047"/>
      <c r="G20" s="1047"/>
      <c r="H20" s="1047"/>
      <c r="I20" s="1047"/>
      <c r="J20" s="1837">
        <f>IF(AND(G19&gt;0,J19&gt;0),(((J19-G19)/G19)),"Enter Budget Data")</f>
        <v>0.7112213158049181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t="s">
        <v>2136</v>
      </c>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2130</v>
      </c>
    </row>
    <row r="6" spans="1:2" x14ac:dyDescent="0.2">
      <c r="A6" s="1069">
        <v>2</v>
      </c>
      <c r="B6" s="329" t="s">
        <v>2131</v>
      </c>
    </row>
    <row r="7" spans="1:2" x14ac:dyDescent="0.2">
      <c r="A7" s="1069">
        <v>3</v>
      </c>
      <c r="B7" s="329" t="s">
        <v>2132</v>
      </c>
    </row>
    <row r="8" spans="1:2" x14ac:dyDescent="0.2">
      <c r="A8" s="1069">
        <v>4</v>
      </c>
      <c r="B8" s="329" t="s">
        <v>2133</v>
      </c>
    </row>
    <row r="9" spans="1:2" x14ac:dyDescent="0.2">
      <c r="A9" s="1069">
        <v>5</v>
      </c>
      <c r="B9" s="329" t="s">
        <v>2134</v>
      </c>
    </row>
    <row r="10" spans="1:2" x14ac:dyDescent="0.2">
      <c r="A10" s="1069">
        <v>6</v>
      </c>
      <c r="B10" s="329" t="s">
        <v>2129</v>
      </c>
    </row>
    <row r="11" spans="1:2" x14ac:dyDescent="0.2">
      <c r="A11" s="1069">
        <v>7</v>
      </c>
      <c r="B11" s="329" t="s">
        <v>2135</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Paris Coop HS</v>
      </c>
    </row>
    <row r="64" spans="1:2" x14ac:dyDescent="0.2">
      <c r="B64" s="1071">
        <f>COVER!A13</f>
        <v>11023800080</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election activeCell="N43" sqref="N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3" sqref="C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891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5" dvAspect="DVASPECT_ICON" shapeId="38917" r:id="rId4"/>
      </mc:Fallback>
    </mc:AlternateContent>
    <mc:AlternateContent xmlns:mc="http://schemas.openxmlformats.org/markup-compatibility/2006">
      <mc:Choice Requires="x14">
        <oleObject progId="Acrobat.Document.2015" dvAspect="DVASPECT_ICON" shapeId="38918" r:id="rId6">
          <objectPr defaultSize="0" r:id="rId7">
            <anchor moveWithCells="1">
              <from>
                <xdr:col>1</xdr:col>
                <xdr:colOff>1066800</xdr:colOff>
                <xdr:row>1</xdr:row>
                <xdr:rowOff>9525</xdr:rowOff>
              </from>
              <to>
                <xdr:col>1</xdr:col>
                <xdr:colOff>1981200</xdr:colOff>
                <xdr:row>5</xdr:row>
                <xdr:rowOff>47625</xdr:rowOff>
              </to>
            </anchor>
          </objectPr>
        </oleObject>
      </mc:Choice>
      <mc:Fallback>
        <oleObject progId="Acrobat.Document.2015" dvAspect="DVASPECT_ICON" shapeId="38918" r:id="rId6"/>
      </mc:Fallback>
    </mc:AlternateContent>
    <mc:AlternateContent xmlns:mc="http://schemas.openxmlformats.org/markup-compatibility/2006">
      <mc:Choice Requires="x14">
        <oleObject progId="Acrobat.Document.2015" dvAspect="DVASPECT_ICON" shapeId="38919" r:id="rId8">
          <objectPr defaultSize="0" r:id="rId9">
            <anchor moveWithCells="1">
              <from>
                <xdr:col>1</xdr:col>
                <xdr:colOff>2143125</xdr:colOff>
                <xdr:row>1</xdr:row>
                <xdr:rowOff>9525</xdr:rowOff>
              </from>
              <to>
                <xdr:col>1</xdr:col>
                <xdr:colOff>3057525</xdr:colOff>
                <xdr:row>5</xdr:row>
                <xdr:rowOff>47625</xdr:rowOff>
              </to>
            </anchor>
          </objectPr>
        </oleObject>
      </mc:Choice>
      <mc:Fallback>
        <oleObject progId="Acrobat.Document.2015" dvAspect="DVASPECT_ICON" shapeId="38919" r:id="rId8"/>
      </mc:Fallback>
    </mc:AlternateContent>
    <mc:AlternateContent xmlns:mc="http://schemas.openxmlformats.org/markup-compatibility/2006">
      <mc:Choice Requires="x14">
        <oleObject progId="Acrobat.Document.2015" dvAspect="DVASPECT_ICON" shapeId="38920" r:id="rId10">
          <objectPr defaultSize="0" r:id="rId11">
            <anchor moveWithCells="1">
              <from>
                <xdr:col>1</xdr:col>
                <xdr:colOff>9525</xdr:colOff>
                <xdr:row>6</xdr:row>
                <xdr:rowOff>95250</xdr:rowOff>
              </from>
              <to>
                <xdr:col>1</xdr:col>
                <xdr:colOff>923925</xdr:colOff>
                <xdr:row>10</xdr:row>
                <xdr:rowOff>133350</xdr:rowOff>
              </to>
            </anchor>
          </objectPr>
        </oleObject>
      </mc:Choice>
      <mc:Fallback>
        <oleObject progId="Acrobat.Document.2015" dvAspect="DVASPECT_ICON" shapeId="38920" r:id="rId10"/>
      </mc:Fallback>
    </mc:AlternateContent>
    <mc:AlternateContent xmlns:mc="http://schemas.openxmlformats.org/markup-compatibility/2006">
      <mc:Choice Requires="x14">
        <oleObject progId="Acrobat.Document.2015" dvAspect="DVASPECT_ICON" shapeId="38921" r:id="rId12">
          <objectPr defaultSize="0" r:id="rId13">
            <anchor moveWithCells="1">
              <from>
                <xdr:col>1</xdr:col>
                <xdr:colOff>1076325</xdr:colOff>
                <xdr:row>6</xdr:row>
                <xdr:rowOff>85725</xdr:rowOff>
              </from>
              <to>
                <xdr:col>1</xdr:col>
                <xdr:colOff>1990725</xdr:colOff>
                <xdr:row>10</xdr:row>
                <xdr:rowOff>123825</xdr:rowOff>
              </to>
            </anchor>
          </objectPr>
        </oleObject>
      </mc:Choice>
      <mc:Fallback>
        <oleObject progId="Acrobat.Document.2015" dvAspect="DVASPECT_ICON" shapeId="3892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3894109</v>
      </c>
      <c r="C8" s="1838">
        <f>'Acct Summary 7-8'!D8</f>
        <v>426805</v>
      </c>
      <c r="D8" s="1838">
        <f>'Acct Summary 7-8'!F8</f>
        <v>59144</v>
      </c>
      <c r="E8" s="1838">
        <f>'Acct Summary 7-8'!I8</f>
        <v>0</v>
      </c>
      <c r="F8" s="1838">
        <f>SUM(B8:E8)</f>
        <v>4380058</v>
      </c>
    </row>
    <row r="9" spans="1:8" s="1080" customFormat="1" ht="14.25" customHeight="1" thickBot="1" x14ac:dyDescent="0.25">
      <c r="A9" s="1079" t="s">
        <v>1436</v>
      </c>
      <c r="B9" s="1839">
        <f>'Acct Summary 7-8'!C17</f>
        <v>3476660</v>
      </c>
      <c r="C9" s="1839">
        <f>'Acct Summary 7-8'!D17</f>
        <v>523506</v>
      </c>
      <c r="D9" s="1839">
        <f>'Acct Summary 7-8'!F17</f>
        <v>80263</v>
      </c>
      <c r="E9" s="1838"/>
      <c r="F9" s="1838">
        <f>SUM(B9:E9)</f>
        <v>4080429</v>
      </c>
    </row>
    <row r="10" spans="1:8" s="1080" customFormat="1" ht="14.25" thickTop="1" thickBot="1" x14ac:dyDescent="0.25">
      <c r="A10" s="1081" t="s">
        <v>1437</v>
      </c>
      <c r="B10" s="1840">
        <f>(B8-B9)</f>
        <v>417449</v>
      </c>
      <c r="C10" s="1840">
        <f>(C8-C9)</f>
        <v>-96701</v>
      </c>
      <c r="D10" s="1840">
        <f>(D8-D9)</f>
        <v>-21119</v>
      </c>
      <c r="E10" s="1839">
        <f>(E8-E9)</f>
        <v>0</v>
      </c>
      <c r="F10" s="1841">
        <f>SUM(F8-F9)</f>
        <v>299629</v>
      </c>
    </row>
    <row r="11" spans="1:8" s="1080" customFormat="1" ht="14.25" thickTop="1" thickBot="1" x14ac:dyDescent="0.25">
      <c r="A11" s="1082" t="s">
        <v>1785</v>
      </c>
      <c r="B11" s="1842">
        <f>'Acct Summary 7-8'!C81</f>
        <v>672831</v>
      </c>
      <c r="C11" s="1842">
        <f>'Acct Summary 7-8'!D81</f>
        <v>-210419</v>
      </c>
      <c r="D11" s="1842">
        <f>'Acct Summary 7-8'!F81</f>
        <v>-40675</v>
      </c>
      <c r="E11" s="1842">
        <f>'Acct Summary 7-8'!I81</f>
        <v>0</v>
      </c>
      <c r="F11" s="1843">
        <f>SUM(B11:E11)</f>
        <v>421737</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0"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11023800080</v>
      </c>
    </row>
    <row r="3" spans="1:2" x14ac:dyDescent="0.2">
      <c r="A3" t="s">
        <v>1013</v>
      </c>
      <c r="B3" s="138" t="str">
        <f>COVER!A15</f>
        <v>Edgar</v>
      </c>
    </row>
    <row r="4" spans="1:2" x14ac:dyDescent="0.2">
      <c r="A4" t="s">
        <v>1064</v>
      </c>
      <c r="B4" s="138" t="str">
        <f>COVER!A17</f>
        <v>Paris Coop HS</v>
      </c>
    </row>
    <row r="5" spans="1:2" x14ac:dyDescent="0.2">
      <c r="A5" t="s">
        <v>728</v>
      </c>
      <c r="B5" s="138" t="str">
        <f>COVER!A38</f>
        <v>Lorraine Bailey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066-003072</v>
      </c>
    </row>
    <row r="16" spans="1:2" x14ac:dyDescent="0.2">
      <c r="A16" t="s">
        <v>442</v>
      </c>
      <c r="B16" s="138" t="str">
        <f>COVER!T13</f>
        <v>Larsson, Woodyard &amp; Henson, LLP</v>
      </c>
    </row>
    <row r="17" spans="1:2" x14ac:dyDescent="0.2">
      <c r="A17" t="s">
        <v>939</v>
      </c>
      <c r="B17" s="138" t="str">
        <f>COVER!T15</f>
        <v>Curtis. O. Root</v>
      </c>
    </row>
    <row r="18" spans="1:2" x14ac:dyDescent="0.2">
      <c r="A18" t="s">
        <v>1212</v>
      </c>
      <c r="B18" s="138" t="str">
        <f>COVER!T17</f>
        <v>P.O. Box 407</v>
      </c>
    </row>
    <row r="19" spans="1:2" x14ac:dyDescent="0.2">
      <c r="A19" t="s">
        <v>941</v>
      </c>
      <c r="B19" s="138" t="str">
        <f>COVER!T25</f>
        <v>croot@lwhcpa.com</v>
      </c>
    </row>
    <row r="20" spans="1:2" x14ac:dyDescent="0.2">
      <c r="A20" t="s">
        <v>942</v>
      </c>
      <c r="B20" s="138" t="str">
        <f>COVER!T19</f>
        <v>Tuscola</v>
      </c>
    </row>
    <row r="21" spans="1:2" x14ac:dyDescent="0.2">
      <c r="A21" t="s">
        <v>500</v>
      </c>
      <c r="B21" s="138" t="str">
        <f>COVER!X19</f>
        <v>IL</v>
      </c>
    </row>
    <row r="22" spans="1:2" x14ac:dyDescent="0.2">
      <c r="A22" t="s">
        <v>943</v>
      </c>
      <c r="B22" s="138">
        <f>COVER!Z19</f>
        <v>61953</v>
      </c>
    </row>
    <row r="23" spans="1:2" x14ac:dyDescent="0.2">
      <c r="A23" t="s">
        <v>1214</v>
      </c>
      <c r="B23" s="138" t="str">
        <f>COVER!T21</f>
        <v>217-253-5146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Yes</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672831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672831</v>
      </c>
      <c r="D92" s="2" t="str">
        <f t="shared" si="0"/>
        <v>Error?</v>
      </c>
    </row>
    <row r="93" spans="1:4" x14ac:dyDescent="0.2">
      <c r="A93" s="5">
        <v>32</v>
      </c>
      <c r="B93" s="138">
        <f>'Assets-Liab 5-6'!C41</f>
        <v>672831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210419</v>
      </c>
      <c r="C122" s="2" t="s">
        <v>594</v>
      </c>
      <c r="D122" s="2" t="str">
        <f t="shared" si="0"/>
        <v>Error?</v>
      </c>
    </row>
    <row r="123" spans="1:4" x14ac:dyDescent="0.2">
      <c r="A123" s="5">
        <v>62</v>
      </c>
      <c r="B123" s="138">
        <f>'Assets-Liab 5-6'!D39</f>
        <v>-210419</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40675</v>
      </c>
      <c r="C169" s="2" t="s">
        <v>594</v>
      </c>
      <c r="D169" s="2" t="str">
        <f t="shared" si="1"/>
        <v>Error?</v>
      </c>
    </row>
    <row r="170" spans="1:4" x14ac:dyDescent="0.2">
      <c r="A170" s="5">
        <v>109</v>
      </c>
      <c r="B170" s="138">
        <f>'Assets-Liab 5-6'!F39</f>
        <v>-40675</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46643</v>
      </c>
      <c r="C188" s="2" t="s">
        <v>594</v>
      </c>
      <c r="D188" s="2" t="str">
        <f t="shared" si="1"/>
        <v>Error?</v>
      </c>
    </row>
    <row r="189" spans="1:4" x14ac:dyDescent="0.2">
      <c r="A189" s="5">
        <v>128</v>
      </c>
      <c r="B189" s="138">
        <f>'Assets-Liab 5-6'!G39</f>
        <v>-46643</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77968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77968</v>
      </c>
      <c r="D212" s="2" t="str">
        <f t="shared" si="2"/>
        <v>Error?</v>
      </c>
    </row>
    <row r="213" spans="1:4" x14ac:dyDescent="0.2">
      <c r="A213" s="12">
        <v>152</v>
      </c>
      <c r="B213" s="138">
        <f>'Assets-Liab 5-6'!H41</f>
        <v>77968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24076540</v>
      </c>
      <c r="D274" s="2" t="str">
        <f t="shared" si="3"/>
        <v>Error?</v>
      </c>
    </row>
    <row r="275" spans="1:4" x14ac:dyDescent="0.2">
      <c r="A275" s="5">
        <v>214</v>
      </c>
      <c r="B275" s="138">
        <f>'Assets-Liab 5-6'!M18</f>
        <v>797732</v>
      </c>
      <c r="D275" s="2" t="str">
        <f t="shared" si="3"/>
        <v>Error?</v>
      </c>
    </row>
    <row r="276" spans="1:4" x14ac:dyDescent="0.2">
      <c r="A276" s="5">
        <v>215</v>
      </c>
      <c r="B276" s="138">
        <f>'Assets-Liab 5-6'!M19</f>
        <v>1232298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26106570</v>
      </c>
      <c r="C279" s="2" t="s">
        <v>594</v>
      </c>
      <c r="D279" s="2" t="str">
        <f t="shared" si="3"/>
        <v>Error?</v>
      </c>
    </row>
    <row r="280" spans="1:4" x14ac:dyDescent="0.2">
      <c r="A280" s="5">
        <v>219</v>
      </c>
      <c r="B280" s="138">
        <f>'Assets-Liab 5-6'!M40</f>
        <v>26106570</v>
      </c>
      <c r="D280" s="2" t="str">
        <f t="shared" si="3"/>
        <v>Error?</v>
      </c>
    </row>
    <row r="281" spans="1:4" x14ac:dyDescent="0.2">
      <c r="A281" s="5">
        <v>220</v>
      </c>
      <c r="B281" s="138">
        <f>'Assets-Liab 5-6'!M41</f>
        <v>26106570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1304791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244025</v>
      </c>
      <c r="D717" s="2" t="str">
        <f t="shared" si="10"/>
        <v>Error?</v>
      </c>
    </row>
    <row r="718" spans="1:4" x14ac:dyDescent="0.2">
      <c r="A718" s="5">
        <v>657</v>
      </c>
      <c r="B718" s="138">
        <f>'Expenditures 15-22'!C14</f>
        <v>134438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1979181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99573</v>
      </c>
      <c r="D722" s="2" t="str">
        <f t="shared" si="10"/>
        <v>Error?</v>
      </c>
    </row>
    <row r="723" spans="1:4" x14ac:dyDescent="0.2">
      <c r="A723" s="5">
        <v>662</v>
      </c>
      <c r="B723" s="138">
        <f>'Expenditures 15-22'!C38</f>
        <v>45131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144704</v>
      </c>
      <c r="C727" s="2" t="s">
        <v>594</v>
      </c>
      <c r="D727" s="2" t="str">
        <f t="shared" si="10"/>
        <v>Error?</v>
      </c>
    </row>
    <row r="728" spans="1:4" x14ac:dyDescent="0.2">
      <c r="A728" s="5">
        <v>667</v>
      </c>
      <c r="B728" s="138">
        <f>'Expenditures 15-22'!C44</f>
        <v>565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198140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198140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56607</v>
      </c>
      <c r="D742" s="2" t="str">
        <f t="shared" si="10"/>
        <v>Error?</v>
      </c>
    </row>
    <row r="743" spans="1:4" x14ac:dyDescent="0.2">
      <c r="A743" s="5">
        <v>682</v>
      </c>
      <c r="B743" s="138">
        <f>'Expenditures 15-22'!C64</f>
        <v>27500</v>
      </c>
      <c r="D743" s="2" t="str">
        <f t="shared" si="10"/>
        <v>Error?</v>
      </c>
    </row>
    <row r="744" spans="1:4" x14ac:dyDescent="0.2">
      <c r="A744" s="10">
        <v>683</v>
      </c>
      <c r="D744" s="2" t="str">
        <f t="shared" si="10"/>
        <v>OK</v>
      </c>
    </row>
    <row r="745" spans="1:4" x14ac:dyDescent="0.2">
      <c r="A745" s="5">
        <v>684</v>
      </c>
      <c r="B745" s="138">
        <f>'Expenditures 15-22'!C65</f>
        <v>84107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427516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2406697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311128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57617</v>
      </c>
      <c r="D775" s="2" t="str">
        <f t="shared" si="11"/>
        <v>Error?</v>
      </c>
    </row>
    <row r="776" spans="1:4" x14ac:dyDescent="0.2">
      <c r="A776" s="5">
        <v>715</v>
      </c>
      <c r="B776" s="138">
        <f>'Expenditures 15-22'!D14</f>
        <v>17324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465730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17514</v>
      </c>
      <c r="D780" s="2" t="str">
        <f t="shared" si="11"/>
        <v>Error?</v>
      </c>
    </row>
    <row r="781" spans="1:4" x14ac:dyDescent="0.2">
      <c r="A781" s="5">
        <v>720</v>
      </c>
      <c r="B781" s="138">
        <f>'Expenditures 15-22'!D38</f>
        <v>10589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28103</v>
      </c>
      <c r="C785" s="2" t="s">
        <v>594</v>
      </c>
      <c r="D785" s="2" t="str">
        <f t="shared" si="11"/>
        <v>Error?</v>
      </c>
    </row>
    <row r="786" spans="1:4" x14ac:dyDescent="0.2">
      <c r="A786" s="5">
        <v>725</v>
      </c>
      <c r="B786" s="138">
        <f>'Expenditures 15-22'!D44</f>
        <v>92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28969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28969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19450</v>
      </c>
      <c r="D800" s="2" t="str">
        <f t="shared" si="11"/>
        <v>Error?</v>
      </c>
    </row>
    <row r="801" spans="1:4" x14ac:dyDescent="0.2">
      <c r="A801" s="5">
        <v>740</v>
      </c>
      <c r="B801" s="138">
        <f>'Expenditures 15-22'!D64</f>
        <v>18</v>
      </c>
      <c r="D801" s="2" t="str">
        <f t="shared" si="11"/>
        <v>Error?</v>
      </c>
    </row>
    <row r="802" spans="1:4" x14ac:dyDescent="0.2">
      <c r="A802" s="10">
        <v>741</v>
      </c>
      <c r="D802" s="2" t="str">
        <f t="shared" si="11"/>
        <v>OK</v>
      </c>
    </row>
    <row r="803" spans="1:4" x14ac:dyDescent="0.2">
      <c r="A803" s="5">
        <v>742</v>
      </c>
      <c r="B803" s="138">
        <f>'Expenditures 15-22'!D65</f>
        <v>19468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76632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542362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7245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4818</v>
      </c>
      <c r="D833" s="2" t="str">
        <f t="shared" si="12"/>
        <v>Error?</v>
      </c>
    </row>
    <row r="834" spans="1:4" x14ac:dyDescent="0.2">
      <c r="A834" s="5">
        <v>773</v>
      </c>
      <c r="B834" s="138">
        <f>'Expenditures 15-22'!E14</f>
        <v>36286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48349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1046</v>
      </c>
      <c r="D838" s="2" t="str">
        <f t="shared" si="12"/>
        <v>Error?</v>
      </c>
    </row>
    <row r="839" spans="1:4" x14ac:dyDescent="0.2">
      <c r="A839" s="5">
        <v>778</v>
      </c>
      <c r="B839" s="138">
        <f>'Expenditures 15-22'!E38</f>
        <v>201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1247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6886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6886</v>
      </c>
      <c r="C847" s="2" t="s">
        <v>594</v>
      </c>
      <c r="D847" s="2" t="str">
        <f t="shared" si="12"/>
        <v>Error?</v>
      </c>
    </row>
    <row r="848" spans="1:4" x14ac:dyDescent="0.2">
      <c r="A848" s="5">
        <v>787</v>
      </c>
      <c r="B848" s="138">
        <f>'Expenditures 15-22'!E49</f>
        <v>22836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22836</v>
      </c>
      <c r="C850" s="2" t="s">
        <v>594</v>
      </c>
      <c r="D850" s="2" t="str">
        <f t="shared" si="12"/>
        <v>Error?</v>
      </c>
    </row>
    <row r="851" spans="1:4" x14ac:dyDescent="0.2">
      <c r="A851" s="5">
        <v>790</v>
      </c>
      <c r="B851" s="138">
        <f>'Expenditures 15-22'!E55</f>
        <v>33793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33793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4884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1013</v>
      </c>
      <c r="D858" s="2" t="str">
        <f t="shared" si="12"/>
        <v>Error?</v>
      </c>
    </row>
    <row r="859" spans="1:4" x14ac:dyDescent="0.2">
      <c r="A859" s="5">
        <v>798</v>
      </c>
      <c r="B859" s="138">
        <f>'Expenditures 15-22'!E64</f>
        <v>66786</v>
      </c>
      <c r="D859" s="2" t="str">
        <f t="shared" si="12"/>
        <v>Error?</v>
      </c>
    </row>
    <row r="860" spans="1:4" x14ac:dyDescent="0.2">
      <c r="A860" s="10">
        <v>799</v>
      </c>
      <c r="D860" s="2" t="str">
        <f t="shared" si="12"/>
        <v>OK</v>
      </c>
    </row>
    <row r="861" spans="1:4" x14ac:dyDescent="0.2">
      <c r="A861" s="5">
        <v>800</v>
      </c>
      <c r="B861" s="138">
        <f>'Expenditures 15-22'!E65</f>
        <v>72683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137445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243766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45370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25001</v>
      </c>
      <c r="D891" s="2" t="str">
        <f t="shared" si="12"/>
        <v>Error?</v>
      </c>
    </row>
    <row r="892" spans="1:4" x14ac:dyDescent="0.2">
      <c r="A892" s="5">
        <v>831</v>
      </c>
      <c r="B892" s="138">
        <f>'Expenditures 15-22'!F14</f>
        <v>8622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79516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1139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1139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15313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15313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712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101460</v>
      </c>
      <c r="D916" s="2" t="str">
        <f t="shared" si="13"/>
        <v>Error?</v>
      </c>
    </row>
    <row r="917" spans="1:4" x14ac:dyDescent="0.2">
      <c r="A917" s="5">
        <v>856</v>
      </c>
      <c r="B917" s="138">
        <f>'Expenditures 15-22'!F64</f>
        <v>2490</v>
      </c>
      <c r="D917" s="2" t="str">
        <f t="shared" si="13"/>
        <v>Error?</v>
      </c>
    </row>
    <row r="918" spans="1:4" x14ac:dyDescent="0.2">
      <c r="A918" s="10">
        <v>857</v>
      </c>
      <c r="D918" s="2" t="str">
        <f t="shared" si="13"/>
        <v>OK</v>
      </c>
    </row>
    <row r="919" spans="1:4" x14ac:dyDescent="0.2">
      <c r="A919" s="5">
        <v>858</v>
      </c>
      <c r="B919" s="138">
        <f>'Expenditures 15-22'!F65</f>
        <v>104662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121220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200736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3009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3873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2575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2575</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5440</v>
      </c>
      <c r="D975" s="2" t="str">
        <f t="shared" si="14"/>
        <v>Error?</v>
      </c>
    </row>
    <row r="976" spans="1:4" x14ac:dyDescent="0.2">
      <c r="A976" s="10">
        <v>915</v>
      </c>
      <c r="D976" s="2" t="str">
        <f t="shared" si="14"/>
        <v>OK</v>
      </c>
    </row>
    <row r="977" spans="1:4" x14ac:dyDescent="0.2">
      <c r="A977" s="5">
        <v>916</v>
      </c>
      <c r="B977" s="138">
        <f>'Expenditures 15-22'!G65</f>
        <v>5440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8015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11888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4906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6736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6736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6736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59569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71211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1670058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331461</v>
      </c>
      <c r="C1105" s="2" t="s">
        <v>594</v>
      </c>
      <c r="D1105" s="2" t="str">
        <f t="shared" si="16"/>
        <v>Error?</v>
      </c>
    </row>
    <row r="1106" spans="1:4" x14ac:dyDescent="0.2">
      <c r="A1106" s="5">
        <v>1045</v>
      </c>
      <c r="B1106" s="138">
        <f>'Expenditures 15-22'!K14</f>
        <v>203925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2581555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118133</v>
      </c>
      <c r="C1110" s="2" t="s">
        <v>594</v>
      </c>
      <c r="D1110" s="2" t="str">
        <f t="shared" si="16"/>
        <v>Error?</v>
      </c>
    </row>
    <row r="1111" spans="1:4" x14ac:dyDescent="0.2">
      <c r="A1111" s="5">
        <v>1050</v>
      </c>
      <c r="B1111" s="138">
        <f>'Expenditures 15-22'!K38</f>
        <v>57060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175193</v>
      </c>
      <c r="C1115" s="2" t="s">
        <v>594</v>
      </c>
      <c r="D1115" s="2" t="str">
        <f t="shared" si="16"/>
        <v>Error?</v>
      </c>
    </row>
    <row r="1116" spans="1:4" x14ac:dyDescent="0.2">
      <c r="A1116" s="5">
        <v>1055</v>
      </c>
      <c r="B1116" s="138">
        <f>'Expenditures 15-22'!K44</f>
        <v>657</v>
      </c>
      <c r="C1116" s="2" t="s">
        <v>594</v>
      </c>
      <c r="D1116" s="2" t="str">
        <f t="shared" si="16"/>
        <v>Error?</v>
      </c>
    </row>
    <row r="1117" spans="1:4" x14ac:dyDescent="0.2">
      <c r="A1117" s="5">
        <v>1056</v>
      </c>
      <c r="B1117" s="138">
        <f>'Expenditures 15-22'!K45</f>
        <v>6992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7649</v>
      </c>
      <c r="C1119" s="2" t="s">
        <v>594</v>
      </c>
      <c r="D1119" s="2" t="str">
        <f t="shared" si="16"/>
        <v>Error?</v>
      </c>
    </row>
    <row r="1120" spans="1:4" x14ac:dyDescent="0.2">
      <c r="A1120" s="5">
        <v>1059</v>
      </c>
      <c r="B1120" s="138">
        <f>'Expenditures 15-22'!K49</f>
        <v>29572</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29572</v>
      </c>
      <c r="C1122" s="2" t="s">
        <v>594</v>
      </c>
      <c r="D1122" s="2" t="str">
        <f t="shared" si="16"/>
        <v>Error?</v>
      </c>
    </row>
    <row r="1123" spans="1:4" x14ac:dyDescent="0.2">
      <c r="A1123" s="5">
        <v>1062</v>
      </c>
      <c r="B1123" s="138">
        <f>'Expenditures 15-22'!K55</f>
        <v>278790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278790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5596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178530</v>
      </c>
      <c r="C1130" s="2" t="s">
        <v>594</v>
      </c>
      <c r="D1130" s="2" t="str">
        <f t="shared" si="16"/>
        <v>Error?</v>
      </c>
    </row>
    <row r="1131" spans="1:4" x14ac:dyDescent="0.2">
      <c r="A1131" s="5">
        <v>1070</v>
      </c>
      <c r="B1131" s="138">
        <f>'Expenditures 15-22'!K64</f>
        <v>102234</v>
      </c>
      <c r="C1131" s="2" t="s">
        <v>594</v>
      </c>
      <c r="D1131" s="2" t="str">
        <f t="shared" si="16"/>
        <v>Error?</v>
      </c>
    </row>
    <row r="1132" spans="1:4" x14ac:dyDescent="0.2">
      <c r="A1132" s="10">
        <v>1071</v>
      </c>
      <c r="D1132" s="2" t="str">
        <f t="shared" si="16"/>
        <v>OK</v>
      </c>
    </row>
    <row r="1133" spans="1:4" x14ac:dyDescent="0.2">
      <c r="A1133" s="5">
        <v>1072</v>
      </c>
      <c r="B1133" s="138">
        <f>'Expenditures 15-22'!K65</f>
        <v>286360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777564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117541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3476660</v>
      </c>
      <c r="C1152" s="2" t="s">
        <v>594</v>
      </c>
      <c r="D1152" s="2" t="str">
        <f t="shared" si="17"/>
        <v>Error?</v>
      </c>
    </row>
    <row r="1153" spans="1:4" x14ac:dyDescent="0.2">
      <c r="A1153" s="5">
        <v>1092</v>
      </c>
      <c r="B1153" s="138">
        <f>'Expenditures 15-22'!K115</f>
        <v>417449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90910</v>
      </c>
      <c r="D1221" s="2" t="str">
        <f t="shared" si="18"/>
        <v>Error?</v>
      </c>
    </row>
    <row r="1222" spans="1:4" x14ac:dyDescent="0.2">
      <c r="A1222" s="10">
        <v>1161</v>
      </c>
      <c r="D1222" s="2" t="str">
        <f t="shared" si="18"/>
        <v>OK</v>
      </c>
    </row>
    <row r="1223" spans="1:4" x14ac:dyDescent="0.2">
      <c r="A1223" s="5">
        <v>1162</v>
      </c>
      <c r="B1223" s="138">
        <f>'Expenditures 15-22'!C127</f>
        <v>90910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90910</v>
      </c>
      <c r="C1225" s="2" t="s">
        <v>594</v>
      </c>
      <c r="D1225" s="2" t="str">
        <f t="shared" si="18"/>
        <v>Error?</v>
      </c>
    </row>
    <row r="1226" spans="1:4" x14ac:dyDescent="0.2">
      <c r="A1226" s="5">
        <v>1165</v>
      </c>
      <c r="B1226" s="138">
        <f>'Expenditures 15-22'!C151</f>
        <v>90910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7747</v>
      </c>
      <c r="D1229" s="2" t="str">
        <f t="shared" si="18"/>
        <v>Error?</v>
      </c>
    </row>
    <row r="1230" spans="1:4" x14ac:dyDescent="0.2">
      <c r="A1230" s="10">
        <v>1169</v>
      </c>
      <c r="D1230" s="2" t="str">
        <f t="shared" si="18"/>
        <v>OK</v>
      </c>
    </row>
    <row r="1231" spans="1:4" x14ac:dyDescent="0.2">
      <c r="A1231" s="5">
        <v>1170</v>
      </c>
      <c r="B1231" s="138">
        <f>'Expenditures 15-22'!D127</f>
        <v>7747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7747</v>
      </c>
      <c r="C1233" s="2" t="s">
        <v>594</v>
      </c>
      <c r="D1233" s="2" t="str">
        <f t="shared" si="18"/>
        <v>Error?</v>
      </c>
    </row>
    <row r="1234" spans="1:4" x14ac:dyDescent="0.2">
      <c r="A1234" s="5">
        <v>1173</v>
      </c>
      <c r="B1234" s="138">
        <f>'Expenditures 15-22'!D151</f>
        <v>7747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120717</v>
      </c>
      <c r="D1236" s="2" t="str">
        <f t="shared" si="18"/>
        <v>Error?</v>
      </c>
    </row>
    <row r="1237" spans="1:4" x14ac:dyDescent="0.2">
      <c r="A1237" s="5">
        <v>1176</v>
      </c>
      <c r="B1237" s="138">
        <f>'Expenditures 15-22'!E124</f>
        <v>238671</v>
      </c>
      <c r="D1237" s="2" t="str">
        <f t="shared" si="18"/>
        <v>Error?</v>
      </c>
    </row>
    <row r="1238" spans="1:4" x14ac:dyDescent="0.2">
      <c r="A1238" s="10">
        <v>1177</v>
      </c>
      <c r="D1238" s="2" t="str">
        <f t="shared" si="18"/>
        <v>OK</v>
      </c>
    </row>
    <row r="1239" spans="1:4" x14ac:dyDescent="0.2">
      <c r="A1239" s="5">
        <v>1178</v>
      </c>
      <c r="B1239" s="138">
        <f>'Expenditures 15-22'!E127</f>
        <v>359388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359388</v>
      </c>
      <c r="C1241" s="2" t="s">
        <v>594</v>
      </c>
      <c r="D1241" s="2" t="str">
        <f t="shared" si="18"/>
        <v>Error?</v>
      </c>
    </row>
    <row r="1242" spans="1:4" x14ac:dyDescent="0.2">
      <c r="A1242" s="5">
        <v>1181</v>
      </c>
      <c r="B1242" s="138">
        <f>'Expenditures 15-22'!E151</f>
        <v>365952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57241</v>
      </c>
      <c r="D1245" s="2" t="str">
        <f t="shared" si="18"/>
        <v>Error?</v>
      </c>
    </row>
    <row r="1246" spans="1:4" x14ac:dyDescent="0.2">
      <c r="A1246" s="10">
        <v>1185</v>
      </c>
      <c r="D1246" s="2" t="str">
        <f t="shared" si="18"/>
        <v>OK</v>
      </c>
    </row>
    <row r="1247" spans="1:4" x14ac:dyDescent="0.2">
      <c r="A1247" s="5">
        <v>1186</v>
      </c>
      <c r="B1247" s="138">
        <f>'Expenditures 15-22'!F127</f>
        <v>57241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57241</v>
      </c>
      <c r="C1249" s="2" t="s">
        <v>594</v>
      </c>
      <c r="D1249" s="2" t="str">
        <f t="shared" si="18"/>
        <v>Error?</v>
      </c>
    </row>
    <row r="1250" spans="1:4" x14ac:dyDescent="0.2">
      <c r="A1250" s="5">
        <v>1189</v>
      </c>
      <c r="B1250" s="138">
        <f>'Expenditures 15-22'!F151</f>
        <v>57241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1656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1656</v>
      </c>
      <c r="C1258" s="2" t="s">
        <v>594</v>
      </c>
      <c r="D1258" s="2" t="str">
        <f t="shared" si="18"/>
        <v>Error?</v>
      </c>
    </row>
    <row r="1259" spans="1:4" x14ac:dyDescent="0.2">
      <c r="A1259" s="5">
        <v>1198</v>
      </c>
      <c r="B1259" s="138">
        <f>'Expenditures 15-22'!G151</f>
        <v>1656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120717</v>
      </c>
      <c r="C1275" s="2" t="s">
        <v>594</v>
      </c>
      <c r="D1275" s="2" t="str">
        <f t="shared" si="18"/>
        <v>Error?</v>
      </c>
    </row>
    <row r="1276" spans="1:4" x14ac:dyDescent="0.2">
      <c r="A1276" s="5">
        <v>1215</v>
      </c>
      <c r="B1276" s="138">
        <f>'Expenditures 15-22'!K124</f>
        <v>396225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516942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516942</v>
      </c>
      <c r="C1281" s="2" t="s">
        <v>594</v>
      </c>
      <c r="D1281" s="2" t="str">
        <f t="shared" si="19"/>
        <v>Error?</v>
      </c>
    </row>
    <row r="1282" spans="1:4" x14ac:dyDescent="0.2">
      <c r="A1282" s="5">
        <v>1221</v>
      </c>
      <c r="B1282" s="138">
        <f>'Expenditures 15-22'!K139</f>
        <v>6564</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523506</v>
      </c>
      <c r="C1288" s="2" t="s">
        <v>594</v>
      </c>
      <c r="D1288" s="2" t="str">
        <f t="shared" si="19"/>
        <v>Error?</v>
      </c>
    </row>
    <row r="1289" spans="1:4" x14ac:dyDescent="0.2">
      <c r="A1289" s="5">
        <v>1228</v>
      </c>
      <c r="B1289" s="138">
        <f>'Expenditures 15-22'!K152</f>
        <v>-96701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80263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80263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80263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80263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80263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80263</v>
      </c>
      <c r="C1388" s="2" t="s">
        <v>594</v>
      </c>
      <c r="D1388" s="2" t="str">
        <f t="shared" si="20"/>
        <v>Error?</v>
      </c>
    </row>
    <row r="1389" spans="1:4" x14ac:dyDescent="0.2">
      <c r="A1389" s="5">
        <v>1328</v>
      </c>
      <c r="B1389" s="138">
        <f>'Expenditures 15-22'!K211</f>
        <v>-21119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3457</v>
      </c>
      <c r="D1407" s="2" t="str">
        <f t="shared" ref="D1407:D1470" si="21">IF(ISBLANK(B1407),"OK",IF(A1407-B1407=0,"OK","Error?"))</f>
        <v>Error?</v>
      </c>
    </row>
    <row r="1408" spans="1:4" x14ac:dyDescent="0.2">
      <c r="A1408" s="5">
        <v>1347</v>
      </c>
      <c r="B1408" s="138">
        <f>'Expenditures 15-22'!D223</f>
        <v>6863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58933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1425</v>
      </c>
      <c r="D1412" s="2" t="str">
        <f t="shared" si="21"/>
        <v>Error?</v>
      </c>
    </row>
    <row r="1413" spans="1:4" x14ac:dyDescent="0.2">
      <c r="A1413" s="5">
        <v>1352</v>
      </c>
      <c r="B1413" s="138">
        <f>'Expenditures 15-22'!D234</f>
        <v>655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2080</v>
      </c>
      <c r="C1417" s="2" t="s">
        <v>594</v>
      </c>
      <c r="D1417" s="2" t="str">
        <f t="shared" si="21"/>
        <v>Error?</v>
      </c>
    </row>
    <row r="1418" spans="1:4" x14ac:dyDescent="0.2">
      <c r="A1418" s="5">
        <v>1357</v>
      </c>
      <c r="B1418" s="138">
        <f>'Expenditures 15-22'!D240</f>
        <v>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455</v>
      </c>
      <c r="C1424" s="2" t="s">
        <v>594</v>
      </c>
      <c r="D1424" s="2" t="str">
        <f t="shared" si="21"/>
        <v>Error?</v>
      </c>
    </row>
    <row r="1425" spans="1:4" x14ac:dyDescent="0.2">
      <c r="A1425" s="5">
        <v>1364</v>
      </c>
      <c r="B1425" s="138">
        <f>'Expenditures 15-22'!D259</f>
        <v>12949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12949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17302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10650</v>
      </c>
      <c r="D1433" s="2" t="str">
        <f t="shared" si="21"/>
        <v>Error?</v>
      </c>
    </row>
    <row r="1434" spans="1:4" x14ac:dyDescent="0.2">
      <c r="A1434" s="5">
        <v>1373</v>
      </c>
      <c r="B1434" s="138">
        <f>'Expenditures 15-22'!D269</f>
        <v>5330</v>
      </c>
      <c r="D1434" s="2" t="str">
        <f t="shared" si="21"/>
        <v>Error?</v>
      </c>
    </row>
    <row r="1435" spans="1:4" x14ac:dyDescent="0.2">
      <c r="A1435" s="10">
        <v>1374</v>
      </c>
      <c r="D1435" s="2" t="str">
        <f t="shared" si="21"/>
        <v>OK</v>
      </c>
    </row>
    <row r="1436" spans="1:4" x14ac:dyDescent="0.2">
      <c r="A1436" s="5">
        <v>1375</v>
      </c>
      <c r="B1436" s="138">
        <f>'Expenditures 15-22'!D270</f>
        <v>33282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48774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111356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3457</v>
      </c>
      <c r="C1471" s="2" t="s">
        <v>594</v>
      </c>
      <c r="D1471" s="2" t="str">
        <f t="shared" ref="D1471:D1534" si="22">IF(ISBLANK(B1471),"OK",IF(A1471-B1471=0,"OK","Error?"))</f>
        <v>Error?</v>
      </c>
    </row>
    <row r="1472" spans="1:4" x14ac:dyDescent="0.2">
      <c r="A1472" s="5">
        <v>1411</v>
      </c>
      <c r="B1472" s="138">
        <f>'Expenditures 15-22'!K223</f>
        <v>6863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58933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1425</v>
      </c>
      <c r="C1476" s="2" t="s">
        <v>594</v>
      </c>
      <c r="D1476" s="2" t="str">
        <f t="shared" si="22"/>
        <v>Error?</v>
      </c>
    </row>
    <row r="1477" spans="1:4" x14ac:dyDescent="0.2">
      <c r="A1477" s="5">
        <v>1416</v>
      </c>
      <c r="B1477" s="138">
        <f>'Expenditures 15-22'!K234</f>
        <v>655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2080</v>
      </c>
      <c r="C1481" s="2" t="s">
        <v>594</v>
      </c>
      <c r="D1481" s="2" t="str">
        <f t="shared" si="22"/>
        <v>Error?</v>
      </c>
    </row>
    <row r="1482" spans="1:4" x14ac:dyDescent="0.2">
      <c r="A1482" s="5">
        <v>1421</v>
      </c>
      <c r="B1482" s="138">
        <f>'Expenditures 15-22'!K240</f>
        <v>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455</v>
      </c>
      <c r="C1488" s="2" t="s">
        <v>594</v>
      </c>
      <c r="D1488" s="2" t="str">
        <f t="shared" si="22"/>
        <v>Error?</v>
      </c>
    </row>
    <row r="1489" spans="1:4" x14ac:dyDescent="0.2">
      <c r="A1489" s="5">
        <v>1428</v>
      </c>
      <c r="B1489" s="138">
        <f>'Expenditures 15-22'!K259</f>
        <v>12949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12949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17302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10650</v>
      </c>
      <c r="C1497" s="2" t="s">
        <v>594</v>
      </c>
      <c r="D1497" s="2" t="str">
        <f t="shared" si="22"/>
        <v>Error?</v>
      </c>
    </row>
    <row r="1498" spans="1:4" x14ac:dyDescent="0.2">
      <c r="A1498" s="5">
        <v>1437</v>
      </c>
      <c r="B1498" s="138">
        <f>'Expenditures 15-22'!K269</f>
        <v>5330</v>
      </c>
      <c r="C1498" s="2" t="s">
        <v>594</v>
      </c>
      <c r="D1498" s="2" t="str">
        <f t="shared" si="22"/>
        <v>Error?</v>
      </c>
    </row>
    <row r="1499" spans="1:4" x14ac:dyDescent="0.2">
      <c r="A1499" s="10">
        <v>1438</v>
      </c>
      <c r="D1499" s="2" t="str">
        <f t="shared" si="22"/>
        <v>OK</v>
      </c>
    </row>
    <row r="1500" spans="1:4" x14ac:dyDescent="0.2">
      <c r="A1500" s="5">
        <v>1439</v>
      </c>
      <c r="B1500" s="138">
        <f>'Expenditures 15-22'!K270</f>
        <v>33282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48774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111356</v>
      </c>
      <c r="C1517" s="2" t="s">
        <v>594</v>
      </c>
      <c r="D1517" s="2" t="str">
        <f t="shared" si="22"/>
        <v>Error?</v>
      </c>
    </row>
    <row r="1518" spans="1:4" x14ac:dyDescent="0.2">
      <c r="A1518" s="5">
        <v>1457</v>
      </c>
      <c r="B1518" s="138">
        <f>'Expenditures 15-22'!K296</f>
        <v>-21856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40825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40825</v>
      </c>
      <c r="C1535" s="2" t="s">
        <v>594</v>
      </c>
      <c r="D1535" s="2" t="str">
        <f t="shared" ref="D1535:D1598" si="23">IF(ISBLANK(B1535),"OK",IF(A1535-B1535=0,"OK","Error?"))</f>
        <v>Error?</v>
      </c>
    </row>
    <row r="1536" spans="1:4" x14ac:dyDescent="0.2">
      <c r="A1536" s="5">
        <v>1475</v>
      </c>
      <c r="B1536" s="138">
        <f>'Expenditures 15-22'!E312</f>
        <v>40825</v>
      </c>
      <c r="C1536" s="2" t="s">
        <v>594</v>
      </c>
      <c r="D1536" s="2" t="str">
        <f t="shared" si="23"/>
        <v>Error?</v>
      </c>
    </row>
    <row r="1537" spans="1:4" x14ac:dyDescent="0.2">
      <c r="A1537" s="5">
        <v>1476</v>
      </c>
      <c r="B1537" s="138">
        <f>'Expenditures 15-22'!F301</f>
        <v>12899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12899</v>
      </c>
      <c r="C1541" s="2" t="s">
        <v>594</v>
      </c>
      <c r="D1541" s="2" t="str">
        <f t="shared" si="23"/>
        <v>Error?</v>
      </c>
    </row>
    <row r="1542" spans="1:4" x14ac:dyDescent="0.2">
      <c r="A1542" s="5">
        <v>1481</v>
      </c>
      <c r="B1542" s="138">
        <f>'Expenditures 15-22'!F312</f>
        <v>12899</v>
      </c>
      <c r="C1542" s="2" t="s">
        <v>594</v>
      </c>
      <c r="D1542" s="2" t="str">
        <f t="shared" si="23"/>
        <v>Error?</v>
      </c>
    </row>
    <row r="1543" spans="1:4" x14ac:dyDescent="0.2">
      <c r="A1543" s="5">
        <v>1482</v>
      </c>
      <c r="B1543" s="138">
        <f>'Expenditures 15-22'!G301</f>
        <v>62840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62840</v>
      </c>
      <c r="C1547" s="2" t="s">
        <v>594</v>
      </c>
      <c r="D1547" s="2" t="str">
        <f t="shared" si="23"/>
        <v>Error?</v>
      </c>
    </row>
    <row r="1548" spans="1:4" x14ac:dyDescent="0.2">
      <c r="A1548" s="5">
        <v>1487</v>
      </c>
      <c r="B1548" s="138">
        <f>'Expenditures 15-22'!G312</f>
        <v>62840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116564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116564</v>
      </c>
      <c r="C1559" s="2" t="s">
        <v>594</v>
      </c>
      <c r="D1559" s="2" t="str">
        <f t="shared" si="23"/>
        <v>Error?</v>
      </c>
    </row>
    <row r="1560" spans="1:4" x14ac:dyDescent="0.2">
      <c r="A1560" s="5">
        <v>1499</v>
      </c>
      <c r="B1560" s="138">
        <f>'Expenditures 15-22'!K312</f>
        <v>116564</v>
      </c>
      <c r="C1560" s="2" t="s">
        <v>594</v>
      </c>
      <c r="D1560" s="2" t="str">
        <f t="shared" si="23"/>
        <v>Error?</v>
      </c>
    </row>
    <row r="1561" spans="1:4" x14ac:dyDescent="0.2">
      <c r="A1561" s="5">
        <v>1500</v>
      </c>
      <c r="B1561" s="138">
        <f>'Expenditures 15-22'!K313</f>
        <v>-11992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255382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672831</v>
      </c>
      <c r="C1630" s="2" t="s">
        <v>594</v>
      </c>
      <c r="D1630" s="2" t="str">
        <f t="shared" si="24"/>
        <v>Error?</v>
      </c>
    </row>
    <row r="1631" spans="1:4" x14ac:dyDescent="0.2">
      <c r="A1631" s="5">
        <v>1570</v>
      </c>
      <c r="B1631" s="138">
        <f>'Acct Summary 7-8'!D79</f>
        <v>-113718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-210419</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-19556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-40675</v>
      </c>
      <c r="C1672" s="2" t="s">
        <v>594</v>
      </c>
      <c r="D1672" s="2" t="str">
        <f t="shared" si="25"/>
        <v>Error?</v>
      </c>
    </row>
    <row r="1673" spans="1:4" x14ac:dyDescent="0.2">
      <c r="A1673" s="5">
        <v>1612</v>
      </c>
      <c r="B1673" s="138">
        <f>'Acct Summary 7-8'!G79</f>
        <v>-24787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-46643</v>
      </c>
      <c r="C1686" s="2" t="s">
        <v>594</v>
      </c>
      <c r="D1686" s="2" t="str">
        <f t="shared" si="25"/>
        <v>Error?</v>
      </c>
    </row>
    <row r="1687" spans="1:4" x14ac:dyDescent="0.2">
      <c r="A1687" s="5">
        <v>1626</v>
      </c>
      <c r="B1687" s="138">
        <f>'Acct Summary 7-8'!H79</f>
        <v>89960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77968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25640716</v>
      </c>
      <c r="D2009" s="2" t="str">
        <f t="shared" si="30"/>
        <v>Error?</v>
      </c>
    </row>
    <row r="2010" spans="1:4" x14ac:dyDescent="0.2">
      <c r="A2010" s="5">
        <v>1949</v>
      </c>
      <c r="B2010" s="138">
        <f>'Cap Outlay Deprec 26'!C10</f>
        <v>850573</v>
      </c>
      <c r="D2010" s="2" t="str">
        <f t="shared" si="30"/>
        <v>Error?</v>
      </c>
    </row>
    <row r="2011" spans="1:4" x14ac:dyDescent="0.2">
      <c r="A2011" s="5">
        <v>1950</v>
      </c>
      <c r="B2011" s="138">
        <f>'Cap Outlay Deprec 26'!C12</f>
        <v>1783233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28274522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58865</v>
      </c>
      <c r="D2016" s="2" t="str">
        <f t="shared" si="30"/>
        <v>Error?</v>
      </c>
    </row>
    <row r="2017" spans="1:4" x14ac:dyDescent="0.2">
      <c r="A2017" s="5">
        <v>1956</v>
      </c>
      <c r="B2017" s="138">
        <f>'Cap Outlay Deprec 26'!D12</f>
        <v>10340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69205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3348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3348</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25640716</v>
      </c>
      <c r="C2027" s="2" t="s">
        <v>594</v>
      </c>
      <c r="D2027" s="2" t="str">
        <f t="shared" si="30"/>
        <v>Error?</v>
      </c>
    </row>
    <row r="2028" spans="1:4" x14ac:dyDescent="0.2">
      <c r="A2028" s="5">
        <v>1967</v>
      </c>
      <c r="B2028" s="138">
        <f>'Cap Outlay Deprec 26'!F10</f>
        <v>909438</v>
      </c>
      <c r="C2028" s="2" t="s">
        <v>594</v>
      </c>
      <c r="D2028" s="2" t="str">
        <f t="shared" si="30"/>
        <v>Error?</v>
      </c>
    </row>
    <row r="2029" spans="1:4" x14ac:dyDescent="0.2">
      <c r="A2029" s="5">
        <v>1968</v>
      </c>
      <c r="B2029" s="138">
        <f>'Cap Outlay Deprec 26'!F12</f>
        <v>1790225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28340379</v>
      </c>
      <c r="C2031" s="2" t="s">
        <v>594</v>
      </c>
      <c r="D2031" s="2" t="str">
        <f t="shared" si="30"/>
        <v>Error?</v>
      </c>
    </row>
    <row r="2032" spans="1:4" x14ac:dyDescent="0.2">
      <c r="A2032" s="10">
        <v>1971</v>
      </c>
      <c r="D2032" s="2" t="str">
        <f t="shared" si="30"/>
        <v>OK</v>
      </c>
    </row>
    <row r="2033" spans="1:4" x14ac:dyDescent="0.2">
      <c r="A2033" s="5">
        <v>1972</v>
      </c>
      <c r="B2033" s="138">
        <f>'Cap Outlay Deprec 26'!H8</f>
        <v>1051362</v>
      </c>
      <c r="D2033" s="2" t="str">
        <f t="shared" si="30"/>
        <v>Error?</v>
      </c>
    </row>
    <row r="2034" spans="1:4" x14ac:dyDescent="0.2">
      <c r="A2034" s="5">
        <v>1973</v>
      </c>
      <c r="B2034" s="138">
        <f>'Cap Outlay Deprec 26'!H10</f>
        <v>67247</v>
      </c>
      <c r="D2034" s="2" t="str">
        <f t="shared" si="30"/>
        <v>Error?</v>
      </c>
    </row>
    <row r="2035" spans="1:4" x14ac:dyDescent="0.2">
      <c r="A2035" s="5">
        <v>1974</v>
      </c>
      <c r="B2035" s="138">
        <f>'Cap Outlay Deprec 26'!H12</f>
        <v>381172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1499781</v>
      </c>
      <c r="C2037" s="2" t="s">
        <v>594</v>
      </c>
      <c r="D2037" s="2" t="str">
        <f t="shared" si="30"/>
        <v>Error?</v>
      </c>
    </row>
    <row r="2038" spans="1:4" x14ac:dyDescent="0.2">
      <c r="A2038" s="10">
        <v>1977</v>
      </c>
      <c r="D2038" s="2" t="str">
        <f t="shared" si="30"/>
        <v>OK</v>
      </c>
    </row>
    <row r="2039" spans="1:4" x14ac:dyDescent="0.2">
      <c r="A2039" s="5">
        <v>1978</v>
      </c>
      <c r="B2039" s="138">
        <f>'Cap Outlay Deprec 26'!I8</f>
        <v>512814</v>
      </c>
      <c r="D2039" s="2" t="str">
        <f t="shared" si="30"/>
        <v>Error?</v>
      </c>
    </row>
    <row r="2040" spans="1:4" x14ac:dyDescent="0.2">
      <c r="A2040" s="5">
        <v>1979</v>
      </c>
      <c r="B2040" s="138">
        <f>'Cap Outlay Deprec 26'!I10</f>
        <v>44459</v>
      </c>
      <c r="D2040" s="2" t="str">
        <f t="shared" si="30"/>
        <v>Error?</v>
      </c>
    </row>
    <row r="2041" spans="1:4" x14ac:dyDescent="0.2">
      <c r="A2041" s="5">
        <v>1980</v>
      </c>
      <c r="B2041" s="138">
        <f>'Cap Outlay Deprec 26'!I12</f>
        <v>178621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735894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1866</v>
      </c>
      <c r="C2049" s="2" t="s">
        <v>594</v>
      </c>
      <c r="D2049" s="2" t="str">
        <f t="shared" si="31"/>
        <v>Error?</v>
      </c>
    </row>
    <row r="2050" spans="1:4" x14ac:dyDescent="0.2">
      <c r="A2050" s="10">
        <v>1989</v>
      </c>
      <c r="D2050" s="2" t="str">
        <f t="shared" si="31"/>
        <v>OK</v>
      </c>
    </row>
    <row r="2051" spans="1:4" x14ac:dyDescent="0.2">
      <c r="A2051" s="5">
        <v>1990</v>
      </c>
      <c r="B2051" s="138">
        <f>'Cap Outlay Deprec 26'!K8</f>
        <v>1564176</v>
      </c>
      <c r="C2051" s="2" t="s">
        <v>594</v>
      </c>
      <c r="D2051" s="2" t="str">
        <f t="shared" si="31"/>
        <v>Error?</v>
      </c>
    </row>
    <row r="2052" spans="1:4" x14ac:dyDescent="0.2">
      <c r="A2052" s="5">
        <v>1991</v>
      </c>
      <c r="B2052" s="138">
        <f>'Cap Outlay Deprec 26'!K10</f>
        <v>111706</v>
      </c>
      <c r="C2052" s="2" t="s">
        <v>594</v>
      </c>
      <c r="D2052" s="2" t="str">
        <f t="shared" si="31"/>
        <v>Error?</v>
      </c>
    </row>
    <row r="2053" spans="1:4" x14ac:dyDescent="0.2">
      <c r="A2053" s="5">
        <v>1992</v>
      </c>
      <c r="B2053" s="138">
        <f>'Cap Outlay Deprec 26'!K12</f>
        <v>557927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2233809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24076540</v>
      </c>
      <c r="C2057" s="2" t="s">
        <v>594</v>
      </c>
      <c r="D2057" s="2" t="str">
        <f t="shared" si="31"/>
        <v>Error?</v>
      </c>
    </row>
    <row r="2058" spans="1:4" x14ac:dyDescent="0.2">
      <c r="A2058" s="5">
        <v>1997</v>
      </c>
      <c r="B2058" s="138">
        <f>'Cap Outlay Deprec 26'!L10</f>
        <v>797732</v>
      </c>
      <c r="C2058" s="2" t="s">
        <v>594</v>
      </c>
      <c r="D2058" s="2" t="str">
        <f t="shared" si="31"/>
        <v>Error?</v>
      </c>
    </row>
    <row r="2059" spans="1:4" x14ac:dyDescent="0.2">
      <c r="A2059" s="5">
        <v>1998</v>
      </c>
      <c r="B2059" s="138">
        <f>'Cap Outlay Deprec 26'!L12</f>
        <v>1232298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26106570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59569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117541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6564</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3596443</v>
      </c>
      <c r="C2551" s="2" t="s">
        <v>594</v>
      </c>
      <c r="D2551" s="2" t="str">
        <f t="shared" si="38"/>
        <v>Error?</v>
      </c>
    </row>
    <row r="2552" spans="1:4" x14ac:dyDescent="0.2">
      <c r="A2552" s="10">
        <v>2491</v>
      </c>
      <c r="D2552" s="2" t="str">
        <f t="shared" si="38"/>
        <v>OK</v>
      </c>
    </row>
    <row r="2553" spans="1:4" x14ac:dyDescent="0.2">
      <c r="A2553" s="5">
        <v>2492</v>
      </c>
      <c r="B2553" s="138">
        <f>'Acct Summary 7-8'!C6</f>
        <v>213005</v>
      </c>
      <c r="C2553" s="2" t="s">
        <v>594</v>
      </c>
      <c r="D2553" s="2" t="str">
        <f t="shared" si="38"/>
        <v>Error?</v>
      </c>
    </row>
    <row r="2554" spans="1:4" x14ac:dyDescent="0.2">
      <c r="A2554" s="5">
        <v>2493</v>
      </c>
      <c r="B2554" s="138">
        <f>'Acct Summary 7-8'!C7</f>
        <v>84661</v>
      </c>
      <c r="C2554" s="2" t="s">
        <v>594</v>
      </c>
      <c r="D2554" s="2" t="str">
        <f t="shared" si="38"/>
        <v>Error?</v>
      </c>
    </row>
    <row r="2555" spans="1:4" x14ac:dyDescent="0.2">
      <c r="A2555" s="5">
        <v>2494</v>
      </c>
      <c r="B2555" s="138">
        <f>'Acct Summary 7-8'!C8</f>
        <v>3894109</v>
      </c>
      <c r="C2555" s="2" t="s">
        <v>594</v>
      </c>
      <c r="D2555" s="2" t="str">
        <f t="shared" si="38"/>
        <v>Error?</v>
      </c>
    </row>
    <row r="2556" spans="1:4" x14ac:dyDescent="0.2">
      <c r="A2556" s="5">
        <v>2495</v>
      </c>
      <c r="B2556" s="138">
        <f>'Acct Summary 7-8'!C12</f>
        <v>2581555</v>
      </c>
      <c r="C2556" s="2" t="s">
        <v>594</v>
      </c>
      <c r="D2556" s="2" t="str">
        <f t="shared" si="38"/>
        <v>Error?</v>
      </c>
    </row>
    <row r="2557" spans="1:4" x14ac:dyDescent="0.2">
      <c r="A2557" s="5">
        <v>2496</v>
      </c>
      <c r="B2557" s="138">
        <f>'Acct Summary 7-8'!C13</f>
        <v>777564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117541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3476660</v>
      </c>
      <c r="C2561" s="2" t="s">
        <v>594</v>
      </c>
      <c r="D2561" s="2" t="str">
        <f t="shared" si="39"/>
        <v>Error?</v>
      </c>
    </row>
    <row r="2562" spans="1:4" x14ac:dyDescent="0.2">
      <c r="A2562" s="5">
        <v>2501</v>
      </c>
      <c r="B2562" s="138">
        <f>'Acct Summary 7-8'!C20</f>
        <v>417449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426805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426805</v>
      </c>
      <c r="C2568" s="2" t="s">
        <v>594</v>
      </c>
      <c r="D2568" s="2" t="str">
        <f t="shared" si="39"/>
        <v>Error?</v>
      </c>
    </row>
    <row r="2569" spans="1:4" x14ac:dyDescent="0.2">
      <c r="A2569" s="5">
        <v>2508</v>
      </c>
      <c r="B2569" s="138">
        <f>'Acct Summary 7-8'!D13</f>
        <v>516942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6564</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523506</v>
      </c>
      <c r="C2573" s="2" t="s">
        <v>594</v>
      </c>
      <c r="D2573" s="2" t="str">
        <f t="shared" si="39"/>
        <v>Error?</v>
      </c>
    </row>
    <row r="2574" spans="1:4" x14ac:dyDescent="0.2">
      <c r="A2574" s="5">
        <v>2513</v>
      </c>
      <c r="B2574" s="138">
        <f>'Acct Summary 7-8'!D20</f>
        <v>-96701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59144</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59144</v>
      </c>
      <c r="C2595" s="2" t="s">
        <v>594</v>
      </c>
      <c r="D2595" s="2" t="str">
        <f t="shared" si="39"/>
        <v>Error?</v>
      </c>
    </row>
    <row r="2596" spans="1:4" x14ac:dyDescent="0.2">
      <c r="A2596" s="5">
        <v>2535</v>
      </c>
      <c r="B2596" s="138">
        <f>'Acct Summary 7-8'!F13</f>
        <v>80263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80263</v>
      </c>
      <c r="C2600" s="2" t="s">
        <v>594</v>
      </c>
      <c r="D2600" s="2" t="str">
        <f t="shared" si="39"/>
        <v>Error?</v>
      </c>
    </row>
    <row r="2601" spans="1:4" x14ac:dyDescent="0.2">
      <c r="A2601" s="5">
        <v>2540</v>
      </c>
      <c r="B2601" s="138">
        <f>'Acct Summary 7-8'!F20</f>
        <v>-21119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89500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89500</v>
      </c>
      <c r="C2606" s="2" t="s">
        <v>594</v>
      </c>
      <c r="D2606" s="2" t="str">
        <f t="shared" si="39"/>
        <v>Error?</v>
      </c>
    </row>
    <row r="2607" spans="1:4" x14ac:dyDescent="0.2">
      <c r="A2607" s="5">
        <v>2546</v>
      </c>
      <c r="B2607" s="138">
        <f>'Acct Summary 7-8'!G12</f>
        <v>58933</v>
      </c>
      <c r="C2607" s="2" t="s">
        <v>594</v>
      </c>
      <c r="D2607" s="2" t="str">
        <f t="shared" si="39"/>
        <v>Error?</v>
      </c>
    </row>
    <row r="2608" spans="1:4" x14ac:dyDescent="0.2">
      <c r="A2608" s="5">
        <v>2547</v>
      </c>
      <c r="B2608" s="138">
        <f>'Acct Summary 7-8'!G13</f>
        <v>48774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111356</v>
      </c>
      <c r="C2612" s="2" t="s">
        <v>594</v>
      </c>
      <c r="D2612" s="2" t="str">
        <f t="shared" si="39"/>
        <v>Error?</v>
      </c>
    </row>
    <row r="2613" spans="1:4" x14ac:dyDescent="0.2">
      <c r="A2613" s="5">
        <v>2552</v>
      </c>
      <c r="B2613" s="138">
        <f>'Acct Summary 7-8'!G20</f>
        <v>-21856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104572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104572</v>
      </c>
      <c r="C2658" s="2" t="s">
        <v>594</v>
      </c>
      <c r="D2658" s="2" t="str">
        <f t="shared" si="40"/>
        <v>Error?</v>
      </c>
    </row>
    <row r="2659" spans="1:4" x14ac:dyDescent="0.2">
      <c r="A2659" s="5">
        <v>2598</v>
      </c>
      <c r="B2659" s="138">
        <f>'Acct Summary 7-8'!H13</f>
        <v>116564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116564</v>
      </c>
      <c r="C2661" s="2" t="s">
        <v>594</v>
      </c>
      <c r="D2661" s="2" t="str">
        <f t="shared" si="40"/>
        <v>Error?</v>
      </c>
    </row>
    <row r="2662" spans="1:4" x14ac:dyDescent="0.2">
      <c r="A2662" s="5">
        <v>2601</v>
      </c>
      <c r="B2662" s="138">
        <f>'Acct Summary 7-8'!H20</f>
        <v>-11992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57972</v>
      </c>
      <c r="C2789" s="2" t="s">
        <v>594</v>
      </c>
      <c r="D2789" s="2" t="str">
        <f t="shared" si="42"/>
        <v>Error?</v>
      </c>
    </row>
    <row r="2790" spans="1:4" x14ac:dyDescent="0.2">
      <c r="A2790" s="5">
        <v>2729</v>
      </c>
      <c r="B2790" s="138">
        <f>'Expenditures 15-22'!E102</f>
        <v>57972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188527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188527</v>
      </c>
      <c r="D2914" s="2" t="str">
        <f t="shared" si="44"/>
        <v>Error?</v>
      </c>
    </row>
    <row r="2915" spans="1:4" x14ac:dyDescent="0.2">
      <c r="A2915" s="10">
        <v>2854</v>
      </c>
      <c r="D2915" s="2" t="str">
        <f t="shared" si="44"/>
        <v>OK</v>
      </c>
    </row>
    <row r="2916" spans="1:4" x14ac:dyDescent="0.2">
      <c r="A2916" s="5">
        <v>2855</v>
      </c>
      <c r="B2916" s="138">
        <f>'Assets-Liab 5-6'!L34</f>
        <v>188527</v>
      </c>
      <c r="C2916" s="2" t="s">
        <v>594</v>
      </c>
      <c r="D2916" s="2" t="str">
        <f t="shared" si="44"/>
        <v>Error?</v>
      </c>
    </row>
    <row r="2917" spans="1:4" x14ac:dyDescent="0.2">
      <c r="A2917" s="5">
        <v>2856</v>
      </c>
      <c r="B2917" s="138">
        <f>'Assets-Liab 5-6'!L41</f>
        <v>188527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57972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59569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57972</v>
      </c>
      <c r="C2973" s="2" t="s">
        <v>594</v>
      </c>
      <c r="D2973" s="2" t="str">
        <f t="shared" si="45"/>
        <v>Error?</v>
      </c>
    </row>
    <row r="2974" spans="1:4" x14ac:dyDescent="0.2">
      <c r="A2974" s="5">
        <v>2913</v>
      </c>
      <c r="B2974" s="138">
        <f>'Expenditures 15-22'!K79</f>
        <v>59569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417449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-96701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-21119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-21856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-11992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295927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79661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376111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26890</v>
      </c>
      <c r="D3387" s="2" t="str">
        <f t="shared" si="51"/>
        <v>Error?</v>
      </c>
    </row>
    <row r="3388" spans="1:4" x14ac:dyDescent="0.2">
      <c r="A3388" s="5">
        <v>3327</v>
      </c>
      <c r="B3388" s="138">
        <f>'Expenditures 15-22'!D217</f>
        <v>21723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26890</v>
      </c>
      <c r="C3390" s="2" t="s">
        <v>594</v>
      </c>
      <c r="D3390" s="2" t="str">
        <f t="shared" si="51"/>
        <v>Error?</v>
      </c>
    </row>
    <row r="3391" spans="1:4" x14ac:dyDescent="0.2">
      <c r="A3391" s="5">
        <v>3330</v>
      </c>
      <c r="B3391" s="138">
        <f>'Expenditures 15-22'!K217</f>
        <v>21723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334486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77968</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188527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3649</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3649</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102473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1866493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5760602</v>
      </c>
      <c r="C4122" s="2" t="s">
        <v>594</v>
      </c>
      <c r="D4122" s="2" t="str">
        <f t="shared" si="63"/>
        <v>Error?</v>
      </c>
    </row>
    <row r="4123" spans="1:4" x14ac:dyDescent="0.2">
      <c r="A4123" s="5">
        <v>4062</v>
      </c>
      <c r="B4123" s="138">
        <f>'Acct Summary 7-8'!D10</f>
        <v>426805</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59144</v>
      </c>
      <c r="C4125" s="2" t="s">
        <v>594</v>
      </c>
      <c r="D4125" s="2" t="str">
        <f t="shared" si="63"/>
        <v>Error?</v>
      </c>
    </row>
    <row r="4126" spans="1:4" x14ac:dyDescent="0.2">
      <c r="A4126" s="5">
        <v>4065</v>
      </c>
      <c r="B4126" s="138">
        <f>'Acct Summary 7-8'!G10</f>
        <v>89500</v>
      </c>
      <c r="C4126" s="2" t="s">
        <v>594</v>
      </c>
      <c r="D4126" s="2" t="str">
        <f t="shared" si="63"/>
        <v>Error?</v>
      </c>
    </row>
    <row r="4127" spans="1:4" x14ac:dyDescent="0.2">
      <c r="A4127" s="5">
        <v>4066</v>
      </c>
      <c r="B4127" s="138">
        <f>'Acct Summary 7-8'!H10</f>
        <v>104572</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1866493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5343153</v>
      </c>
      <c r="C4136" s="2" t="s">
        <v>594</v>
      </c>
      <c r="D4136" s="2" t="str">
        <f t="shared" si="63"/>
        <v>Error?</v>
      </c>
    </row>
    <row r="4137" spans="1:4" x14ac:dyDescent="0.2">
      <c r="A4137" s="5">
        <v>4076</v>
      </c>
      <c r="B4137" s="138">
        <f>'Acct Summary 7-8'!D19</f>
        <v>523506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80263</v>
      </c>
      <c r="C4139" s="2" t="s">
        <v>594</v>
      </c>
      <c r="D4139" s="2" t="str">
        <f t="shared" si="63"/>
        <v>Error?</v>
      </c>
    </row>
    <row r="4140" spans="1:4" x14ac:dyDescent="0.2">
      <c r="A4140" s="5">
        <v>4079</v>
      </c>
      <c r="B4140" s="138">
        <f>'Acct Summary 7-8'!G19</f>
        <v>111356</v>
      </c>
      <c r="C4140" s="2" t="s">
        <v>594</v>
      </c>
      <c r="D4140" s="2" t="str">
        <f t="shared" si="63"/>
        <v>Error?</v>
      </c>
    </row>
    <row r="4141" spans="1:4" x14ac:dyDescent="0.2">
      <c r="A4141" s="5">
        <v>4080</v>
      </c>
      <c r="B4141" s="138">
        <f>'Acct Summary 7-8'!H19</f>
        <v>116564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6564</v>
      </c>
      <c r="C4202" s="2" t="s">
        <v>594</v>
      </c>
      <c r="D4202" s="2" t="str">
        <f t="shared" si="64"/>
        <v>Error?</v>
      </c>
    </row>
    <row r="4203" spans="1:4" x14ac:dyDescent="0.2">
      <c r="A4203" s="5">
        <v>4142</v>
      </c>
      <c r="B4203" s="138">
        <f>'Expenditures 15-22'!E139</f>
        <v>6564</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421737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75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3380122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750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58000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35320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35320</v>
      </c>
      <c r="C5087" s="2" t="s">
        <v>594</v>
      </c>
      <c r="D5087" s="2" t="str">
        <f t="shared" si="78"/>
        <v>Error?</v>
      </c>
    </row>
    <row r="5088" spans="1:4" x14ac:dyDescent="0.2">
      <c r="A5088" s="5">
        <v>5027</v>
      </c>
      <c r="B5088" s="138">
        <f>'Revenues 9-14'!C65</f>
        <v>1185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530</v>
      </c>
      <c r="D5095" s="2" t="str">
        <f t="shared" si="78"/>
        <v>Error?</v>
      </c>
    </row>
    <row r="5096" spans="1:4" x14ac:dyDescent="0.2">
      <c r="A5096" s="5">
        <v>5035</v>
      </c>
      <c r="B5096" s="138">
        <f>'Revenues 9-14'!C75</f>
        <v>41948</v>
      </c>
      <c r="C5096" s="2" t="s">
        <v>594</v>
      </c>
      <c r="D5096" s="2" t="str">
        <f t="shared" si="78"/>
        <v>Error?</v>
      </c>
    </row>
    <row r="5097" spans="1:4" x14ac:dyDescent="0.2">
      <c r="A5097" s="5">
        <v>5036</v>
      </c>
      <c r="B5097" s="138">
        <f>'Revenues 9-14'!C77</f>
        <v>28201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46192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10910</v>
      </c>
      <c r="D5101" s="2" t="str">
        <f t="shared" si="78"/>
        <v>Error?</v>
      </c>
    </row>
    <row r="5102" spans="1:4" x14ac:dyDescent="0.2">
      <c r="A5102" s="5">
        <v>5041</v>
      </c>
      <c r="B5102" s="138">
        <f>'Revenues 9-14'!C82</f>
        <v>85303</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31676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18689</v>
      </c>
      <c r="D5119" s="2" t="str">
        <f t="shared" ref="D5119:D5182" si="79">IF(ISBLANK(B5119),"OK",IF(A5119-B5119=0,"OK","Error?"))</f>
        <v>Error?</v>
      </c>
    </row>
    <row r="5120" spans="1:4" x14ac:dyDescent="0.2">
      <c r="A5120" s="5">
        <v>5059</v>
      </c>
      <c r="B5120" s="138">
        <f>'Revenues 9-14'!C108</f>
        <v>3432687</v>
      </c>
      <c r="C5120" s="2" t="s">
        <v>594</v>
      </c>
      <c r="D5120" s="2" t="str">
        <f t="shared" si="79"/>
        <v>Error?</v>
      </c>
    </row>
    <row r="5121" spans="1:4" x14ac:dyDescent="0.2">
      <c r="A5121" s="5">
        <v>5060</v>
      </c>
      <c r="B5121" s="138">
        <f>'Revenues 9-14'!C109</f>
        <v>3596443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76500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77250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38250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38250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96313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96313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1192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135755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213005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73335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11251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84586</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84661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84661</v>
      </c>
      <c r="C5326" s="2" t="s">
        <v>594</v>
      </c>
      <c r="D5326" s="2" t="str">
        <f t="shared" si="82"/>
        <v>Error?</v>
      </c>
    </row>
    <row r="5327" spans="1:4" x14ac:dyDescent="0.2">
      <c r="A5327" s="5">
        <v>5266</v>
      </c>
      <c r="B5327" s="138">
        <f>'Revenues 9-14'!C275</f>
        <v>3894109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390000</v>
      </c>
      <c r="D5353" s="2" t="str">
        <f t="shared" si="82"/>
        <v>Error?</v>
      </c>
    </row>
    <row r="5354" spans="1:4" x14ac:dyDescent="0.2">
      <c r="A5354" s="5">
        <v>5293</v>
      </c>
      <c r="B5354" s="138">
        <f>'Revenues 9-14'!D107</f>
        <v>36805</v>
      </c>
      <c r="D5354" s="2" t="str">
        <f t="shared" si="82"/>
        <v>Error?</v>
      </c>
    </row>
    <row r="5355" spans="1:4" x14ac:dyDescent="0.2">
      <c r="A5355" s="5">
        <v>5294</v>
      </c>
      <c r="B5355" s="138">
        <f>'Revenues 9-14'!D108</f>
        <v>426805</v>
      </c>
      <c r="C5355" s="2" t="s">
        <v>594</v>
      </c>
      <c r="D5355" s="2" t="str">
        <f t="shared" si="82"/>
        <v>Error?</v>
      </c>
    </row>
    <row r="5356" spans="1:4" x14ac:dyDescent="0.2">
      <c r="A5356" s="5">
        <v>5295</v>
      </c>
      <c r="B5356" s="138">
        <f>'Revenues 9-14'!D109</f>
        <v>426805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426805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1144</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59144</v>
      </c>
      <c r="C5587" s="2" t="s">
        <v>594</v>
      </c>
      <c r="D5587" s="2" t="str">
        <f t="shared" si="86"/>
        <v>Error?</v>
      </c>
    </row>
    <row r="5588" spans="1:4" x14ac:dyDescent="0.2">
      <c r="A5588" s="5">
        <v>5527</v>
      </c>
      <c r="B5588" s="138">
        <f>'Revenues 9-14'!F109</f>
        <v>59144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59144</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89500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89500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100025</v>
      </c>
      <c r="D5882" s="2" t="str">
        <f t="shared" si="90"/>
        <v>Error?</v>
      </c>
    </row>
    <row r="5883" spans="1:4" x14ac:dyDescent="0.2">
      <c r="A5883" s="5">
        <v>5822</v>
      </c>
      <c r="B5883" s="138">
        <f>'Revenues 9-14'!H99</f>
        <v>4547</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104572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104572</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89500</v>
      </c>
      <c r="C6024" s="2" t="s">
        <v>594</v>
      </c>
      <c r="D6024" s="2" t="str">
        <f t="shared" si="93"/>
        <v>Error?</v>
      </c>
    </row>
    <row r="6025" spans="1:5" x14ac:dyDescent="0.2">
      <c r="A6025" s="5">
        <v>5964</v>
      </c>
      <c r="B6025" s="138">
        <f>'Revenues 9-14'!H109</f>
        <v>104572</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41418</v>
      </c>
      <c r="D6031" s="2" t="str">
        <f t="shared" si="93"/>
        <v>Error?</v>
      </c>
    </row>
    <row r="6032" spans="1:5" x14ac:dyDescent="0.2">
      <c r="A6032" s="5">
        <v>5971</v>
      </c>
      <c r="B6032" s="138">
        <f>'Acct Summary 7-8'!G15</f>
        <v>3649</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5914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304141</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34204</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210419</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40675</v>
      </c>
      <c r="D6128" s="2" t="str">
        <f t="shared" si="94"/>
        <v>Error?</v>
      </c>
      <c r="E6128" s="2" t="s">
        <v>199</v>
      </c>
    </row>
    <row r="6129" spans="1:5" x14ac:dyDescent="0.2">
      <c r="A6129">
        <v>6068</v>
      </c>
      <c r="B6129" s="138">
        <f>'Assets-Liab 5-6'!G25</f>
        <v>46643</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6403</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6403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-6403</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98255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98255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98255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104658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104658</v>
      </c>
      <c r="D6229" s="2" t="str">
        <f t="shared" si="96"/>
        <v>Error?</v>
      </c>
      <c r="E6229" s="2" t="s">
        <v>199</v>
      </c>
    </row>
    <row r="6230" spans="1:5" x14ac:dyDescent="0.2">
      <c r="A6230">
        <v>6169</v>
      </c>
      <c r="B6230" s="138">
        <f>'Acct Summary 7-8'!J20</f>
        <v>-6403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-6403</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-6403</v>
      </c>
      <c r="D6266" s="2" t="str">
        <f t="shared" si="96"/>
        <v>Error?</v>
      </c>
      <c r="E6266" s="2" t="s">
        <v>199</v>
      </c>
    </row>
    <row r="6267" spans="1:5" x14ac:dyDescent="0.2">
      <c r="A6267">
        <v>6206</v>
      </c>
      <c r="B6267" s="138">
        <f>'Acct Summary 7-8'!C82</f>
        <v>417449</v>
      </c>
      <c r="D6267" s="2" t="str">
        <f t="shared" si="96"/>
        <v>Error?</v>
      </c>
      <c r="E6267" s="2" t="s">
        <v>199</v>
      </c>
    </row>
    <row r="6268" spans="1:5" x14ac:dyDescent="0.2">
      <c r="A6268">
        <v>6207</v>
      </c>
      <c r="B6268" s="138">
        <f>'Acct Summary 7-8'!D82</f>
        <v>-96701</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-21119</v>
      </c>
      <c r="D6270" s="2" t="str">
        <f t="shared" si="96"/>
        <v>Error?</v>
      </c>
      <c r="E6270" s="2" t="s">
        <v>199</v>
      </c>
    </row>
    <row r="6271" spans="1:5" x14ac:dyDescent="0.2">
      <c r="A6271">
        <v>6210</v>
      </c>
      <c r="B6271" s="138">
        <f>'Acct Summary 7-8'!G82</f>
        <v>-21856</v>
      </c>
      <c r="D6271" s="2" t="str">
        <f t="shared" ref="D6271:D6334" si="97">IF(ISBLANK(B6271),"OK",IF(A6271-B6271=0,"OK","Error?"))</f>
        <v>Error?</v>
      </c>
      <c r="E6271" s="2" t="s">
        <v>199</v>
      </c>
    </row>
    <row r="6272" spans="1:5" x14ac:dyDescent="0.2">
      <c r="A6272">
        <v>6211</v>
      </c>
      <c r="B6272" s="138">
        <f>'Acct Summary 7-8'!H82</f>
        <v>-11992</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-6403</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0.62043663267596172</v>
      </c>
      <c r="D6276" s="2" t="str">
        <f t="shared" si="97"/>
        <v>Error?</v>
      </c>
      <c r="E6276" s="2" t="s">
        <v>199</v>
      </c>
    </row>
    <row r="6277" spans="1:5" x14ac:dyDescent="0.2">
      <c r="A6277">
        <v>6216</v>
      </c>
      <c r="B6277" s="138">
        <f>'Acct Summary 7-8'!D83</f>
        <v>0.45956401275550213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0.51921327596803935</v>
      </c>
      <c r="D6279" s="2" t="str">
        <f t="shared" si="97"/>
        <v>Error?</v>
      </c>
      <c r="E6279" s="2" t="s">
        <v>199</v>
      </c>
    </row>
    <row r="6280" spans="1:5" x14ac:dyDescent="0.2">
      <c r="A6280">
        <v>6219</v>
      </c>
      <c r="B6280" s="138">
        <f>'Acct Summary 7-8'!G83</f>
        <v>0.46858049439358535</v>
      </c>
      <c r="D6280" s="2" t="str">
        <f t="shared" si="97"/>
        <v>Error?</v>
      </c>
      <c r="E6280" s="2" t="s">
        <v>199</v>
      </c>
    </row>
    <row r="6281" spans="1:5" x14ac:dyDescent="0.2">
      <c r="A6281">
        <v>6220</v>
      </c>
      <c r="B6281" s="138">
        <f>'Acct Summary 7-8'!H83</f>
        <v>-0.15380668992407143</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89500</v>
      </c>
      <c r="D6349" s="2" t="str">
        <f t="shared" si="98"/>
        <v>Error?</v>
      </c>
      <c r="E6349" s="2" t="s">
        <v>199</v>
      </c>
    </row>
    <row r="6350" spans="1:5" x14ac:dyDescent="0.2">
      <c r="A6350">
        <v>6289</v>
      </c>
      <c r="B6350" s="138">
        <f>'Revenues 9-14'!J107</f>
        <v>98255</v>
      </c>
      <c r="D6350" s="2" t="str">
        <f t="shared" si="98"/>
        <v>Error?</v>
      </c>
      <c r="E6350" s="2" t="s">
        <v>199</v>
      </c>
    </row>
    <row r="6351" spans="1:5" x14ac:dyDescent="0.2">
      <c r="A6351">
        <v>6290</v>
      </c>
      <c r="B6351" s="138">
        <f>'Revenues 9-14'!J108</f>
        <v>98255</v>
      </c>
      <c r="D6351" s="2" t="str">
        <f t="shared" si="98"/>
        <v>Error?</v>
      </c>
      <c r="E6351" s="2" t="s">
        <v>199</v>
      </c>
    </row>
    <row r="6352" spans="1:5" x14ac:dyDescent="0.2">
      <c r="A6352">
        <v>6291</v>
      </c>
      <c r="B6352" s="138">
        <f>'Revenues 9-14'!J109</f>
        <v>98255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104658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98255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455</v>
      </c>
      <c r="D7093" s="2" t="str">
        <f t="shared" si="109"/>
        <v>Error?</v>
      </c>
    </row>
    <row r="7094" spans="1:4" x14ac:dyDescent="0.2">
      <c r="A7094">
        <v>7033</v>
      </c>
      <c r="B7094" s="138">
        <f>'Expenditures 15-22'!K254</f>
        <v>455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14068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14068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56069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56069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31391</v>
      </c>
      <c r="D7172" s="2" t="str">
        <f t="shared" si="111"/>
        <v>Error?</v>
      </c>
    </row>
    <row r="7173" spans="1:4" x14ac:dyDescent="0.2">
      <c r="A7173">
        <v>7112</v>
      </c>
      <c r="B7173" s="138">
        <f>'Expenditures 15-22'!D325</f>
        <v>3130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34521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31391</v>
      </c>
      <c r="D7199" s="2" t="str">
        <f t="shared" si="111"/>
        <v>Error?</v>
      </c>
    </row>
    <row r="7200" spans="1:4" x14ac:dyDescent="0.2">
      <c r="A7200">
        <v>7139</v>
      </c>
      <c r="B7200" s="138">
        <f>'Expenditures 15-22'!D330</f>
        <v>3130</v>
      </c>
      <c r="D7200" s="2" t="str">
        <f t="shared" si="111"/>
        <v>Error?</v>
      </c>
    </row>
    <row r="7201" spans="1:4" x14ac:dyDescent="0.2">
      <c r="A7201">
        <v>7140</v>
      </c>
      <c r="B7201" s="138">
        <f>'Expenditures 15-22'!E330</f>
        <v>70137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104658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31391</v>
      </c>
      <c r="D7216" s="2" t="str">
        <f t="shared" si="111"/>
        <v>Error?</v>
      </c>
    </row>
    <row r="7217" spans="1:4" x14ac:dyDescent="0.2">
      <c r="A7217">
        <v>7156</v>
      </c>
      <c r="B7217" s="138">
        <f>'Expenditures 15-22'!D342</f>
        <v>3130</v>
      </c>
      <c r="D7217" s="2" t="str">
        <f t="shared" si="111"/>
        <v>Error?</v>
      </c>
    </row>
    <row r="7218" spans="1:4" x14ac:dyDescent="0.2">
      <c r="A7218">
        <v>7157</v>
      </c>
      <c r="B7218" s="138">
        <f>'Expenditures 15-22'!E342</f>
        <v>70137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104658</v>
      </c>
      <c r="D7224" s="2" t="str">
        <f t="shared" si="111"/>
        <v>Error?</v>
      </c>
    </row>
    <row r="7225" spans="1:4" x14ac:dyDescent="0.2">
      <c r="A7225">
        <v>7164</v>
      </c>
      <c r="B7225" s="138">
        <f>'Expenditures 15-22'!K343</f>
        <v>-6403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735894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6564</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6564</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3649</v>
      </c>
      <c r="D7783" s="2" t="str">
        <f t="shared" si="127"/>
        <v>Error?</v>
      </c>
      <c r="E7783" s="4" t="s">
        <v>1967</v>
      </c>
    </row>
    <row r="7784" spans="1:5" x14ac:dyDescent="0.2">
      <c r="A7784">
        <v>7723</v>
      </c>
      <c r="B7784" s="138">
        <f>'Expenditures 15-22'!K282</f>
        <v>3649</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65438</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40438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I21" sqref="I2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Paris Coop HS</v>
      </c>
      <c r="B7" s="2404"/>
      <c r="C7" s="2404"/>
      <c r="D7" s="2441"/>
      <c r="E7" s="2442">
        <f>COVER!A13</f>
        <v>11023800080</v>
      </c>
      <c r="F7" s="2443"/>
      <c r="G7" s="2410" t="str">
        <f>COVER!T23</f>
        <v>066-003072</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Larsson, Woodyard &amp; Henson, LLP</v>
      </c>
      <c r="H9" s="2417"/>
      <c r="I9" s="2417"/>
      <c r="J9" s="2417"/>
      <c r="K9" s="2417"/>
      <c r="L9" s="2418"/>
    </row>
    <row r="10" spans="1:29" ht="13.5" customHeight="1" x14ac:dyDescent="0.2">
      <c r="A10" s="2400" t="str">
        <f>COVER!A38</f>
        <v>Lorraine Bailey</v>
      </c>
      <c r="B10" s="2401"/>
      <c r="C10" s="2401"/>
      <c r="D10" s="2401"/>
      <c r="E10" s="2401"/>
      <c r="F10" s="2402"/>
      <c r="G10" s="2416" t="str">
        <f>COVER!T17</f>
        <v>P.O. Box 407</v>
      </c>
      <c r="H10" s="2429"/>
      <c r="I10" s="2429"/>
      <c r="J10" s="2429"/>
      <c r="K10" s="2429"/>
      <c r="L10" s="2430"/>
    </row>
    <row r="11" spans="1:29" ht="13.5" customHeight="1" x14ac:dyDescent="0.2">
      <c r="A11" s="1185" t="s">
        <v>1599</v>
      </c>
      <c r="B11" s="1186"/>
      <c r="C11" s="1187"/>
      <c r="D11" s="1192"/>
      <c r="E11" s="1187"/>
      <c r="F11" s="1191"/>
      <c r="G11" s="2416" t="str">
        <f>COVER!T19</f>
        <v>Tuscola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croot@lwhcpa.com</v>
      </c>
      <c r="J13" s="2438"/>
      <c r="K13" s="2438"/>
      <c r="L13" s="2439"/>
    </row>
    <row r="14" spans="1:29" ht="13.5" customHeight="1" x14ac:dyDescent="0.2">
      <c r="A14" s="2416" t="str">
        <f>COVER!A19</f>
        <v>14040 E. 1200th Rd.</v>
      </c>
      <c r="B14" s="2429"/>
      <c r="C14" s="2429"/>
      <c r="D14" s="2429"/>
      <c r="E14" s="2429"/>
      <c r="F14" s="2430"/>
      <c r="G14" s="1196" t="s">
        <v>1247</v>
      </c>
      <c r="H14" s="1194"/>
      <c r="I14" s="1194"/>
      <c r="J14" s="1194"/>
      <c r="K14" s="1194"/>
      <c r="L14" s="1195"/>
    </row>
    <row r="15" spans="1:29" ht="13.5" customHeight="1" x14ac:dyDescent="0.2">
      <c r="A15" s="2416" t="str">
        <f>COVER!A21</f>
        <v>Paris</v>
      </c>
      <c r="B15" s="2429"/>
      <c r="C15" s="2429"/>
      <c r="D15" s="2429"/>
      <c r="E15" s="2429"/>
      <c r="F15" s="2430"/>
      <c r="G15" s="2426" t="str">
        <f>COVER!T15</f>
        <v>Curtis. O. Root</v>
      </c>
      <c r="H15" s="2427"/>
      <c r="I15" s="2427"/>
      <c r="J15" s="2427"/>
      <c r="K15" s="2427"/>
      <c r="L15" s="2428"/>
    </row>
    <row r="16" spans="1:29" ht="12.2" customHeight="1" x14ac:dyDescent="0.2">
      <c r="A16" s="2406">
        <f>COVER!A25</f>
        <v>61944</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217-253-5146</v>
      </c>
      <c r="H18" s="2404"/>
      <c r="I18" s="2404"/>
      <c r="J18" s="2404"/>
      <c r="K18" s="2403" t="str">
        <f>COVER!X21</f>
        <v>217-253-5245</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Paris Coop HS</v>
      </c>
      <c r="B1" s="2440"/>
      <c r="C1" s="2440"/>
      <c r="D1" s="2440"/>
    </row>
    <row r="2" spans="1:11" s="1215" customFormat="1" ht="12.75" x14ac:dyDescent="0.2">
      <c r="A2" s="2445">
        <f>'Single Audit Cover'!E7</f>
        <v>11023800080</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Paris Coop HS</v>
      </c>
      <c r="B1" s="2448"/>
      <c r="C1" s="2448"/>
      <c r="D1" s="2448"/>
      <c r="E1" s="2448"/>
    </row>
    <row r="2" spans="1:5" x14ac:dyDescent="0.2">
      <c r="A2" s="2449">
        <f>'Single Audit Cover'!E7</f>
        <v>11023800080</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84661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5914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90575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90575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90575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Paris Coop HS</v>
      </c>
      <c r="B1" s="2453"/>
      <c r="C1" s="2453"/>
      <c r="D1" s="2453"/>
      <c r="E1" s="2453"/>
      <c r="F1" s="2453"/>
    </row>
    <row r="2" spans="1:7" ht="13.5" customHeight="1" x14ac:dyDescent="0.2">
      <c r="A2" s="2454">
        <f>'Single Audit Cover'!E7</f>
        <v>11023800080</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Paris Coop HS</v>
      </c>
      <c r="C1" s="2465"/>
      <c r="D1" s="2465"/>
      <c r="E1" s="2465"/>
      <c r="F1" s="2465"/>
      <c r="G1" s="2465"/>
      <c r="H1" s="2465"/>
      <c r="I1" s="2465"/>
      <c r="J1" s="2465"/>
      <c r="K1" s="2465"/>
      <c r="L1" s="2465"/>
      <c r="M1" s="2465"/>
    </row>
    <row r="2" spans="2:14" ht="15" x14ac:dyDescent="0.2">
      <c r="B2" s="2454">
        <f>'Single Audit Cover'!E7</f>
        <v>11023800080</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t="s">
        <v>2077</v>
      </c>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2083</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2142</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Paris Coop HS</v>
      </c>
      <c r="C1" s="2473"/>
      <c r="D1" s="2473"/>
      <c r="E1" s="2473"/>
      <c r="F1" s="2473"/>
      <c r="G1" s="2473"/>
      <c r="H1" s="2473"/>
      <c r="I1" s="2473"/>
      <c r="J1" s="1422"/>
    </row>
    <row r="2" spans="2:10" s="317" customFormat="1" ht="12.75" customHeight="1" x14ac:dyDescent="0.2">
      <c r="B2" s="2474">
        <f>'Single Audit Cover'!E7</f>
        <v>11023800080</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9" zoomScale="110" zoomScaleNormal="110" workbookViewId="0">
      <selection activeCell="R29" sqref="R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Paris Coop HS</v>
      </c>
      <c r="C1" s="2472"/>
      <c r="D1" s="2472"/>
      <c r="E1" s="2472"/>
      <c r="F1" s="2472"/>
      <c r="G1" s="2472"/>
      <c r="H1" s="2472"/>
      <c r="I1" s="2472"/>
      <c r="J1" s="2472"/>
      <c r="K1" s="2472"/>
      <c r="L1" s="1374"/>
      <c r="M1" s="1374"/>
    </row>
    <row r="2" spans="1:13" ht="12" customHeight="1" x14ac:dyDescent="0.2">
      <c r="B2" s="2474">
        <f>'Single Audit Cover'!E7</f>
        <v>11023800080</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2122</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2094</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2123</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2124</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2120</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2125</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2121</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Paris Coop HS</v>
      </c>
      <c r="C1" s="2472"/>
      <c r="D1" s="2472"/>
      <c r="E1" s="2472"/>
      <c r="F1" s="2472"/>
      <c r="G1" s="2472"/>
      <c r="H1" s="2472"/>
      <c r="I1" s="2472"/>
      <c r="J1" s="2472"/>
      <c r="K1" s="2472"/>
      <c r="L1" s="1374"/>
      <c r="M1" s="1374"/>
    </row>
    <row r="2" spans="1:13" ht="12" customHeight="1" x14ac:dyDescent="0.2">
      <c r="B2" s="2474">
        <f>'Single Audit Cover'!E7</f>
        <v>11023800080</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2114</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2096</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2117</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2115</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2118</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2119</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2116</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Paris Coop HS</v>
      </c>
      <c r="C1" s="2472"/>
      <c r="D1" s="2472"/>
      <c r="E1" s="2472"/>
      <c r="F1" s="2472"/>
      <c r="G1" s="2472"/>
      <c r="H1" s="2472"/>
      <c r="I1" s="2472"/>
      <c r="J1" s="2472"/>
      <c r="K1" s="2472"/>
      <c r="L1" s="1374"/>
      <c r="M1" s="1374"/>
    </row>
    <row r="2" spans="1:13" ht="12" customHeight="1" x14ac:dyDescent="0.2">
      <c r="B2" s="2474">
        <f>'Single Audit Cover'!E7</f>
        <v>11023800080</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2105</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2100</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2106</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2107</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2110</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2108</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2109</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Paris Coop HS</v>
      </c>
      <c r="C1" s="2472"/>
      <c r="D1" s="2472"/>
      <c r="E1" s="2472"/>
      <c r="F1" s="2472"/>
      <c r="G1" s="2472"/>
      <c r="H1" s="2472"/>
      <c r="I1" s="2472"/>
      <c r="J1" s="2472"/>
      <c r="K1" s="2472"/>
      <c r="L1" s="1374"/>
      <c r="M1" s="1374"/>
    </row>
    <row r="2" spans="1:13" ht="12" customHeight="1" x14ac:dyDescent="0.2">
      <c r="B2" s="2474">
        <f>'Single Audit Cover'!E7</f>
        <v>11023800080</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4</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2111</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2101</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2112</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2113</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2102</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2103</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2104</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Paris Coop HS</v>
      </c>
      <c r="C1" s="2499"/>
      <c r="D1" s="2499"/>
      <c r="E1" s="2499"/>
      <c r="F1" s="2499"/>
      <c r="G1" s="2499"/>
      <c r="H1" s="2499"/>
      <c r="I1" s="2499"/>
      <c r="J1" s="2499"/>
      <c r="K1" s="2499"/>
      <c r="L1" s="1465"/>
    </row>
    <row r="2" spans="1:12" ht="12.75" customHeight="1" x14ac:dyDescent="0.2">
      <c r="B2" s="2500">
        <f>'Single Audit Cover'!E7</f>
        <v>11023800080</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4"/>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14.7109375" style="317" customWidth="1"/>
    <col min="3" max="3" width="55.85546875" style="317" customWidth="1"/>
    <col min="4" max="4" width="28.425781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Paris Coop HS</v>
      </c>
      <c r="C1" s="2472"/>
      <c r="D1" s="2472"/>
      <c r="E1" s="1491"/>
    </row>
    <row r="2" spans="2:5" s="1282" customFormat="1" ht="12.75" customHeight="1" x14ac:dyDescent="0.2">
      <c r="B2" s="2474">
        <f>'Single Audit Cover'!E7</f>
        <v>11023800080</v>
      </c>
      <c r="C2" s="2474"/>
      <c r="D2" s="2474"/>
      <c r="E2" s="1492"/>
    </row>
    <row r="3" spans="2:5" ht="12.75" customHeight="1" x14ac:dyDescent="0.2">
      <c r="B3" s="2495" t="s">
        <v>1869</v>
      </c>
      <c r="C3" s="2495"/>
      <c r="D3" s="2495"/>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2092</v>
      </c>
      <c r="C7" s="2493" t="s">
        <v>2094</v>
      </c>
      <c r="D7" s="324" t="s">
        <v>2095</v>
      </c>
      <c r="E7" s="324"/>
    </row>
    <row r="8" spans="2:5" ht="13.5" customHeight="1" x14ac:dyDescent="0.2">
      <c r="B8" s="1496"/>
      <c r="C8" s="2493"/>
      <c r="D8" s="324"/>
      <c r="E8" s="324"/>
    </row>
    <row r="9" spans="2:5" ht="13.5" customHeight="1" x14ac:dyDescent="0.2">
      <c r="B9" s="1496"/>
      <c r="C9" s="2493"/>
      <c r="D9" s="324"/>
      <c r="E9" s="324"/>
    </row>
    <row r="10" spans="2:5" ht="13.5" customHeight="1" x14ac:dyDescent="0.2">
      <c r="B10" s="1497"/>
      <c r="C10" s="323"/>
      <c r="D10" s="323"/>
      <c r="E10" s="323"/>
    </row>
    <row r="11" spans="2:5" ht="13.5" customHeight="1" x14ac:dyDescent="0.2">
      <c r="B11" s="1496" t="s">
        <v>2093</v>
      </c>
      <c r="C11" s="2505" t="s">
        <v>2096</v>
      </c>
      <c r="D11" s="323" t="s">
        <v>2097</v>
      </c>
      <c r="E11" s="323"/>
    </row>
    <row r="12" spans="2:5" ht="13.5" customHeight="1" x14ac:dyDescent="0.2">
      <c r="B12" s="1496"/>
      <c r="C12" s="2505"/>
      <c r="D12" s="323"/>
      <c r="E12" s="323"/>
    </row>
    <row r="13" spans="2:5" ht="13.5" customHeight="1" x14ac:dyDescent="0.2">
      <c r="B13" s="1496"/>
      <c r="C13" s="2505"/>
      <c r="D13" s="323"/>
      <c r="E13" s="323"/>
    </row>
    <row r="14" spans="2:5" ht="13.5" customHeight="1" x14ac:dyDescent="0.2">
      <c r="B14" s="1496"/>
      <c r="C14" s="323"/>
      <c r="D14" s="323"/>
      <c r="E14" s="323"/>
    </row>
    <row r="15" spans="2:5" ht="13.5" customHeight="1" x14ac:dyDescent="0.2">
      <c r="B15" s="1496" t="s">
        <v>2098</v>
      </c>
      <c r="C15" s="2494" t="s">
        <v>2100</v>
      </c>
      <c r="D15" s="323" t="s">
        <v>2099</v>
      </c>
      <c r="E15" s="323"/>
    </row>
    <row r="16" spans="2:5" ht="13.5" customHeight="1" x14ac:dyDescent="0.2">
      <c r="B16" s="1496"/>
      <c r="C16" s="2494"/>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6"/>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500"/>
      <c r="C35" s="323"/>
      <c r="D35" s="323"/>
      <c r="E35" s="323"/>
    </row>
    <row r="36" spans="2:5" ht="13.5" customHeight="1" x14ac:dyDescent="0.2">
      <c r="B36" s="1499"/>
      <c r="C36" s="323"/>
      <c r="D36" s="323"/>
      <c r="E36" s="323"/>
    </row>
    <row r="37" spans="2:5" ht="13.5" customHeight="1" x14ac:dyDescent="0.2">
      <c r="B37" s="1500"/>
      <c r="C37" s="323"/>
      <c r="D37" s="323"/>
      <c r="E37" s="323"/>
    </row>
    <row r="38" spans="2:5" ht="13.5" customHeight="1" x14ac:dyDescent="0.2">
      <c r="B38" s="1500"/>
      <c r="C38" s="323"/>
      <c r="D38" s="323"/>
      <c r="E38" s="323"/>
    </row>
    <row r="39" spans="2:5" ht="13.5" customHeight="1" x14ac:dyDescent="0.2">
      <c r="B39" s="1499"/>
      <c r="C39" s="323"/>
      <c r="D39" s="323"/>
      <c r="E39" s="323"/>
    </row>
    <row r="40" spans="2:5" ht="13.5" customHeight="1" x14ac:dyDescent="0.2">
      <c r="B40" s="1500"/>
      <c r="C40" s="323"/>
      <c r="D40" s="323"/>
      <c r="E40" s="323"/>
    </row>
    <row r="41" spans="2:5" ht="13.5" customHeight="1" x14ac:dyDescent="0.2">
      <c r="B41" s="1499"/>
      <c r="C41" s="323"/>
      <c r="D41" s="323"/>
      <c r="E41" s="323"/>
    </row>
    <row r="42" spans="2:5" ht="13.5" customHeight="1" x14ac:dyDescent="0.2">
      <c r="B42" s="1501"/>
      <c r="C42" s="323"/>
      <c r="D42" s="323"/>
      <c r="E42" s="323"/>
    </row>
    <row r="43" spans="2:5" ht="13.5" customHeight="1" x14ac:dyDescent="0.2">
      <c r="B43" s="1502"/>
      <c r="C43" s="323"/>
      <c r="D43" s="323"/>
      <c r="E43" s="323"/>
    </row>
    <row r="44" spans="2:5" ht="12.75" customHeight="1" x14ac:dyDescent="0.2">
      <c r="B44" s="1503"/>
      <c r="C44" s="1504"/>
      <c r="D44" s="1504"/>
      <c r="E44" s="323"/>
    </row>
    <row r="45" spans="2:5" ht="12.2" customHeight="1" x14ac:dyDescent="0.2">
      <c r="B45" s="1257" t="s">
        <v>1380</v>
      </c>
      <c r="C45" s="322"/>
    </row>
    <row r="46" spans="2:5" ht="12.2" customHeight="1" x14ac:dyDescent="0.2">
      <c r="B46" s="1505" t="s">
        <v>1872</v>
      </c>
    </row>
    <row r="47" spans="2:5" ht="12.2" customHeight="1" x14ac:dyDescent="0.2">
      <c r="B47" s="1505" t="s">
        <v>1873</v>
      </c>
    </row>
    <row r="48" spans="2:5" ht="12.2" customHeight="1" x14ac:dyDescent="0.2">
      <c r="B48" s="1506" t="s">
        <v>1379</v>
      </c>
    </row>
    <row r="49" spans="2:5" ht="12.2" customHeight="1" x14ac:dyDescent="0.2">
      <c r="B49" s="1506" t="s">
        <v>1378</v>
      </c>
    </row>
    <row r="50" spans="2:5" ht="12.2" customHeight="1" x14ac:dyDescent="0.2">
      <c r="B50" s="1506" t="s">
        <v>1377</v>
      </c>
    </row>
    <row r="51" spans="2:5" ht="12.2" customHeight="1" x14ac:dyDescent="0.2">
      <c r="B51" s="1506" t="s">
        <v>1376</v>
      </c>
    </row>
    <row r="54" spans="2:5" ht="12.75" customHeight="1" x14ac:dyDescent="0.2"/>
    <row r="55" spans="2:5" ht="12.75" customHeight="1" x14ac:dyDescent="0.2">
      <c r="B55" s="1267"/>
    </row>
    <row r="56" spans="2:5" ht="12.75" customHeight="1" x14ac:dyDescent="0.2"/>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8" spans="2:2" x14ac:dyDescent="0.2">
      <c r="B68" s="1419"/>
    </row>
    <row r="69" spans="2:2" x14ac:dyDescent="0.2">
      <c r="B69" s="1300"/>
    </row>
    <row r="70" spans="2:2" x14ac:dyDescent="0.2">
      <c r="B70" s="1300"/>
    </row>
    <row r="71" spans="2:2" x14ac:dyDescent="0.2">
      <c r="B71" s="1420"/>
    </row>
    <row r="72" spans="2:2" x14ac:dyDescent="0.2">
      <c r="B72" s="1420"/>
    </row>
    <row r="73" spans="2:2" x14ac:dyDescent="0.2">
      <c r="B73" s="1420"/>
    </row>
    <row r="74" spans="2:2" x14ac:dyDescent="0.2">
      <c r="B74" s="1300"/>
    </row>
  </sheetData>
  <mergeCells count="7">
    <mergeCell ref="C11:C13"/>
    <mergeCell ref="C15:C16"/>
    <mergeCell ref="B1:D1"/>
    <mergeCell ref="B2:D2"/>
    <mergeCell ref="B3:D3"/>
    <mergeCell ref="B4:D4"/>
    <mergeCell ref="C7: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4380058</v>
      </c>
      <c r="E16" s="356"/>
      <c r="F16" s="1755">
        <f>SUM('Acct Summary 7-8'!C17,'Acct Summary 7-8'!D17,'Acct Summary 7-8'!F17)</f>
        <v>4080429</v>
      </c>
      <c r="G16" s="356"/>
      <c r="H16" s="1755">
        <f>SUM(D16-F16)</f>
        <v>299629</v>
      </c>
      <c r="I16" s="222"/>
      <c r="J16" s="1755">
        <f>SUM('Acct Summary 7-8'!C81,'Acct Summary 7-8'!D81,'Acct Summary 7-8'!F81,'Acct Summary 7-8'!I81)</f>
        <v>421737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2136</v>
      </c>
      <c r="C31" s="367" t="s">
        <v>607</v>
      </c>
      <c r="D31" s="237" t="s">
        <v>1132</v>
      </c>
      <c r="E31" s="222"/>
      <c r="F31" s="222"/>
      <c r="G31" s="363"/>
      <c r="H31" s="1757">
        <f>IF(B31="X",(J7*0.069),IF(B32="X",(J7*0.138),"Enter x in a.or b."))</f>
        <v>0</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Paris Coop HS</v>
      </c>
      <c r="E7" s="391"/>
      <c r="G7" s="252"/>
      <c r="H7" s="387"/>
      <c r="I7" s="387"/>
      <c r="J7" s="387"/>
      <c r="K7" s="387"/>
      <c r="L7" s="329"/>
      <c r="M7" s="329"/>
      <c r="N7" s="329"/>
      <c r="O7" s="329"/>
      <c r="P7" s="329"/>
    </row>
    <row r="8" spans="1:18" ht="12.75" x14ac:dyDescent="0.2">
      <c r="A8" s="329"/>
      <c r="B8" s="329"/>
      <c r="C8" s="389" t="s">
        <v>1187</v>
      </c>
      <c r="D8" s="392">
        <f>COVER!A13</f>
        <v>11023800080</v>
      </c>
      <c r="E8" s="393"/>
      <c r="G8" s="329"/>
      <c r="H8" s="329"/>
      <c r="I8" s="329"/>
      <c r="J8" s="329"/>
      <c r="K8" s="329"/>
      <c r="L8" s="329"/>
      <c r="M8" s="329"/>
      <c r="N8" s="329"/>
      <c r="O8" s="329"/>
      <c r="P8" s="329"/>
    </row>
    <row r="9" spans="1:18" ht="12.75" x14ac:dyDescent="0.2">
      <c r="A9" s="329"/>
      <c r="B9" s="329"/>
      <c r="C9" s="389" t="s">
        <v>737</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368691</v>
      </c>
      <c r="I12" s="404"/>
      <c r="J12" s="404"/>
      <c r="K12" s="405">
        <f>TRUNC((H12/H13*100000),5)/100000</f>
        <v>8.4174912700000007E-2</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4380058</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4080429</v>
      </c>
      <c r="I17" s="404"/>
      <c r="J17" s="416"/>
      <c r="K17" s="405">
        <f>TRUNC((H17/H18*100000),5)/100000</f>
        <v>0.93159245830000004</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4380058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334486</v>
      </c>
      <c r="I24" s="422"/>
      <c r="J24" s="422"/>
      <c r="K24" s="423">
        <f>TRUNC(((H24/H25*100000)/100000),2)</f>
        <v>29.51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11334.525</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#DIV/0!</v>
      </c>
      <c r="P31" s="216"/>
    </row>
    <row r="32" spans="1:18" s="408" customFormat="1" ht="11.25" x14ac:dyDescent="0.2">
      <c r="A32" s="218"/>
      <c r="B32" s="401"/>
      <c r="C32" s="218" t="s">
        <v>902</v>
      </c>
      <c r="D32" s="218"/>
      <c r="E32" s="218"/>
      <c r="F32" s="218"/>
      <c r="G32" s="402"/>
      <c r="H32" s="403">
        <f>'FP Info 3'!H37</f>
        <v>0</v>
      </c>
      <c r="I32" s="420"/>
      <c r="J32" s="420"/>
      <c r="K32" s="423" t="e">
        <f>TRUNC(100-((((H32/H33*100))*100)/100),2)</f>
        <v>#DIV/0!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0</v>
      </c>
      <c r="I33" s="420"/>
      <c r="J33" s="420"/>
      <c r="K33" s="403"/>
      <c r="L33" s="218"/>
      <c r="M33" s="435" t="s">
        <v>1207</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E24" sqref="E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334486</v>
      </c>
      <c r="D4" s="466"/>
      <c r="E4" s="466"/>
      <c r="F4" s="466"/>
      <c r="G4" s="466"/>
      <c r="H4" s="466">
        <v>77968</v>
      </c>
      <c r="I4" s="466"/>
      <c r="J4" s="467"/>
      <c r="K4" s="466"/>
      <c r="L4" s="466">
        <v>188527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304141</v>
      </c>
      <c r="D7" s="467"/>
      <c r="E7" s="467"/>
      <c r="F7" s="467"/>
      <c r="G7" s="467"/>
      <c r="H7" s="467"/>
      <c r="I7" s="467"/>
      <c r="J7" s="467"/>
      <c r="K7" s="467"/>
      <c r="L7" s="477"/>
      <c r="M7" s="468"/>
      <c r="N7" s="469"/>
    </row>
    <row r="8" spans="1:14" ht="13.5" customHeight="1" x14ac:dyDescent="0.2">
      <c r="A8" s="473" t="s">
        <v>287</v>
      </c>
      <c r="B8" s="470">
        <v>150</v>
      </c>
      <c r="C8" s="476">
        <v>34204</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672831</v>
      </c>
      <c r="D13" s="1759">
        <f t="shared" ref="D13:L13" si="0">SUM(D4:D12)</f>
        <v>0</v>
      </c>
      <c r="E13" s="1759">
        <f t="shared" si="0"/>
        <v>0</v>
      </c>
      <c r="F13" s="1759">
        <f t="shared" si="0"/>
        <v>0</v>
      </c>
      <c r="G13" s="1759">
        <f t="shared" si="0"/>
        <v>0</v>
      </c>
      <c r="H13" s="1759">
        <f t="shared" si="0"/>
        <v>77968</v>
      </c>
      <c r="I13" s="1759">
        <f t="shared" si="0"/>
        <v>0</v>
      </c>
      <c r="J13" s="1759">
        <f t="shared" si="0"/>
        <v>0</v>
      </c>
      <c r="K13" s="1759">
        <f t="shared" si="0"/>
        <v>0</v>
      </c>
      <c r="L13" s="1759">
        <f t="shared" si="0"/>
        <v>188527</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24076540</v>
      </c>
      <c r="N17" s="484"/>
    </row>
    <row r="18" spans="1:14" s="485" customFormat="1" ht="12.75" customHeight="1" x14ac:dyDescent="0.2">
      <c r="A18" s="482" t="s">
        <v>1471</v>
      </c>
      <c r="B18" s="483">
        <v>240</v>
      </c>
      <c r="C18" s="477"/>
      <c r="D18" s="477"/>
      <c r="E18" s="477"/>
      <c r="F18" s="477"/>
      <c r="G18" s="477"/>
      <c r="H18" s="477"/>
      <c r="I18" s="477"/>
      <c r="J18" s="477"/>
      <c r="K18" s="477"/>
      <c r="L18" s="477"/>
      <c r="M18" s="467">
        <v>797732</v>
      </c>
      <c r="N18" s="484"/>
    </row>
    <row r="19" spans="1:14" s="485" customFormat="1" ht="12.75" customHeight="1" x14ac:dyDescent="0.2">
      <c r="A19" s="482" t="s">
        <v>1472</v>
      </c>
      <c r="B19" s="483">
        <v>250</v>
      </c>
      <c r="C19" s="477"/>
      <c r="D19" s="477"/>
      <c r="E19" s="477"/>
      <c r="F19" s="477"/>
      <c r="G19" s="477"/>
      <c r="H19" s="477"/>
      <c r="I19" s="477"/>
      <c r="J19" s="477"/>
      <c r="K19" s="477"/>
      <c r="L19" s="477"/>
      <c r="M19" s="467">
        <v>1232298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26106570</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v>210419</v>
      </c>
      <c r="E25" s="478"/>
      <c r="F25" s="478">
        <v>40675</v>
      </c>
      <c r="G25" s="478">
        <v>46643</v>
      </c>
      <c r="H25" s="479"/>
      <c r="I25" s="468"/>
      <c r="J25" s="478">
        <v>6403</v>
      </c>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188527</v>
      </c>
      <c r="M33" s="468"/>
      <c r="N33" s="469"/>
    </row>
    <row r="34" spans="1:14" ht="13.5" customHeight="1" thickBot="1" x14ac:dyDescent="0.25">
      <c r="A34" s="1760" t="s">
        <v>675</v>
      </c>
      <c r="B34" s="1761"/>
      <c r="C34" s="1762">
        <f>SUM(C25:C33)</f>
        <v>0</v>
      </c>
      <c r="D34" s="1762">
        <f t="shared" ref="D34:K34" si="1">SUM(D25:D33)</f>
        <v>210419</v>
      </c>
      <c r="E34" s="1762">
        <f t="shared" si="1"/>
        <v>0</v>
      </c>
      <c r="F34" s="1762">
        <f t="shared" si="1"/>
        <v>40675</v>
      </c>
      <c r="G34" s="1762">
        <f t="shared" si="1"/>
        <v>46643</v>
      </c>
      <c r="H34" s="1762">
        <f t="shared" si="1"/>
        <v>0</v>
      </c>
      <c r="I34" s="1762">
        <f t="shared" si="1"/>
        <v>0</v>
      </c>
      <c r="J34" s="1762">
        <f t="shared" si="1"/>
        <v>6403</v>
      </c>
      <c r="K34" s="1762">
        <f t="shared" si="1"/>
        <v>0</v>
      </c>
      <c r="L34" s="1743">
        <f>SUM(L33)</f>
        <v>188527</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672831</v>
      </c>
      <c r="D39" s="466">
        <v>-210419</v>
      </c>
      <c r="E39" s="466"/>
      <c r="F39" s="466">
        <v>-40675</v>
      </c>
      <c r="G39" s="466">
        <v>-46643</v>
      </c>
      <c r="H39" s="466">
        <v>77968</v>
      </c>
      <c r="I39" s="466"/>
      <c r="J39" s="467">
        <v>-6403</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26106570</v>
      </c>
      <c r="N40" s="497"/>
    </row>
    <row r="41" spans="1:14" ht="13.5" customHeight="1" thickBot="1" x14ac:dyDescent="0.25">
      <c r="A41" s="1758" t="s">
        <v>676</v>
      </c>
      <c r="B41" s="1728"/>
      <c r="C41" s="1710">
        <f>(SUM(C34,C37,C38,C39))</f>
        <v>672831</v>
      </c>
      <c r="D41" s="1710">
        <f t="shared" ref="D41:L41" si="2">SUM(D34,D37,D38:D39)</f>
        <v>0</v>
      </c>
      <c r="E41" s="1710">
        <f t="shared" si="2"/>
        <v>0</v>
      </c>
      <c r="F41" s="1710">
        <f t="shared" si="2"/>
        <v>0</v>
      </c>
      <c r="G41" s="1710">
        <f t="shared" si="2"/>
        <v>0</v>
      </c>
      <c r="H41" s="1710">
        <f t="shared" si="2"/>
        <v>77968</v>
      </c>
      <c r="I41" s="1710">
        <f t="shared" si="2"/>
        <v>0</v>
      </c>
      <c r="J41" s="1710">
        <f t="shared" si="2"/>
        <v>0</v>
      </c>
      <c r="K41" s="1710">
        <f t="shared" si="2"/>
        <v>0</v>
      </c>
      <c r="L41" s="1710">
        <f t="shared" si="2"/>
        <v>188527</v>
      </c>
      <c r="M41" s="1710">
        <f>SUM(M40)</f>
        <v>26106570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 and auditors' reports.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 activePane="bottomLeft" state="frozenSplit"/>
      <selection activeCell="A47" sqref="A47"/>
      <selection pane="bottomLeft" activeCell="E32" sqref="E32:E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3596443</v>
      </c>
      <c r="D4" s="1764">
        <f>'Revenues 9-14'!D109</f>
        <v>426805</v>
      </c>
      <c r="E4" s="1764">
        <f>'Revenues 9-14'!E109</f>
        <v>0</v>
      </c>
      <c r="F4" s="1764">
        <f>'Revenues 9-14'!F109</f>
        <v>59144</v>
      </c>
      <c r="G4" s="1764">
        <f>'Revenues 9-14'!G109</f>
        <v>89500</v>
      </c>
      <c r="H4" s="1764">
        <f>'Revenues 9-14'!H109</f>
        <v>104572</v>
      </c>
      <c r="I4" s="1764">
        <f>'Revenues 9-14'!I109</f>
        <v>0</v>
      </c>
      <c r="J4" s="1764">
        <f>'Revenues 9-14'!J109</f>
        <v>98255</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213005</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84661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3894109</v>
      </c>
      <c r="D8" s="1710">
        <f t="shared" ref="D8:K8" si="0">SUM(D4:D7)</f>
        <v>426805</v>
      </c>
      <c r="E8" s="1710">
        <f t="shared" si="0"/>
        <v>0</v>
      </c>
      <c r="F8" s="1710">
        <f t="shared" si="0"/>
        <v>59144</v>
      </c>
      <c r="G8" s="1710">
        <f t="shared" si="0"/>
        <v>89500</v>
      </c>
      <c r="H8" s="1710">
        <f t="shared" si="0"/>
        <v>104572</v>
      </c>
      <c r="I8" s="1710">
        <f t="shared" si="0"/>
        <v>0</v>
      </c>
      <c r="J8" s="1710">
        <f t="shared" si="0"/>
        <v>98255</v>
      </c>
      <c r="K8" s="1710">
        <f t="shared" si="0"/>
        <v>0</v>
      </c>
      <c r="L8" s="347"/>
    </row>
    <row r="9" spans="1:13" ht="15.75" thickTop="1" x14ac:dyDescent="0.2">
      <c r="A9" s="514" t="s">
        <v>1752</v>
      </c>
      <c r="B9" s="515">
        <v>3998</v>
      </c>
      <c r="C9" s="481">
        <f>1860579+5914</f>
        <v>1866493</v>
      </c>
      <c r="D9" s="516"/>
      <c r="E9" s="481"/>
      <c r="F9" s="481"/>
      <c r="G9" s="517"/>
      <c r="H9" s="481"/>
      <c r="I9" s="509" t="s">
        <v>1231</v>
      </c>
      <c r="J9" s="478"/>
      <c r="K9" s="481"/>
      <c r="L9" s="347"/>
    </row>
    <row r="10" spans="1:13" s="519" customFormat="1" ht="13.5" thickBot="1" x14ac:dyDescent="0.25">
      <c r="A10" s="1758" t="s">
        <v>1235</v>
      </c>
      <c r="B10" s="1731"/>
      <c r="C10" s="1710">
        <f>SUM(C8:C9)</f>
        <v>5760602</v>
      </c>
      <c r="D10" s="1710">
        <f t="shared" ref="D10:K10" si="1">SUM(D8:D9)</f>
        <v>426805</v>
      </c>
      <c r="E10" s="1710">
        <f t="shared" si="1"/>
        <v>0</v>
      </c>
      <c r="F10" s="1710">
        <f t="shared" si="1"/>
        <v>59144</v>
      </c>
      <c r="G10" s="1710">
        <f t="shared" si="1"/>
        <v>89500</v>
      </c>
      <c r="H10" s="1710">
        <f t="shared" si="1"/>
        <v>104572</v>
      </c>
      <c r="I10" s="1710">
        <f t="shared" si="1"/>
        <v>0</v>
      </c>
      <c r="J10" s="1710">
        <f t="shared" si="1"/>
        <v>98255</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2581555</v>
      </c>
      <c r="D12" s="520" t="s">
        <v>1231</v>
      </c>
      <c r="E12" s="468" t="s">
        <v>1231</v>
      </c>
      <c r="F12" s="468" t="s">
        <v>1231</v>
      </c>
      <c r="G12" s="1764">
        <f>'Expenditures 15-22'!K229</f>
        <v>58933</v>
      </c>
      <c r="H12" s="521"/>
      <c r="I12" s="468" t="s">
        <v>1231</v>
      </c>
      <c r="J12" s="468" t="s">
        <v>1231</v>
      </c>
      <c r="K12" s="521" t="s">
        <v>1231</v>
      </c>
      <c r="L12" s="347"/>
    </row>
    <row r="13" spans="1:13" ht="15.75" customHeight="1" x14ac:dyDescent="0.2">
      <c r="A13" s="1598" t="s">
        <v>477</v>
      </c>
      <c r="B13" s="1600">
        <v>2000</v>
      </c>
      <c r="C13" s="1765">
        <f>'Expenditures 15-22'!K74</f>
        <v>777564</v>
      </c>
      <c r="D13" s="1765">
        <f>'Expenditures 15-22'!K129</f>
        <v>516942</v>
      </c>
      <c r="E13" s="469" t="s">
        <v>1231</v>
      </c>
      <c r="F13" s="1765">
        <f>'Expenditures 15-22'!K184</f>
        <v>80263</v>
      </c>
      <c r="G13" s="1765">
        <f>'Expenditures 15-22'!K279</f>
        <v>48774</v>
      </c>
      <c r="H13" s="1765">
        <f>'Expenditures 15-22'!K303</f>
        <v>116564</v>
      </c>
      <c r="I13" s="468" t="s">
        <v>1231</v>
      </c>
      <c r="J13" s="1765">
        <f>'Expenditures 15-22'!K330</f>
        <v>104658</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117541</v>
      </c>
      <c r="D15" s="1765">
        <f>'Expenditures 15-22'!K139</f>
        <v>6564</v>
      </c>
      <c r="E15" s="1765">
        <f>'Expenditures 15-22'!K160</f>
        <v>0</v>
      </c>
      <c r="F15" s="1765">
        <f>'Expenditures 15-22'!K196</f>
        <v>0</v>
      </c>
      <c r="G15" s="1765">
        <f>'Expenditures 15-22'!K285</f>
        <v>3649</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3476660</v>
      </c>
      <c r="D17" s="1710">
        <f t="shared" si="2"/>
        <v>523506</v>
      </c>
      <c r="E17" s="1710">
        <f t="shared" si="2"/>
        <v>0</v>
      </c>
      <c r="F17" s="1710">
        <f t="shared" si="2"/>
        <v>80263</v>
      </c>
      <c r="G17" s="1710">
        <f t="shared" si="2"/>
        <v>111356</v>
      </c>
      <c r="H17" s="1710">
        <f t="shared" si="2"/>
        <v>116564</v>
      </c>
      <c r="I17" s="468"/>
      <c r="J17" s="1710">
        <f>SUM(J12:J16)</f>
        <v>104658</v>
      </c>
      <c r="K17" s="1710">
        <f>SUM(K12:K16)</f>
        <v>0</v>
      </c>
      <c r="L17" s="347"/>
    </row>
    <row r="18" spans="1:12" ht="15" customHeight="1" thickTop="1" x14ac:dyDescent="0.2">
      <c r="A18" s="1766" t="s">
        <v>1753</v>
      </c>
      <c r="B18" s="1767">
        <v>4180</v>
      </c>
      <c r="C18" s="1764">
        <f t="shared" ref="C18:H18" si="3">C9</f>
        <v>1866493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5343153</v>
      </c>
      <c r="D19" s="1710">
        <f t="shared" si="4"/>
        <v>523506</v>
      </c>
      <c r="E19" s="1710">
        <f t="shared" si="4"/>
        <v>0</v>
      </c>
      <c r="F19" s="1710">
        <f t="shared" si="4"/>
        <v>80263</v>
      </c>
      <c r="G19" s="1710">
        <f t="shared" si="4"/>
        <v>111356</v>
      </c>
      <c r="H19" s="1710">
        <f t="shared" si="4"/>
        <v>116564</v>
      </c>
      <c r="I19" s="468"/>
      <c r="J19" s="1710">
        <f>SUM(J17:J18)</f>
        <v>104658</v>
      </c>
      <c r="K19" s="1710">
        <f>SUM(K17:K18)</f>
        <v>0</v>
      </c>
      <c r="L19" s="347"/>
    </row>
    <row r="20" spans="1:12" ht="16.5" thickTop="1" thickBot="1" x14ac:dyDescent="0.25">
      <c r="A20" s="2145" t="s">
        <v>1754</v>
      </c>
      <c r="B20" s="2146"/>
      <c r="C20" s="1768">
        <f>C8-C17</f>
        <v>417449</v>
      </c>
      <c r="D20" s="1768">
        <f t="shared" ref="D20:K20" si="5">D8-D17</f>
        <v>-96701</v>
      </c>
      <c r="E20" s="1768">
        <f t="shared" si="5"/>
        <v>0</v>
      </c>
      <c r="F20" s="1768">
        <f t="shared" si="5"/>
        <v>-21119</v>
      </c>
      <c r="G20" s="1768">
        <f t="shared" si="5"/>
        <v>-21856</v>
      </c>
      <c r="H20" s="1768">
        <f t="shared" si="5"/>
        <v>-11992</v>
      </c>
      <c r="I20" s="1768">
        <f t="shared" si="5"/>
        <v>0</v>
      </c>
      <c r="J20" s="1768">
        <f t="shared" si="5"/>
        <v>-6403</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417449</v>
      </c>
      <c r="D78" s="1724">
        <f t="shared" si="9"/>
        <v>-96701</v>
      </c>
      <c r="E78" s="1724">
        <f t="shared" si="9"/>
        <v>0</v>
      </c>
      <c r="F78" s="1724">
        <f t="shared" si="9"/>
        <v>-21119</v>
      </c>
      <c r="G78" s="1724">
        <f t="shared" si="9"/>
        <v>-21856</v>
      </c>
      <c r="H78" s="1724">
        <f t="shared" si="9"/>
        <v>-11992</v>
      </c>
      <c r="I78" s="1724">
        <f t="shared" si="9"/>
        <v>0</v>
      </c>
      <c r="J78" s="1724">
        <f t="shared" si="9"/>
        <v>-6403</v>
      </c>
      <c r="K78" s="1724">
        <f t="shared" si="9"/>
        <v>0</v>
      </c>
      <c r="L78" s="533"/>
    </row>
    <row r="79" spans="1:12" ht="13.5" thickTop="1" x14ac:dyDescent="0.2">
      <c r="A79" s="1516" t="s">
        <v>2073</v>
      </c>
      <c r="B79" s="534"/>
      <c r="C79" s="478">
        <v>255382</v>
      </c>
      <c r="D79" s="535">
        <v>-113718</v>
      </c>
      <c r="E79" s="535"/>
      <c r="F79" s="535">
        <v>-19556</v>
      </c>
      <c r="G79" s="535">
        <v>-24787</v>
      </c>
      <c r="H79" s="535">
        <v>89960</v>
      </c>
      <c r="I79" s="535"/>
      <c r="J79" s="535"/>
      <c r="K79" s="535"/>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672831</v>
      </c>
      <c r="D81" s="1710">
        <f>SUM(D78:D80)</f>
        <v>-210419</v>
      </c>
      <c r="E81" s="1710">
        <f t="shared" ref="E81:K81" si="10">SUM(E78:E80)</f>
        <v>0</v>
      </c>
      <c r="F81" s="1710">
        <f t="shared" si="10"/>
        <v>-40675</v>
      </c>
      <c r="G81" s="1710">
        <f t="shared" si="10"/>
        <v>-46643</v>
      </c>
      <c r="H81" s="1710">
        <f t="shared" si="10"/>
        <v>77968</v>
      </c>
      <c r="I81" s="1710">
        <f t="shared" si="10"/>
        <v>0</v>
      </c>
      <c r="J81" s="1710">
        <f t="shared" si="10"/>
        <v>-6403</v>
      </c>
      <c r="K81" s="1710">
        <f t="shared" si="10"/>
        <v>0</v>
      </c>
      <c r="L81" s="347"/>
    </row>
    <row r="82" spans="1:12" ht="0.75" customHeight="1" thickTop="1" thickBot="1" x14ac:dyDescent="0.25">
      <c r="A82" s="536" t="s">
        <v>361</v>
      </c>
      <c r="B82" s="537"/>
      <c r="C82" s="538">
        <f>(C81-C79)</f>
        <v>417449</v>
      </c>
      <c r="D82" s="538">
        <f t="shared" ref="D82:K82" si="11">(D81-D79)</f>
        <v>-96701</v>
      </c>
      <c r="E82" s="538">
        <f t="shared" si="11"/>
        <v>0</v>
      </c>
      <c r="F82" s="538">
        <f t="shared" si="11"/>
        <v>-21119</v>
      </c>
      <c r="G82" s="538">
        <f t="shared" si="11"/>
        <v>-21856</v>
      </c>
      <c r="H82" s="538">
        <f t="shared" si="11"/>
        <v>-11992</v>
      </c>
      <c r="I82" s="538">
        <f t="shared" si="11"/>
        <v>0</v>
      </c>
      <c r="J82" s="538">
        <f t="shared" si="11"/>
        <v>-6403</v>
      </c>
      <c r="K82" s="538">
        <f t="shared" si="11"/>
        <v>0</v>
      </c>
    </row>
    <row r="83" spans="1:12" ht="14.25" hidden="1" thickTop="1" thickBot="1" x14ac:dyDescent="0.25">
      <c r="A83" s="539" t="s">
        <v>362</v>
      </c>
      <c r="B83" s="464"/>
      <c r="C83" s="540">
        <f>C82/C81</f>
        <v>0.62043663267596172</v>
      </c>
      <c r="D83" s="540">
        <f t="shared" ref="D83:K83" si="12">D82/D81</f>
        <v>0.45956401275550213</v>
      </c>
      <c r="E83" s="540" t="e">
        <f t="shared" si="12"/>
        <v>#DIV/0!</v>
      </c>
      <c r="F83" s="540">
        <f t="shared" si="12"/>
        <v>0.51921327596803935</v>
      </c>
      <c r="G83" s="540">
        <f t="shared" si="12"/>
        <v>0.46858049439358535</v>
      </c>
      <c r="H83" s="540">
        <f t="shared" si="12"/>
        <v>-0.15380668992407143</v>
      </c>
      <c r="I83" s="540" t="e">
        <f t="shared" si="12"/>
        <v>#DIV/0!</v>
      </c>
      <c r="J83" s="540">
        <f t="shared" si="12"/>
        <v>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 and auditors' reports.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3" activePane="bottomLeft" state="frozen"/>
      <selection activeCell="A47" sqref="A47"/>
      <selection pane="bottomLeft" activeCell="G104" sqref="G10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35320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35320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1185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1185</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41418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530</v>
      </c>
      <c r="D74" s="468"/>
      <c r="E74" s="468"/>
      <c r="F74" s="468"/>
      <c r="G74" s="468"/>
      <c r="H74" s="468"/>
      <c r="I74" s="468"/>
      <c r="J74" s="468"/>
      <c r="K74" s="468"/>
    </row>
    <row r="75" spans="1:11" ht="12.75" customHeight="1" thickBot="1" x14ac:dyDescent="0.25">
      <c r="A75" s="1730" t="s">
        <v>569</v>
      </c>
      <c r="B75" s="1731"/>
      <c r="C75" s="1710">
        <f>SUM(C69:C74)</f>
        <v>41948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28201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46192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10910</v>
      </c>
      <c r="D81" s="466"/>
      <c r="E81" s="468"/>
      <c r="F81" s="468"/>
      <c r="G81" s="468"/>
      <c r="H81" s="468"/>
      <c r="I81" s="468"/>
      <c r="J81" s="468"/>
      <c r="K81" s="468"/>
    </row>
    <row r="82" spans="1:11" ht="12.75" customHeight="1" thickBot="1" x14ac:dyDescent="0.25">
      <c r="A82" s="1730" t="s">
        <v>259</v>
      </c>
      <c r="B82" s="1731"/>
      <c r="C82" s="1729">
        <f>SUM(C77:C81)</f>
        <v>85303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31676</v>
      </c>
      <c r="D96" s="551"/>
      <c r="E96" s="479"/>
      <c r="F96" s="478">
        <v>1144</v>
      </c>
      <c r="G96" s="478"/>
      <c r="H96" s="478">
        <v>100025</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v>4547</v>
      </c>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2200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3380122</v>
      </c>
      <c r="D104" s="466">
        <v>390000</v>
      </c>
      <c r="E104" s="481"/>
      <c r="F104" s="467">
        <v>58000</v>
      </c>
      <c r="G104" s="467">
        <v>89500</v>
      </c>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18689</v>
      </c>
      <c r="D107" s="466">
        <v>36805</v>
      </c>
      <c r="E107" s="466"/>
      <c r="F107" s="466"/>
      <c r="G107" s="466"/>
      <c r="H107" s="466"/>
      <c r="I107" s="466"/>
      <c r="J107" s="467">
        <v>98255</v>
      </c>
      <c r="K107" s="466"/>
    </row>
    <row r="108" spans="1:12" ht="12.75" customHeight="1" thickBot="1" x14ac:dyDescent="0.25">
      <c r="A108" s="1730" t="s">
        <v>508</v>
      </c>
      <c r="B108" s="1734"/>
      <c r="C108" s="1729">
        <f>SUM(C95:C107)</f>
        <v>3432687</v>
      </c>
      <c r="D108" s="1729">
        <f t="shared" ref="D108:K108" si="3">SUM(D95:D107)</f>
        <v>426805</v>
      </c>
      <c r="E108" s="1729">
        <f t="shared" si="3"/>
        <v>0</v>
      </c>
      <c r="F108" s="1729">
        <f t="shared" si="3"/>
        <v>59144</v>
      </c>
      <c r="G108" s="1729">
        <f t="shared" si="3"/>
        <v>89500</v>
      </c>
      <c r="H108" s="1729">
        <f t="shared" si="3"/>
        <v>104572</v>
      </c>
      <c r="I108" s="1729">
        <f t="shared" si="3"/>
        <v>0</v>
      </c>
      <c r="J108" s="1729">
        <f t="shared" si="3"/>
        <v>98255</v>
      </c>
      <c r="K108" s="1710">
        <f t="shared" si="3"/>
        <v>0</v>
      </c>
    </row>
    <row r="109" spans="1:12" ht="14.25" thickTop="1" thickBot="1" x14ac:dyDescent="0.25">
      <c r="A109" s="1735" t="s">
        <v>266</v>
      </c>
      <c r="B109" s="1736" t="s">
        <v>591</v>
      </c>
      <c r="C109" s="1737">
        <f t="shared" ref="C109:K109" si="4">SUM(C12,C18,C40,C63,C67,C75,C82,C93,C108,)</f>
        <v>3596443</v>
      </c>
      <c r="D109" s="1737">
        <f t="shared" si="4"/>
        <v>426805</v>
      </c>
      <c r="E109" s="1737">
        <f t="shared" si="4"/>
        <v>0</v>
      </c>
      <c r="F109" s="1737">
        <f t="shared" si="4"/>
        <v>59144</v>
      </c>
      <c r="G109" s="1737">
        <f t="shared" si="4"/>
        <v>89500</v>
      </c>
      <c r="H109" s="1737">
        <f t="shared" si="4"/>
        <v>104572</v>
      </c>
      <c r="I109" s="1737">
        <f t="shared" si="4"/>
        <v>0</v>
      </c>
      <c r="J109" s="1737">
        <f t="shared" si="4"/>
        <v>98255</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76500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v>750</v>
      </c>
      <c r="D120" s="466"/>
      <c r="E120" s="466"/>
      <c r="F120" s="466"/>
      <c r="G120" s="466"/>
      <c r="H120" s="466"/>
      <c r="I120" s="468"/>
      <c r="J120" s="467"/>
      <c r="K120" s="466"/>
    </row>
    <row r="121" spans="1:11" ht="12.6" customHeight="1" thickBot="1" x14ac:dyDescent="0.25">
      <c r="A121" s="1730" t="s">
        <v>509</v>
      </c>
      <c r="B121" s="1741"/>
      <c r="C121" s="1729">
        <f t="shared" ref="C121:H121" si="5">SUM(C117:C120)</f>
        <v>77250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38250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38250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96313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96313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1192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135755</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213005</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73335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11251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84586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75</v>
      </c>
      <c r="D227" s="466"/>
      <c r="E227" s="468"/>
      <c r="F227" s="468"/>
      <c r="G227" s="466"/>
      <c r="H227" s="468"/>
      <c r="I227" s="468"/>
      <c r="J227" s="468"/>
      <c r="K227" s="468"/>
    </row>
    <row r="228" spans="1:11" ht="12.75" customHeight="1" thickBot="1" x14ac:dyDescent="0.25">
      <c r="A228" s="1745" t="s">
        <v>1145</v>
      </c>
      <c r="B228" s="1746"/>
      <c r="C228" s="1729">
        <f>SUM(C226:C227)</f>
        <v>75</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84661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84661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3894109</v>
      </c>
      <c r="D275" s="1737">
        <f t="shared" si="12"/>
        <v>426805</v>
      </c>
      <c r="E275" s="1737">
        <f t="shared" si="12"/>
        <v>0</v>
      </c>
      <c r="F275" s="1737">
        <f t="shared" si="12"/>
        <v>59144</v>
      </c>
      <c r="G275" s="1737">
        <f t="shared" si="12"/>
        <v>89500</v>
      </c>
      <c r="H275" s="1737">
        <f t="shared" si="12"/>
        <v>104572</v>
      </c>
      <c r="I275" s="1737">
        <f t="shared" si="12"/>
        <v>0</v>
      </c>
      <c r="J275" s="1737">
        <f t="shared" si="12"/>
        <v>98255</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&amp;F&amp;CSee accompanying notes to the financial statements and auditors' reports.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0" activePane="bottomLeft" state="frozen"/>
      <selection activeCell="A47" sqref="A47"/>
      <selection pane="bottomLeft" activeCell="G57" sqref="G5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1304791</v>
      </c>
      <c r="D5" s="466">
        <v>311128</v>
      </c>
      <c r="E5" s="466">
        <v>7245</v>
      </c>
      <c r="F5" s="466">
        <v>45370</v>
      </c>
      <c r="G5" s="466">
        <v>864</v>
      </c>
      <c r="H5" s="466">
        <v>660</v>
      </c>
      <c r="I5" s="467"/>
      <c r="J5" s="467"/>
      <c r="K5" s="1693">
        <f>SUM(C5:J5)</f>
        <v>1670058</v>
      </c>
      <c r="L5" s="466">
        <f>1733065+15000</f>
        <v>1748065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295927</v>
      </c>
      <c r="D8" s="466">
        <v>79661</v>
      </c>
      <c r="E8" s="466"/>
      <c r="F8" s="466">
        <v>523</v>
      </c>
      <c r="G8" s="466"/>
      <c r="H8" s="466"/>
      <c r="I8" s="467"/>
      <c r="J8" s="467"/>
      <c r="K8" s="1693">
        <f t="shared" si="0"/>
        <v>376111</v>
      </c>
      <c r="L8" s="466">
        <f>378194+49580+147694+78428</f>
        <v>653896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244025</v>
      </c>
      <c r="D13" s="466">
        <v>57617</v>
      </c>
      <c r="E13" s="466">
        <v>4818</v>
      </c>
      <c r="F13" s="466">
        <v>25001</v>
      </c>
      <c r="G13" s="466"/>
      <c r="H13" s="466"/>
      <c r="I13" s="467"/>
      <c r="J13" s="467"/>
      <c r="K13" s="1693">
        <f t="shared" si="0"/>
        <v>331461</v>
      </c>
      <c r="L13" s="466">
        <f>297227+3300+11000+8000</f>
        <v>319527</v>
      </c>
    </row>
    <row r="14" spans="1:14" x14ac:dyDescent="0.2">
      <c r="A14" s="1526" t="s">
        <v>1020</v>
      </c>
      <c r="B14" s="615">
        <v>1500</v>
      </c>
      <c r="C14" s="466">
        <v>134438</v>
      </c>
      <c r="D14" s="466">
        <v>17324</v>
      </c>
      <c r="E14" s="466">
        <v>36286</v>
      </c>
      <c r="F14" s="466">
        <v>8622</v>
      </c>
      <c r="G14" s="466">
        <v>3009</v>
      </c>
      <c r="H14" s="466">
        <v>4246</v>
      </c>
      <c r="I14" s="467"/>
      <c r="J14" s="467"/>
      <c r="K14" s="1693">
        <f t="shared" si="0"/>
        <v>203925</v>
      </c>
      <c r="L14" s="466">
        <f>204090+7200</f>
        <v>211290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v>1000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1979181</v>
      </c>
      <c r="D33" s="1692">
        <f t="shared" ref="D33:L33" si="1">SUM(D5:D32)</f>
        <v>465730</v>
      </c>
      <c r="E33" s="1692">
        <f t="shared" si="1"/>
        <v>48349</v>
      </c>
      <c r="F33" s="1692">
        <f t="shared" si="1"/>
        <v>79516</v>
      </c>
      <c r="G33" s="1692">
        <f t="shared" si="1"/>
        <v>3873</v>
      </c>
      <c r="H33" s="1692">
        <f t="shared" si="1"/>
        <v>4906</v>
      </c>
      <c r="I33" s="1692">
        <f t="shared" si="1"/>
        <v>0</v>
      </c>
      <c r="J33" s="1692">
        <f t="shared" si="1"/>
        <v>0</v>
      </c>
      <c r="K33" s="1692">
        <f t="shared" si="1"/>
        <v>2581555</v>
      </c>
      <c r="L33" s="1692">
        <f t="shared" si="1"/>
        <v>2933778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99573</v>
      </c>
      <c r="D37" s="466">
        <v>17514</v>
      </c>
      <c r="E37" s="466">
        <v>1046</v>
      </c>
      <c r="F37" s="466"/>
      <c r="G37" s="466"/>
      <c r="H37" s="466"/>
      <c r="I37" s="467"/>
      <c r="J37" s="467"/>
      <c r="K37" s="1693">
        <f t="shared" si="2"/>
        <v>118133</v>
      </c>
      <c r="L37" s="466">
        <v>128880</v>
      </c>
    </row>
    <row r="38" spans="1:14" x14ac:dyDescent="0.2">
      <c r="A38" s="1526" t="s">
        <v>207</v>
      </c>
      <c r="B38" s="615">
        <v>2130</v>
      </c>
      <c r="C38" s="466">
        <v>45131</v>
      </c>
      <c r="D38" s="466">
        <v>10589</v>
      </c>
      <c r="E38" s="466">
        <v>201</v>
      </c>
      <c r="F38" s="466">
        <v>1139</v>
      </c>
      <c r="G38" s="466"/>
      <c r="H38" s="466"/>
      <c r="I38" s="467"/>
      <c r="J38" s="467"/>
      <c r="K38" s="1693">
        <f t="shared" si="2"/>
        <v>57060</v>
      </c>
      <c r="L38" s="466">
        <v>66633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144704</v>
      </c>
      <c r="D42" s="1692">
        <f t="shared" ref="D42:L42" si="3">SUM(D36:D41)</f>
        <v>28103</v>
      </c>
      <c r="E42" s="1692">
        <f t="shared" si="3"/>
        <v>1247</v>
      </c>
      <c r="F42" s="1692">
        <f t="shared" si="3"/>
        <v>1139</v>
      </c>
      <c r="G42" s="1692">
        <f t="shared" si="3"/>
        <v>0</v>
      </c>
      <c r="H42" s="1692">
        <f t="shared" si="3"/>
        <v>0</v>
      </c>
      <c r="I42" s="1692">
        <f t="shared" si="3"/>
        <v>0</v>
      </c>
      <c r="J42" s="1692">
        <f t="shared" si="3"/>
        <v>0</v>
      </c>
      <c r="K42" s="1692">
        <f t="shared" si="3"/>
        <v>175193</v>
      </c>
      <c r="L42" s="1692">
        <f t="shared" si="3"/>
        <v>195513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565</v>
      </c>
      <c r="D44" s="481">
        <v>92</v>
      </c>
      <c r="E44" s="481"/>
      <c r="F44" s="481"/>
      <c r="G44" s="481"/>
      <c r="H44" s="481"/>
      <c r="I44" s="467"/>
      <c r="J44" s="467"/>
      <c r="K44" s="1694">
        <f>SUM(C44:J44)</f>
        <v>657</v>
      </c>
      <c r="L44" s="481">
        <v>25631</v>
      </c>
    </row>
    <row r="45" spans="1:14" x14ac:dyDescent="0.2">
      <c r="A45" s="1526" t="s">
        <v>869</v>
      </c>
      <c r="B45" s="615">
        <v>2220</v>
      </c>
      <c r="C45" s="466"/>
      <c r="D45" s="466"/>
      <c r="E45" s="466">
        <v>6886</v>
      </c>
      <c r="F45" s="466">
        <v>106</v>
      </c>
      <c r="G45" s="466"/>
      <c r="H45" s="466"/>
      <c r="I45" s="467"/>
      <c r="J45" s="467"/>
      <c r="K45" s="1694">
        <f>SUM(C45:J45)</f>
        <v>6992</v>
      </c>
      <c r="L45" s="466">
        <v>9000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565</v>
      </c>
      <c r="D47" s="1692">
        <f t="shared" ref="D47:K47" si="4">SUM(D44:D46)</f>
        <v>92</v>
      </c>
      <c r="E47" s="1692">
        <f t="shared" si="4"/>
        <v>6886</v>
      </c>
      <c r="F47" s="1692">
        <f t="shared" si="4"/>
        <v>106</v>
      </c>
      <c r="G47" s="1692">
        <f t="shared" si="4"/>
        <v>0</v>
      </c>
      <c r="H47" s="1692">
        <f t="shared" si="4"/>
        <v>0</v>
      </c>
      <c r="I47" s="1692">
        <f t="shared" si="4"/>
        <v>0</v>
      </c>
      <c r="J47" s="1692">
        <f t="shared" si="4"/>
        <v>0</v>
      </c>
      <c r="K47" s="1692">
        <f t="shared" si="4"/>
        <v>7649</v>
      </c>
      <c r="L47" s="1692">
        <f>SUM(L44:L46)</f>
        <v>34631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22836</v>
      </c>
      <c r="F49" s="481"/>
      <c r="G49" s="481"/>
      <c r="H49" s="481">
        <v>6736</v>
      </c>
      <c r="I49" s="467"/>
      <c r="J49" s="467"/>
      <c r="K49" s="1694">
        <f>SUM(C49:J49)</f>
        <v>29572</v>
      </c>
      <c r="L49" s="481">
        <v>34745</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0</v>
      </c>
      <c r="D53" s="1692">
        <f t="shared" ref="D53:L53" si="5">SUM(D49:D52)</f>
        <v>0</v>
      </c>
      <c r="E53" s="1692">
        <f t="shared" si="5"/>
        <v>22836</v>
      </c>
      <c r="F53" s="1692">
        <f t="shared" si="5"/>
        <v>0</v>
      </c>
      <c r="G53" s="1692">
        <f t="shared" si="5"/>
        <v>0</v>
      </c>
      <c r="H53" s="1692">
        <f t="shared" si="5"/>
        <v>6736</v>
      </c>
      <c r="I53" s="1692">
        <f t="shared" si="5"/>
        <v>0</v>
      </c>
      <c r="J53" s="1692">
        <f t="shared" si="5"/>
        <v>0</v>
      </c>
      <c r="K53" s="1692">
        <f t="shared" si="5"/>
        <v>29572</v>
      </c>
      <c r="L53" s="1692">
        <f t="shared" si="5"/>
        <v>34745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198140</v>
      </c>
      <c r="D55" s="481">
        <v>28969</v>
      </c>
      <c r="E55" s="481">
        <v>33793</v>
      </c>
      <c r="F55" s="481">
        <v>15313</v>
      </c>
      <c r="G55" s="481">
        <v>2575</v>
      </c>
      <c r="H55" s="481"/>
      <c r="I55" s="467"/>
      <c r="J55" s="467"/>
      <c r="K55" s="1694">
        <f>SUM(C55:J55)</f>
        <v>278790</v>
      </c>
      <c r="L55" s="481">
        <v>339449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198140</v>
      </c>
      <c r="D57" s="1696">
        <f t="shared" ref="D57:K57" si="6">SUM(D55:D56)</f>
        <v>28969</v>
      </c>
      <c r="E57" s="1696">
        <f t="shared" si="6"/>
        <v>33793</v>
      </c>
      <c r="F57" s="1696">
        <f t="shared" si="6"/>
        <v>15313</v>
      </c>
      <c r="G57" s="1696">
        <f t="shared" si="6"/>
        <v>2575</v>
      </c>
      <c r="H57" s="1696">
        <f t="shared" si="6"/>
        <v>0</v>
      </c>
      <c r="I57" s="1696">
        <f t="shared" si="6"/>
        <v>0</v>
      </c>
      <c r="J57" s="1696">
        <f t="shared" si="6"/>
        <v>0</v>
      </c>
      <c r="K57" s="1696">
        <f t="shared" si="6"/>
        <v>278790</v>
      </c>
      <c r="L57" s="1692">
        <f>SUM(L55:L56)</f>
        <v>339449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4884</v>
      </c>
      <c r="F60" s="466">
        <v>712</v>
      </c>
      <c r="G60" s="466"/>
      <c r="H60" s="466"/>
      <c r="I60" s="467"/>
      <c r="J60" s="467"/>
      <c r="K60" s="1694">
        <f t="shared" si="7"/>
        <v>5596</v>
      </c>
      <c r="L60" s="466">
        <v>5500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56607</v>
      </c>
      <c r="D63" s="466">
        <v>19450</v>
      </c>
      <c r="E63" s="466">
        <v>1013</v>
      </c>
      <c r="F63" s="466">
        <v>101460</v>
      </c>
      <c r="G63" s="466"/>
      <c r="H63" s="466"/>
      <c r="I63" s="467"/>
      <c r="J63" s="467"/>
      <c r="K63" s="1694">
        <f t="shared" si="7"/>
        <v>178530</v>
      </c>
      <c r="L63" s="466">
        <v>207800</v>
      </c>
    </row>
    <row r="64" spans="1:14" s="610" customFormat="1" x14ac:dyDescent="0.2">
      <c r="A64" s="1531" t="s">
        <v>103</v>
      </c>
      <c r="B64" s="631">
        <v>2570</v>
      </c>
      <c r="C64" s="481">
        <v>27500</v>
      </c>
      <c r="D64" s="481">
        <v>18</v>
      </c>
      <c r="E64" s="481">
        <v>66786</v>
      </c>
      <c r="F64" s="481">
        <v>2490</v>
      </c>
      <c r="G64" s="481">
        <v>5440</v>
      </c>
      <c r="H64" s="481"/>
      <c r="I64" s="467"/>
      <c r="J64" s="467"/>
      <c r="K64" s="1694">
        <f t="shared" si="7"/>
        <v>102234</v>
      </c>
      <c r="L64" s="481">
        <v>14000</v>
      </c>
    </row>
    <row r="65" spans="1:14" s="343" customFormat="1" ht="12.75" customHeight="1" thickBot="1" x14ac:dyDescent="0.25">
      <c r="A65" s="1690" t="s">
        <v>743</v>
      </c>
      <c r="B65" s="1691" t="s">
        <v>35</v>
      </c>
      <c r="C65" s="1692">
        <f>SUM(C59:C64)</f>
        <v>84107</v>
      </c>
      <c r="D65" s="1692">
        <f t="shared" ref="D65:L65" si="8">SUM(D59:D64)</f>
        <v>19468</v>
      </c>
      <c r="E65" s="1692">
        <f t="shared" si="8"/>
        <v>72683</v>
      </c>
      <c r="F65" s="1692">
        <f t="shared" si="8"/>
        <v>104662</v>
      </c>
      <c r="G65" s="1692">
        <f t="shared" si="8"/>
        <v>5440</v>
      </c>
      <c r="H65" s="1692">
        <f t="shared" si="8"/>
        <v>0</v>
      </c>
      <c r="I65" s="1692">
        <f t="shared" si="8"/>
        <v>0</v>
      </c>
      <c r="J65" s="1692">
        <f t="shared" si="8"/>
        <v>0</v>
      </c>
      <c r="K65" s="1692">
        <f t="shared" si="8"/>
        <v>286360</v>
      </c>
      <c r="L65" s="1692">
        <f t="shared" si="8"/>
        <v>227300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427516</v>
      </c>
      <c r="D74" s="1699">
        <f t="shared" ref="D74:K74" si="10">SUM(D42,D47,D53,D57,D65,D72,D73)</f>
        <v>76632</v>
      </c>
      <c r="E74" s="1699">
        <f t="shared" si="10"/>
        <v>137445</v>
      </c>
      <c r="F74" s="1699">
        <f t="shared" si="10"/>
        <v>121220</v>
      </c>
      <c r="G74" s="1699">
        <f t="shared" si="10"/>
        <v>8015</v>
      </c>
      <c r="H74" s="1699">
        <f t="shared" si="10"/>
        <v>6736</v>
      </c>
      <c r="I74" s="1699">
        <f t="shared" si="10"/>
        <v>0</v>
      </c>
      <c r="J74" s="1699">
        <f t="shared" si="10"/>
        <v>0</v>
      </c>
      <c r="K74" s="1699">
        <f t="shared" si="10"/>
        <v>777564</v>
      </c>
      <c r="L74" s="1699">
        <f>SUM(L42,L47,L53,L57,L65,L72,L73)</f>
        <v>831638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57972</v>
      </c>
      <c r="F78" s="617"/>
      <c r="G78" s="617"/>
      <c r="H78" s="635"/>
      <c r="I78" s="477"/>
      <c r="J78" s="477"/>
      <c r="K78" s="1693">
        <f t="shared" ref="K78:K83" si="11">SUM(C78:J78)</f>
        <v>57972</v>
      </c>
      <c r="L78" s="481">
        <f>50000+10000</f>
        <v>60000</v>
      </c>
    </row>
    <row r="79" spans="1:14" x14ac:dyDescent="0.2">
      <c r="A79" s="1526" t="s">
        <v>322</v>
      </c>
      <c r="B79" s="615">
        <v>4120</v>
      </c>
      <c r="C79" s="617"/>
      <c r="D79" s="617"/>
      <c r="E79" s="466"/>
      <c r="F79" s="617"/>
      <c r="G79" s="617"/>
      <c r="H79" s="466">
        <v>59569</v>
      </c>
      <c r="I79" s="477"/>
      <c r="J79" s="477"/>
      <c r="K79" s="1693">
        <f t="shared" si="11"/>
        <v>59569</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57972</v>
      </c>
      <c r="F84" s="617"/>
      <c r="G84" s="617"/>
      <c r="H84" s="1692">
        <f>SUM(H78:H83)</f>
        <v>59569</v>
      </c>
      <c r="I84" s="477"/>
      <c r="J84" s="477"/>
      <c r="K84" s="1692">
        <f>SUM(K78:K83)</f>
        <v>117541</v>
      </c>
      <c r="L84" s="1692">
        <f>SUM(L78:L83)</f>
        <v>60000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57972</v>
      </c>
      <c r="F102" s="617"/>
      <c r="G102" s="617"/>
      <c r="H102" s="1699">
        <f>SUM(H84,H92,H100,H101)</f>
        <v>59569</v>
      </c>
      <c r="I102" s="477"/>
      <c r="J102" s="477"/>
      <c r="K102" s="1699">
        <f>SUM(K84,K92,K100,K101)</f>
        <v>117541</v>
      </c>
      <c r="L102" s="1699">
        <f>SUM(L84,L92,L100,L101)</f>
        <v>60000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2406697</v>
      </c>
      <c r="D114" s="1692">
        <f t="shared" ref="D114:K114" si="13">SUM(D33,D74,D75,D102,D112,D113)</f>
        <v>542362</v>
      </c>
      <c r="E114" s="1692">
        <f t="shared" si="13"/>
        <v>243766</v>
      </c>
      <c r="F114" s="1692">
        <f t="shared" si="13"/>
        <v>200736</v>
      </c>
      <c r="G114" s="1692">
        <f t="shared" si="13"/>
        <v>11888</v>
      </c>
      <c r="H114" s="1692">
        <f>SUM(H33,H74,H75,H102,H112,H113)</f>
        <v>71211</v>
      </c>
      <c r="I114" s="1692">
        <f t="shared" si="13"/>
        <v>0</v>
      </c>
      <c r="J114" s="1692">
        <f t="shared" si="13"/>
        <v>0</v>
      </c>
      <c r="K114" s="1692">
        <f t="shared" si="13"/>
        <v>3476660</v>
      </c>
      <c r="L114" s="1692">
        <f>SUM(L33,L74,L75,L102,L112,L113)</f>
        <v>3825416</v>
      </c>
    </row>
    <row r="115" spans="1:14" ht="13.5" thickTop="1" x14ac:dyDescent="0.2">
      <c r="A115" s="2175" t="s">
        <v>1053</v>
      </c>
      <c r="B115" s="2176"/>
      <c r="C115" s="619"/>
      <c r="D115" s="619"/>
      <c r="E115" s="619"/>
      <c r="F115" s="619"/>
      <c r="G115" s="619"/>
      <c r="H115" s="619"/>
      <c r="I115" s="619"/>
      <c r="J115" s="619"/>
      <c r="K115" s="1706">
        <f>'Revenues 9-14'!C275-'Expenditures 15-22'!K114</f>
        <v>417449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120717</v>
      </c>
      <c r="F123" s="466"/>
      <c r="G123" s="466"/>
      <c r="H123" s="466"/>
      <c r="I123" s="467"/>
      <c r="J123" s="467"/>
      <c r="K123" s="1692">
        <f>SUM(C123:J123)</f>
        <v>120717</v>
      </c>
      <c r="L123" s="466">
        <v>113500</v>
      </c>
    </row>
    <row r="124" spans="1:14" ht="14.25" thickTop="1" thickBot="1" x14ac:dyDescent="0.25">
      <c r="A124" s="1526" t="s">
        <v>206</v>
      </c>
      <c r="B124" s="615">
        <v>2540</v>
      </c>
      <c r="C124" s="466">
        <v>90910</v>
      </c>
      <c r="D124" s="466">
        <v>7747</v>
      </c>
      <c r="E124" s="466">
        <v>238671</v>
      </c>
      <c r="F124" s="466">
        <v>57241</v>
      </c>
      <c r="G124" s="466">
        <v>1656</v>
      </c>
      <c r="H124" s="466"/>
      <c r="I124" s="467"/>
      <c r="J124" s="467"/>
      <c r="K124" s="1692">
        <f>SUM(C124:J124)</f>
        <v>396225</v>
      </c>
      <c r="L124" s="466">
        <v>362859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90910</v>
      </c>
      <c r="D127" s="1692">
        <f t="shared" ref="D127:L127" si="14">SUM(D122:D126)</f>
        <v>7747</v>
      </c>
      <c r="E127" s="1692">
        <f t="shared" si="14"/>
        <v>359388</v>
      </c>
      <c r="F127" s="1692">
        <f t="shared" si="14"/>
        <v>57241</v>
      </c>
      <c r="G127" s="1692">
        <f t="shared" si="14"/>
        <v>1656</v>
      </c>
      <c r="H127" s="1692">
        <f t="shared" si="14"/>
        <v>0</v>
      </c>
      <c r="I127" s="1692">
        <f t="shared" si="14"/>
        <v>0</v>
      </c>
      <c r="J127" s="1692">
        <f t="shared" si="14"/>
        <v>0</v>
      </c>
      <c r="K127" s="1692">
        <f t="shared" si="14"/>
        <v>516942</v>
      </c>
      <c r="L127" s="1692">
        <f t="shared" si="14"/>
        <v>476359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90910</v>
      </c>
      <c r="D129" s="1699">
        <f t="shared" ref="D129:L129" si="15">SUM(D120,D127,D128)</f>
        <v>7747</v>
      </c>
      <c r="E129" s="1699">
        <f t="shared" si="15"/>
        <v>359388</v>
      </c>
      <c r="F129" s="1699">
        <f t="shared" si="15"/>
        <v>57241</v>
      </c>
      <c r="G129" s="1699">
        <f t="shared" si="15"/>
        <v>1656</v>
      </c>
      <c r="H129" s="1699">
        <f t="shared" si="15"/>
        <v>0</v>
      </c>
      <c r="I129" s="1699">
        <f t="shared" si="15"/>
        <v>0</v>
      </c>
      <c r="J129" s="1699">
        <f t="shared" si="15"/>
        <v>0</v>
      </c>
      <c r="K129" s="1699">
        <f t="shared" si="15"/>
        <v>516942</v>
      </c>
      <c r="L129" s="1699">
        <f t="shared" si="15"/>
        <v>476359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v>6564</v>
      </c>
      <c r="F133" s="468"/>
      <c r="G133" s="468"/>
      <c r="H133" s="642"/>
      <c r="I133" s="468"/>
      <c r="J133" s="468"/>
      <c r="K133" s="1844">
        <f>SUM(E133,H133)</f>
        <v>6564</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6564</v>
      </c>
      <c r="F137" s="617"/>
      <c r="G137" s="617"/>
      <c r="H137" s="1692">
        <f>SUM(H133:H136)</f>
        <v>0</v>
      </c>
      <c r="I137" s="477"/>
      <c r="J137" s="617"/>
      <c r="K137" s="1692">
        <f>SUM(K133:K136)</f>
        <v>6564</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6564</v>
      </c>
      <c r="F139" s="617"/>
      <c r="G139" s="617"/>
      <c r="H139" s="1701">
        <f>SUM(H137:H138)</f>
        <v>0</v>
      </c>
      <c r="I139" s="477"/>
      <c r="J139" s="617"/>
      <c r="K139" s="1694">
        <f>SUM(K137,K138)</f>
        <v>6564</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90910</v>
      </c>
      <c r="D151" s="1692">
        <f t="shared" ref="D151:K151" si="16">SUM(D129,D130,D139,D149,D150)</f>
        <v>7747</v>
      </c>
      <c r="E151" s="1692">
        <f t="shared" si="16"/>
        <v>365952</v>
      </c>
      <c r="F151" s="1692">
        <f t="shared" si="16"/>
        <v>57241</v>
      </c>
      <c r="G151" s="1692">
        <f t="shared" si="16"/>
        <v>1656</v>
      </c>
      <c r="H151" s="1692">
        <f t="shared" si="16"/>
        <v>0</v>
      </c>
      <c r="I151" s="1692">
        <f t="shared" si="16"/>
        <v>0</v>
      </c>
      <c r="J151" s="1692">
        <f t="shared" si="16"/>
        <v>0</v>
      </c>
      <c r="K151" s="1692">
        <f t="shared" si="16"/>
        <v>523506</v>
      </c>
      <c r="L151" s="1692">
        <f>SUM(L129,L130,L139,L149,L150)</f>
        <v>476359</v>
      </c>
    </row>
    <row r="152" spans="1:14" ht="12.75" customHeight="1" thickTop="1" x14ac:dyDescent="0.2">
      <c r="A152" s="2195" t="s">
        <v>1240</v>
      </c>
      <c r="B152" s="2196"/>
      <c r="C152" s="619"/>
      <c r="D152" s="619"/>
      <c r="E152" s="619"/>
      <c r="F152" s="619"/>
      <c r="G152" s="619"/>
      <c r="H152" s="619"/>
      <c r="I152" s="619"/>
      <c r="J152" s="617"/>
      <c r="K152" s="1706">
        <f>'Revenues 9-14'!D275-'Expenditures 15-22'!K151</f>
        <v>-96701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5" t="s">
        <v>1053</v>
      </c>
      <c r="B175" s="2176"/>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80263</v>
      </c>
      <c r="F182" s="466"/>
      <c r="G182" s="466"/>
      <c r="H182" s="466"/>
      <c r="I182" s="467"/>
      <c r="J182" s="467"/>
      <c r="K182" s="1693">
        <f>SUM(C182:J182)</f>
        <v>80263</v>
      </c>
      <c r="L182" s="466">
        <v>63000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80263</v>
      </c>
      <c r="F184" s="1699">
        <f t="shared" si="17"/>
        <v>0</v>
      </c>
      <c r="G184" s="1699">
        <f t="shared" si="17"/>
        <v>0</v>
      </c>
      <c r="H184" s="1699">
        <f t="shared" si="17"/>
        <v>0</v>
      </c>
      <c r="I184" s="1699">
        <f t="shared" si="17"/>
        <v>0</v>
      </c>
      <c r="J184" s="1699">
        <f t="shared" si="17"/>
        <v>0</v>
      </c>
      <c r="K184" s="1699">
        <f>SUM(K180,K182,K183)</f>
        <v>80263</v>
      </c>
      <c r="L184" s="1699">
        <f>SUM(L180, L182:L183)</f>
        <v>63000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80263</v>
      </c>
      <c r="F210" s="1692">
        <f>SUM(F184,F185)</f>
        <v>0</v>
      </c>
      <c r="G210" s="1692">
        <f>SUM(G184,G185)</f>
        <v>0</v>
      </c>
      <c r="H210" s="1692">
        <f>SUM(H184,H185,H196,H208,H209)</f>
        <v>0</v>
      </c>
      <c r="I210" s="1692">
        <f>SUM(I184,I185)</f>
        <v>0</v>
      </c>
      <c r="J210" s="1692">
        <f>SUM(J184,J185)</f>
        <v>0</v>
      </c>
      <c r="K210" s="1693">
        <f>SUM(K184,K185,K196,K208,K209)</f>
        <v>80263</v>
      </c>
      <c r="L210" s="1692">
        <f>SUM(L184,L185,L196,L208,L209)</f>
        <v>63000</v>
      </c>
    </row>
    <row r="211" spans="1:14" ht="13.5" thickTop="1" x14ac:dyDescent="0.2">
      <c r="A211" s="2175" t="s">
        <v>1053</v>
      </c>
      <c r="B211" s="2176"/>
      <c r="C211" s="619"/>
      <c r="D211" s="619"/>
      <c r="E211" s="619"/>
      <c r="F211" s="619"/>
      <c r="G211" s="619"/>
      <c r="H211" s="619"/>
      <c r="I211" s="617"/>
      <c r="J211" s="617"/>
      <c r="K211" s="1706">
        <f>'Revenues 9-14'!F275-'Expenditures 15-22'!K210</f>
        <v>-21119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26890</v>
      </c>
      <c r="E215" s="617"/>
      <c r="F215" s="617"/>
      <c r="G215" s="617"/>
      <c r="H215" s="617"/>
      <c r="I215" s="617"/>
      <c r="J215" s="617"/>
      <c r="K215" s="1693">
        <f>D215</f>
        <v>26890</v>
      </c>
      <c r="L215" s="466">
        <v>23000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21723</v>
      </c>
      <c r="E217" s="617"/>
      <c r="F217" s="617"/>
      <c r="G217" s="617"/>
      <c r="H217" s="617"/>
      <c r="I217" s="617"/>
      <c r="J217" s="617"/>
      <c r="K217" s="1693">
        <f t="shared" si="19"/>
        <v>21723</v>
      </c>
      <c r="L217" s="466">
        <f>9600+7200+4300+4900</f>
        <v>26000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3457</v>
      </c>
      <c r="E222" s="617"/>
      <c r="F222" s="617"/>
      <c r="G222" s="617"/>
      <c r="H222" s="617"/>
      <c r="I222" s="617"/>
      <c r="J222" s="617"/>
      <c r="K222" s="1693">
        <f t="shared" si="19"/>
        <v>3457</v>
      </c>
      <c r="L222" s="466">
        <v>4174</v>
      </c>
    </row>
    <row r="223" spans="1:14" x14ac:dyDescent="0.2">
      <c r="A223" s="1526" t="s">
        <v>1020</v>
      </c>
      <c r="B223" s="615">
        <v>1500</v>
      </c>
      <c r="C223" s="617"/>
      <c r="D223" s="466">
        <v>6863</v>
      </c>
      <c r="E223" s="617"/>
      <c r="F223" s="617"/>
      <c r="G223" s="617"/>
      <c r="H223" s="617"/>
      <c r="I223" s="617"/>
      <c r="J223" s="617"/>
      <c r="K223" s="1693">
        <f t="shared" si="19"/>
        <v>6863</v>
      </c>
      <c r="L223" s="466">
        <v>5100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58933</v>
      </c>
      <c r="E229" s="617"/>
      <c r="F229" s="617"/>
      <c r="G229" s="617"/>
      <c r="H229" s="617"/>
      <c r="I229" s="617"/>
      <c r="J229" s="617"/>
      <c r="K229" s="1692">
        <f>SUM(K215:K228)</f>
        <v>58933</v>
      </c>
      <c r="L229" s="1692">
        <f>SUM(L215:L228)</f>
        <v>58274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1425</v>
      </c>
      <c r="E233" s="617"/>
      <c r="F233" s="617"/>
      <c r="G233" s="617"/>
      <c r="H233" s="617"/>
      <c r="I233" s="617"/>
      <c r="J233" s="617"/>
      <c r="K233" s="1693">
        <f t="shared" si="20"/>
        <v>1425</v>
      </c>
      <c r="L233" s="466">
        <v>700</v>
      </c>
    </row>
    <row r="234" spans="1:12" x14ac:dyDescent="0.2">
      <c r="A234" s="1526" t="s">
        <v>207</v>
      </c>
      <c r="B234" s="615">
        <v>2130</v>
      </c>
      <c r="C234" s="617"/>
      <c r="D234" s="466">
        <v>655</v>
      </c>
      <c r="E234" s="617"/>
      <c r="F234" s="617"/>
      <c r="G234" s="617"/>
      <c r="H234" s="617"/>
      <c r="I234" s="617"/>
      <c r="J234" s="617"/>
      <c r="K234" s="1693">
        <f t="shared" si="20"/>
        <v>655</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2080</v>
      </c>
      <c r="E238" s="617"/>
      <c r="F238" s="617"/>
      <c r="G238" s="617"/>
      <c r="H238" s="617"/>
      <c r="I238" s="617"/>
      <c r="J238" s="617"/>
      <c r="K238" s="1692">
        <f>SUM(K232:K237)</f>
        <v>2080</v>
      </c>
      <c r="L238" s="1692">
        <f>SUM(L232:L237)</f>
        <v>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v>
      </c>
      <c r="E240" s="617"/>
      <c r="F240" s="617"/>
      <c r="G240" s="617"/>
      <c r="H240" s="617"/>
      <c r="I240" s="617"/>
      <c r="J240" s="617"/>
      <c r="K240" s="1694">
        <f>D240</f>
        <v>8</v>
      </c>
      <c r="L240" s="481">
        <v>8</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v>
      </c>
      <c r="E243" s="617"/>
      <c r="F243" s="617"/>
      <c r="G243" s="617"/>
      <c r="H243" s="617"/>
      <c r="I243" s="617"/>
      <c r="J243" s="617"/>
      <c r="K243" s="1692">
        <f>SUM(K240:K242)</f>
        <v>8</v>
      </c>
      <c r="L243" s="1692">
        <f>SUM(L240:L242)</f>
        <v>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455</v>
      </c>
      <c r="E254" s="617"/>
      <c r="F254" s="617"/>
      <c r="G254" s="617"/>
      <c r="H254" s="617"/>
      <c r="I254" s="617"/>
      <c r="J254" s="617"/>
      <c r="K254" s="1694">
        <f t="shared" si="21"/>
        <v>455</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455</v>
      </c>
      <c r="E257" s="617"/>
      <c r="F257" s="617"/>
      <c r="G257" s="617"/>
      <c r="H257" s="617"/>
      <c r="I257" s="617"/>
      <c r="J257" s="617"/>
      <c r="K257" s="1692">
        <f>SUM(K245:K256)</f>
        <v>455</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12949</v>
      </c>
      <c r="E259" s="617"/>
      <c r="F259" s="617"/>
      <c r="G259" s="617"/>
      <c r="H259" s="617"/>
      <c r="I259" s="617"/>
      <c r="J259" s="617"/>
      <c r="K259" s="1694">
        <f>D259</f>
        <v>12949</v>
      </c>
      <c r="L259" s="481">
        <v>11700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12949</v>
      </c>
      <c r="E261" s="617"/>
      <c r="F261" s="617"/>
      <c r="G261" s="617"/>
      <c r="H261" s="617"/>
      <c r="I261" s="617"/>
      <c r="J261" s="617"/>
      <c r="K261" s="1692">
        <f>SUM(K259:K260)</f>
        <v>12949</v>
      </c>
      <c r="L261" s="1692">
        <f>SUM(L259:L260)</f>
        <v>11700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17302</v>
      </c>
      <c r="E266" s="617"/>
      <c r="F266" s="617"/>
      <c r="G266" s="617"/>
      <c r="H266" s="617"/>
      <c r="I266" s="617"/>
      <c r="J266" s="617"/>
      <c r="K266" s="1694">
        <f t="shared" si="22"/>
        <v>17302</v>
      </c>
      <c r="L266" s="466">
        <v>13000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10650</v>
      </c>
      <c r="E268" s="617"/>
      <c r="F268" s="617"/>
      <c r="G268" s="617"/>
      <c r="H268" s="617"/>
      <c r="I268" s="617"/>
      <c r="J268" s="617"/>
      <c r="K268" s="1694">
        <f t="shared" si="22"/>
        <v>10650</v>
      </c>
      <c r="L268" s="466">
        <v>12000</v>
      </c>
    </row>
    <row r="269" spans="1:14" x14ac:dyDescent="0.2">
      <c r="A269" s="1526" t="s">
        <v>103</v>
      </c>
      <c r="B269" s="615">
        <v>2570</v>
      </c>
      <c r="C269" s="617"/>
      <c r="D269" s="466">
        <v>5330</v>
      </c>
      <c r="E269" s="617"/>
      <c r="F269" s="617"/>
      <c r="G269" s="617"/>
      <c r="H269" s="617"/>
      <c r="I269" s="617"/>
      <c r="J269" s="617"/>
      <c r="K269" s="1694">
        <f t="shared" si="22"/>
        <v>5330</v>
      </c>
      <c r="L269" s="466"/>
    </row>
    <row r="270" spans="1:14" ht="12.75" customHeight="1" thickBot="1" x14ac:dyDescent="0.25">
      <c r="A270" s="1690" t="s">
        <v>743</v>
      </c>
      <c r="B270" s="1697" t="s">
        <v>35</v>
      </c>
      <c r="C270" s="617"/>
      <c r="D270" s="1692">
        <f>SUM(D263:D269)</f>
        <v>33282</v>
      </c>
      <c r="E270" s="617"/>
      <c r="F270" s="617"/>
      <c r="G270" s="617"/>
      <c r="H270" s="617"/>
      <c r="I270" s="617"/>
      <c r="J270" s="617"/>
      <c r="K270" s="1692">
        <f>SUM(K263:K269)</f>
        <v>33282</v>
      </c>
      <c r="L270" s="1692">
        <f>SUM(L263:L269)</f>
        <v>25000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48774</v>
      </c>
      <c r="E279" s="617"/>
      <c r="F279" s="617"/>
      <c r="G279" s="617"/>
      <c r="H279" s="617"/>
      <c r="I279" s="617"/>
      <c r="J279" s="617"/>
      <c r="K279" s="1699">
        <f>SUM(K238,K243,K257,K261,K270,K277,K278)</f>
        <v>48774</v>
      </c>
      <c r="L279" s="1699">
        <f>SUM(L238,L243,L257,L261,L270,L277,L278)</f>
        <v>37408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v>3649</v>
      </c>
      <c r="E282" s="617"/>
      <c r="F282" s="617"/>
      <c r="G282" s="617"/>
      <c r="H282" s="617"/>
      <c r="I282" s="617"/>
      <c r="J282" s="617"/>
      <c r="K282" s="1693">
        <f>D282</f>
        <v>3649</v>
      </c>
      <c r="L282" s="467">
        <v>7000</v>
      </c>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3649</v>
      </c>
      <c r="E285" s="617"/>
      <c r="F285" s="617"/>
      <c r="G285" s="617"/>
      <c r="H285" s="617"/>
      <c r="I285" s="617"/>
      <c r="J285" s="617"/>
      <c r="K285" s="1692">
        <f>SUM(K282:K284)</f>
        <v>3649</v>
      </c>
      <c r="L285" s="1692">
        <f>SUM(L282:L284)</f>
        <v>7000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111356</v>
      </c>
      <c r="E295" s="617"/>
      <c r="F295" s="617"/>
      <c r="G295" s="617"/>
      <c r="H295" s="1692">
        <f>H293</f>
        <v>0</v>
      </c>
      <c r="I295" s="617"/>
      <c r="J295" s="617"/>
      <c r="K295" s="1692">
        <f>SUM(K229,K279,K280,K285,K293,K294)</f>
        <v>111356</v>
      </c>
      <c r="L295" s="1692">
        <f>SUM(L229,L279,L280,L285,L293,L294)</f>
        <v>102682</v>
      </c>
    </row>
    <row r="296" spans="1:14" ht="13.5" thickTop="1" x14ac:dyDescent="0.2">
      <c r="A296" s="2175" t="s">
        <v>1053</v>
      </c>
      <c r="B296" s="2176"/>
      <c r="C296" s="617"/>
      <c r="D296" s="619"/>
      <c r="E296" s="617"/>
      <c r="F296" s="617"/>
      <c r="G296" s="617"/>
      <c r="H296" s="688"/>
      <c r="I296" s="617"/>
      <c r="J296" s="617"/>
      <c r="K296" s="1706">
        <f>'Revenues 9-14'!G275-'Expenditures 15-22'!K295</f>
        <v>-21856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40825</v>
      </c>
      <c r="F301" s="466">
        <v>12899</v>
      </c>
      <c r="G301" s="466">
        <v>62840</v>
      </c>
      <c r="H301" s="466"/>
      <c r="I301" s="467"/>
      <c r="J301" s="467"/>
      <c r="K301" s="1693">
        <f>SUM(C301:J301)</f>
        <v>116564</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40825</v>
      </c>
      <c r="F303" s="1699">
        <f t="shared" si="23"/>
        <v>12899</v>
      </c>
      <c r="G303" s="1699">
        <f t="shared" si="23"/>
        <v>62840</v>
      </c>
      <c r="H303" s="1699">
        <f t="shared" si="23"/>
        <v>0</v>
      </c>
      <c r="I303" s="1699">
        <f t="shared" si="23"/>
        <v>0</v>
      </c>
      <c r="J303" s="1699">
        <f t="shared" si="23"/>
        <v>0</v>
      </c>
      <c r="K303" s="1699">
        <f t="shared" si="23"/>
        <v>116564</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40825</v>
      </c>
      <c r="F312" s="1692">
        <f>SUM(F303)</f>
        <v>12899</v>
      </c>
      <c r="G312" s="1692">
        <f>SUM(G303)</f>
        <v>62840</v>
      </c>
      <c r="H312" s="1692">
        <f>SUM(H303,H310)</f>
        <v>0</v>
      </c>
      <c r="I312" s="1692">
        <f>SUM(I303)</f>
        <v>0</v>
      </c>
      <c r="J312" s="1692">
        <f>SUM(J303)</f>
        <v>0</v>
      </c>
      <c r="K312" s="1692">
        <f>SUM(K303,K310,K311)</f>
        <v>116564</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-11992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14068</v>
      </c>
      <c r="F320" s="467"/>
      <c r="G320" s="467"/>
      <c r="H320" s="467"/>
      <c r="I320" s="467"/>
      <c r="J320" s="467"/>
      <c r="K320" s="1693">
        <f t="shared" ref="K320:K327" si="24">SUM(C320:J320)</f>
        <v>14068</v>
      </c>
      <c r="L320" s="467">
        <v>14068</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56069</v>
      </c>
      <c r="F322" s="467"/>
      <c r="G322" s="467"/>
      <c r="H322" s="467"/>
      <c r="I322" s="467"/>
      <c r="J322" s="467"/>
      <c r="K322" s="1693">
        <f t="shared" si="24"/>
        <v>56069</v>
      </c>
      <c r="L322" s="467">
        <v>64187</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31391</v>
      </c>
      <c r="D325" s="467">
        <v>3130</v>
      </c>
      <c r="E325" s="467"/>
      <c r="F325" s="467"/>
      <c r="G325" s="467"/>
      <c r="H325" s="467"/>
      <c r="I325" s="467"/>
      <c r="J325" s="467"/>
      <c r="K325" s="1693">
        <f t="shared" si="24"/>
        <v>34521</v>
      </c>
      <c r="L325" s="467">
        <v>20000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31391</v>
      </c>
      <c r="D330" s="1692">
        <f t="shared" ref="D330:J330" si="25">SUM(D319:D329)</f>
        <v>3130</v>
      </c>
      <c r="E330" s="1692">
        <f t="shared" si="25"/>
        <v>70137</v>
      </c>
      <c r="F330" s="1692">
        <f t="shared" si="25"/>
        <v>0</v>
      </c>
      <c r="G330" s="1692">
        <f t="shared" si="25"/>
        <v>0</v>
      </c>
      <c r="H330" s="1692">
        <f t="shared" si="25"/>
        <v>0</v>
      </c>
      <c r="I330" s="1692">
        <f t="shared" si="25"/>
        <v>0</v>
      </c>
      <c r="J330" s="1692">
        <f t="shared" si="25"/>
        <v>0</v>
      </c>
      <c r="K330" s="1692">
        <f>SUM(K319:K329)</f>
        <v>104658</v>
      </c>
      <c r="L330" s="1692">
        <f>SUM(L319:L329)</f>
        <v>98255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31391</v>
      </c>
      <c r="D342" s="1692">
        <f>SUM(D330)</f>
        <v>3130</v>
      </c>
      <c r="E342" s="1692">
        <f>SUM(E330)</f>
        <v>70137</v>
      </c>
      <c r="F342" s="1692">
        <f>SUM(F330)</f>
        <v>0</v>
      </c>
      <c r="G342" s="1692">
        <f>SUM(G330)</f>
        <v>0</v>
      </c>
      <c r="H342" s="1692">
        <f>SUM(H330,H334,H340)</f>
        <v>0</v>
      </c>
      <c r="I342" s="1692">
        <f>SUM(I330)</f>
        <v>0</v>
      </c>
      <c r="J342" s="1692">
        <f>SUM(J330)</f>
        <v>0</v>
      </c>
      <c r="K342" s="1692">
        <f>SUM(K330,K334,K340)</f>
        <v>104658</v>
      </c>
      <c r="L342" s="1699">
        <f>SUM(L330,L340,L341)</f>
        <v>98255</v>
      </c>
    </row>
    <row r="343" spans="1:14" ht="12.75" customHeight="1" thickTop="1" x14ac:dyDescent="0.2">
      <c r="A343" s="2188" t="s">
        <v>1053</v>
      </c>
      <c r="B343" s="2189"/>
      <c r="C343" s="617"/>
      <c r="D343" s="617"/>
      <c r="E343" s="617"/>
      <c r="F343" s="617"/>
      <c r="G343" s="617"/>
      <c r="H343" s="617"/>
      <c r="I343" s="617"/>
      <c r="J343" s="617"/>
      <c r="K343" s="1706">
        <f>'Revenues 9-14'!J275-'Expenditures 15-22'!K342</f>
        <v>-6403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 and auditors' reports.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purl.org/dc/dcmitype/"/>
    <ds:schemaRef ds:uri="d21dc803-237d-4c68-8692-8d731fd29118"/>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purl.org/dc/elements/1.1/"/>
    <ds:schemaRef ds:uri="6ce3111e-7420-4802-b50a-75d4e9a0b980"/>
    <ds:schemaRef ds:uri="4d435f69-8686-490b-bd6d-b153bf22ab50"/>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2018-10-05T14:26:27Z</cp:lastPrinted>
  <dcterms:created xsi:type="dcterms:W3CDTF">2003-10-29T19:06:34Z</dcterms:created>
  <dcterms:modified xsi:type="dcterms:W3CDTF">2018-10-16T14:55:13Z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Paris Cooperative High School</vt:lpwstr>
  </property>
  <property fmtid="{D5CDD505-2E9C-101B-9397-08002B2CF9AE}" pid="6" name="PPC_Template_Engagement_Date">
    <vt:lpwstr>6/30/2018</vt:lpwstr>
  </property>
</Properties>
</file>