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calcMode="manual"/>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9" i="34"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6" i="179" l="1"/>
  <c r="L24" i="179"/>
  <c r="L21" i="179"/>
  <c r="L20" i="179"/>
  <c r="L19" i="179"/>
  <c r="L17"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B5286" i="106" s="1"/>
  <c r="D5286" i="106" s="1"/>
  <c r="C228" i="5"/>
  <c r="C259" i="5"/>
  <c r="B7761" i="106"/>
  <c r="L127" i="29"/>
  <c r="L129" i="29" s="1"/>
  <c r="L139" i="29"/>
  <c r="L149" i="29"/>
  <c r="I7" i="145"/>
  <c r="I6" i="145"/>
  <c r="D82" i="36"/>
  <c r="D78" i="36"/>
  <c r="K75" i="29"/>
  <c r="F52" i="34" s="1"/>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c r="B5118" i="106"/>
  <c r="D5118" i="106"/>
  <c r="B5119" i="106"/>
  <c r="D5119" i="106" s="1"/>
  <c r="B5122" i="106"/>
  <c r="D5122" i="106" s="1"/>
  <c r="B5123" i="106"/>
  <c r="D5123" i="106" s="1"/>
  <c r="B5124" i="106"/>
  <c r="D5124" i="106" s="1"/>
  <c r="B5126" i="106"/>
  <c r="D5126" i="106" s="1"/>
  <c r="B5127" i="106"/>
  <c r="D5127" i="106"/>
  <c r="D5128" i="106"/>
  <c r="D5129" i="106"/>
  <c r="D5130" i="106"/>
  <c r="D5131" i="106"/>
  <c r="B5133" i="106"/>
  <c r="D5133" i="106"/>
  <c r="B5134" i="106"/>
  <c r="D5134" i="106"/>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4" i="127"/>
  <c r="B65" i="127"/>
  <c r="D26" i="108"/>
  <c r="E26" i="108"/>
  <c r="F26" i="108"/>
  <c r="G26" i="108"/>
  <c r="D27" i="108"/>
  <c r="E27" i="108"/>
  <c r="F27" i="108"/>
  <c r="G27" i="108"/>
  <c r="E28" i="108"/>
  <c r="F28" i="108"/>
  <c r="F31" i="108"/>
  <c r="F36" i="108"/>
  <c r="F37" i="108"/>
  <c r="G28" i="108"/>
  <c r="E29" i="108"/>
  <c r="G29"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F128" i="34" s="1"/>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G5" i="4"/>
  <c r="B3409" i="106" s="1"/>
  <c r="D3409" i="106" s="1"/>
  <c r="G14" i="4"/>
  <c r="B2609" i="106" s="1"/>
  <c r="D2609" i="106" s="1"/>
  <c r="F13" i="4"/>
  <c r="B2596" i="106" s="1"/>
  <c r="D2596" i="106" s="1"/>
  <c r="K13" i="4"/>
  <c r="B3572" i="106" s="1"/>
  <c r="D3572"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F136" i="34"/>
  <c r="F130" i="34"/>
  <c r="F127" i="34"/>
  <c r="B5847" i="106"/>
  <c r="D5847" i="106" s="1"/>
  <c r="B5752" i="106"/>
  <c r="D5752" i="106" s="1"/>
  <c r="B5599" i="106"/>
  <c r="D5599" i="106" s="1"/>
  <c r="K274" i="5"/>
  <c r="H173" i="5"/>
  <c r="B5906" i="106" s="1"/>
  <c r="D5906" i="106" s="1"/>
  <c r="H109" i="5"/>
  <c r="B6025" i="106" s="1"/>
  <c r="D6025" i="106" s="1"/>
  <c r="F106" i="34"/>
  <c r="D7" i="7"/>
  <c r="B1763" i="106" s="1"/>
  <c r="D1763" i="106" s="1"/>
  <c r="H4" i="4"/>
  <c r="B2655" i="106" s="1"/>
  <c r="D2655" i="106" s="1"/>
  <c r="H6" i="4"/>
  <c r="B2656" i="106" s="1"/>
  <c r="D2656" i="106" s="1"/>
  <c r="B1746" i="106"/>
  <c r="D1746" i="106" s="1"/>
  <c r="D17" i="7"/>
  <c r="B4104" i="106" s="1"/>
  <c r="D4104" i="106" s="1"/>
  <c r="D12" i="7"/>
  <c r="B1769" i="106" s="1"/>
  <c r="D1769" i="106" s="1"/>
  <c r="D11" i="7"/>
  <c r="B1768" i="106" s="1"/>
  <c r="D1768" i="106" s="1"/>
  <c r="D15" i="7"/>
  <c r="B1772" i="106" s="1"/>
  <c r="D1772" i="106" s="1"/>
  <c r="D109" i="5" l="1"/>
  <c r="G4" i="4"/>
  <c r="B2603" i="106" s="1"/>
  <c r="D2603" i="106" s="1"/>
  <c r="F111" i="34"/>
  <c r="F131" i="34"/>
  <c r="B5770" i="106"/>
  <c r="D5770" i="106" s="1"/>
  <c r="D5" i="4"/>
  <c r="B3406" i="106" s="1"/>
  <c r="D3406" i="106" s="1"/>
  <c r="I173" i="5"/>
  <c r="B4216" i="106" s="1"/>
  <c r="D4216" i="106" s="1"/>
  <c r="E109" i="5"/>
  <c r="E4" i="4" s="1"/>
  <c r="B2630" i="106" s="1"/>
  <c r="D2630" i="106" s="1"/>
  <c r="L342" i="29"/>
  <c r="L312" i="29"/>
  <c r="D7245" i="106"/>
  <c r="I342" i="29"/>
  <c r="B7222" i="106" s="1"/>
  <c r="D7222" i="106" s="1"/>
  <c r="K24" i="12"/>
  <c r="D6103" i="106"/>
  <c r="G352" i="29"/>
  <c r="C352" i="29"/>
  <c r="K41" i="3"/>
  <c r="L15" i="11"/>
  <c r="B3459" i="106" s="1"/>
  <c r="D3459" i="106" s="1"/>
  <c r="H76" i="4"/>
  <c r="B3298" i="106" s="1"/>
  <c r="D3298" i="106" s="1"/>
  <c r="L13" i="11"/>
  <c r="B2060" i="106" s="1"/>
  <c r="D2060" i="106" s="1"/>
  <c r="K285" i="29"/>
  <c r="B1410" i="106"/>
  <c r="D1410" i="106" s="1"/>
  <c r="G210" i="29"/>
  <c r="B1329" i="106"/>
  <c r="D1329" i="106" s="1"/>
  <c r="F61" i="34"/>
  <c r="D54" i="36"/>
  <c r="C14" i="4"/>
  <c r="B2558" i="106" s="1"/>
  <c r="D2558" i="106" s="1"/>
  <c r="E30" i="108"/>
  <c r="C172" i="5"/>
  <c r="C109" i="5"/>
  <c r="B5121" i="106" s="1"/>
  <c r="D5121"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B7230" i="106"/>
  <c r="D7230" i="106" s="1"/>
  <c r="I352" i="29"/>
  <c r="I367" i="29" s="1"/>
  <c r="B7215" i="106"/>
  <c r="D7215" i="106" s="1"/>
  <c r="B7202" i="106"/>
  <c r="D7202" i="106" s="1"/>
  <c r="F342" i="29"/>
  <c r="B7219" i="106" s="1"/>
  <c r="D7219" i="106" s="1"/>
  <c r="B7503" i="106"/>
  <c r="B7531" i="106"/>
  <c r="D7253" i="106"/>
  <c r="B7214" i="106"/>
  <c r="D7214" i="106" s="1"/>
  <c r="B7221" i="106"/>
  <c r="D7221" i="106" s="1"/>
  <c r="B7201" i="106"/>
  <c r="D7201" i="106" s="1"/>
  <c r="E342" i="29"/>
  <c r="B7218" i="106" s="1"/>
  <c r="D7218" i="106" s="1"/>
  <c r="B6917" i="106"/>
  <c r="D6917" i="106" s="1"/>
  <c r="J74" i="29"/>
  <c r="D273" i="5"/>
  <c r="B5501" i="106" s="1"/>
  <c r="D5501" i="106" s="1"/>
  <c r="D7255"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K365" i="29"/>
  <c r="K367" i="29" s="1"/>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J7" i="4"/>
  <c r="B2657" i="106"/>
  <c r="D2657" i="106" s="1"/>
  <c r="H8" i="4"/>
  <c r="B3447" i="106"/>
  <c r="D3447" i="106" s="1"/>
  <c r="B7270" i="106"/>
  <c r="F73" i="34" l="1"/>
  <c r="G15" i="4"/>
  <c r="B6032" i="106" s="1"/>
  <c r="D6032" i="106" s="1"/>
  <c r="B3568" i="106"/>
  <c r="D3568" i="106" s="1"/>
  <c r="D52" i="36"/>
  <c r="B3649" i="106"/>
  <c r="D3649" i="106" s="1"/>
  <c r="G367" i="29"/>
  <c r="B3650" i="106" s="1"/>
  <c r="D3650" i="106" s="1"/>
  <c r="B7733" i="106"/>
  <c r="D7733" i="106" s="1"/>
  <c r="K26" i="12"/>
  <c r="B7743" i="106" s="1"/>
  <c r="D7743" i="106" s="1"/>
  <c r="D19" i="7"/>
  <c r="B1775" i="106" s="1"/>
  <c r="D1775" i="106" s="1"/>
  <c r="D274" i="5"/>
  <c r="D7254" i="106"/>
  <c r="D7256" i="106"/>
  <c r="D7251" i="106"/>
  <c r="J16" i="4"/>
  <c r="B6226" i="106" s="1"/>
  <c r="D6226" i="106" s="1"/>
  <c r="D7250" i="106"/>
  <c r="F274" i="5"/>
  <c r="F275" i="5" s="1"/>
  <c r="B5720" i="106" s="1"/>
  <c r="D5720" i="106" s="1"/>
  <c r="C4" i="4"/>
  <c r="B2551" i="106" s="1"/>
  <c r="D2551" i="106" s="1"/>
  <c r="B1365" i="106"/>
  <c r="D1365" i="106" s="1"/>
  <c r="F65" i="34"/>
  <c r="B3621" i="106"/>
  <c r="D3621" i="106" s="1"/>
  <c r="C367" i="29"/>
  <c r="B3622" i="106" s="1"/>
  <c r="D3622" i="106" s="1"/>
  <c r="H367" i="29"/>
  <c r="B3660" i="106" s="1"/>
  <c r="D3660" i="106" s="1"/>
  <c r="B5356" i="106"/>
  <c r="D5356" i="106" s="1"/>
  <c r="D4" i="4"/>
  <c r="B2564" i="106" s="1"/>
  <c r="D2564" i="106" s="1"/>
  <c r="L16" i="11"/>
  <c r="B2061" i="106" s="1"/>
  <c r="D2061" i="106" s="1"/>
  <c r="C114" i="29"/>
  <c r="B757" i="106" s="1"/>
  <c r="D757" i="106" s="1"/>
  <c r="B5214" i="106"/>
  <c r="D5214" i="106" s="1"/>
  <c r="C173" i="5"/>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6222" i="106"/>
  <c r="D6222" i="106" s="1"/>
  <c r="J8" i="4"/>
  <c r="B2658" i="106"/>
  <c r="D2658" i="106" s="1"/>
  <c r="H10" i="4"/>
  <c r="B4127" i="106" s="1"/>
  <c r="D4127" i="106" s="1"/>
  <c r="D7" i="4"/>
  <c r="D275" i="5"/>
  <c r="B5507" i="106"/>
  <c r="D5507" i="106" s="1"/>
  <c r="B7298" i="106"/>
  <c r="B7299" i="106"/>
  <c r="G41" i="108" l="1"/>
  <c r="G44" i="108" s="1"/>
  <c r="G45" i="108" s="1"/>
  <c r="E41" i="108"/>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E44" i="108"/>
  <c r="E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<sst xmlns="http://schemas.openxmlformats.org/spreadsheetml/2006/main" count="5070" uniqueCount="2129">
  <si>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</si>
  <si>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</si>
  <si>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</si>
  <si>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</si>
  <si>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</si>
  <si>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</si>
  <si>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</si>
  <si>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</si>
  <si>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</si>
  <si>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</si>
  <si>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</si>
  <si>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</si>
  <si>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</si>
  <si>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</si>
  <si>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</si>
  <si>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</si>
  <si>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</si>
  <si>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</si>
  <si>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</si>
  <si>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</si>
  <si>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</si>
  <si>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</si>
  <si>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</si>
  <si>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</si>
  <si>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</si>
  <si>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</si>
  <si>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</si>
  <si>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</si>
  <si>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</si>
  <si>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</si>
  <si>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</si>
  <si>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</si>
  <si>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</si>
  <si>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</si>
  <si>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</si>
  <si>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</si>
  <si>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</si>
  <si>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</si>
  <si>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</si>
  <si>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</si>
  <si>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</si>
  <si>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</si>
  <si>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</si>
  <si>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</si>
  <si>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</si>
  <si>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</si>
  <si>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</si>
  <si>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</si>
  <si>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</si>
  <si>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</si>
  <si>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</si>
  <si>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</si>
  <si>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</si>
  <si>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</si>
  <si>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</si>
  <si>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</si>
  <si>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</si>
  <si>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</si>
  <si>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</si>
  <si>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</si>
  <si>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</si>
  <si>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</si>
  <si>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</si>
  <si>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</si>
  <si>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</si>
  <si>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</si>
  <si>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</si>
  <si>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</si>
  <si>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</si>
  <si>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</si>
  <si>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</si>
  <si>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</si>
  <si>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</si>
  <si>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</si>
  <si>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</si>
  <si>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</si>
  <si>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</si>
  <si>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</si>
  <si>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</si>
  <si>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</si>
  <si>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</si>
  <si>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</si>
  <si>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</si>
  <si>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</si>
  <si>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</si>
  <si>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</si>
  <si>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</si>
  <si>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</si>
  <si>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</si>
  <si>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</si>
  <si>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</si>
  <si>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</si>
  <si>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</si>
  <si>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</si>
  <si>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</si>
  <si>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</si>
  <si>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</si>
  <si>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</si>
  <si>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</si>
  <si>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</si>
  <si>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</si>
  <si>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</si>
  <si>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</si>
  <si>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</si>
  <si>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</si>
  <si>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</si>
  <si>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</si>
  <si>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</si>
  <si>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</si>
  <si>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</si>
  <si>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</si>
  <si>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</si>
  <si>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</si>
  <si>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</si>
  <si>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</si>
  <si>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</si>
  <si>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</si>
  <si>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</si>
  <si>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</si>
  <si>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</si>
  <si>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</si>
  <si>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</si>
  <si>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</si>
  <si>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</si>
  <si>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</si>
  <si>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</si>
  <si>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</si>
  <si>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</si>
  <si>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</si>
  <si>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</si>
  <si>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</si>
  <si>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</si>
  <si>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</si>
  <si>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</si>
  <si>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</si>
  <si>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</si>
  <si>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</si>
  <si>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</si>
  <si>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</si>
  <si>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</si>
  <si>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</si>
  <si>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</si>
  <si>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</si>
  <si>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</si>
  <si>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</si>
  <si>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</si>
  <si>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</si>
  <si>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</si>
  <si>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</si>
  <si>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</si>
  <si>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</si>
  <si>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</si>
  <si>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</si>
  <si>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</si>
  <si>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</si>
  <si>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</si>
  <si>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</si>
  <si>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</si>
  <si>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</si>
  <si>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</si>
  <si>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</si>
  <si>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</si>
  <si>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</si>
  <si>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</si>
  <si>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</si>
  <si>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</si>
  <si>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</si>
  <si>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</si>
  <si>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</si>
  <si>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</si>
  <si>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</si>
  <si>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</si>
  <si>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</si>
  <si>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</si>
  <si>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</si>
  <si>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</si>
  <si>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</si>
  <si>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</si>
  <si>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</si>
  <si>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</si>
  <si>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</si>
  <si>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</si>
  <si>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</si>
  <si>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</si>
  <si>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</si>
  <si>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</si>
  <si>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</si>
  <si>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</si>
  <si>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</si>
  <si>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</si>
  <si>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</si>
  <si>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</si>
  <si>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</si>
  <si>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</si>
  <si>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</si>
  <si>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</si>
  <si>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</si>
  <si>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</si>
  <si>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</si>
  <si>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</si>
  <si>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</si>
  <si>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</si>
  <si>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</si>
  <si>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</si>
  <si>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</si>
  <si>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</si>
  <si>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</si>
  <si>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</si>
  <si>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</si>
  <si>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</si>
  <si>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</si>
  <si>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</si>
  <si>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</si>
  <si>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</si>
  <si>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</si>
  <si>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</si>
  <si>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</si>
  <si>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</si>
  <si>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</si>
  <si>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</si>
  <si>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</si>
  <si>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</si>
  <si>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</si>
  <si>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</si>
  <si>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</si>
  <si>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</si>
  <si>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</si>
  <si>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</si>
  <si>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</si>
  <si>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</si>
  <si>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</si>
  <si>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</si>
  <si>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</si>
  <si>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</si>
  <si>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</si>
  <si>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</si>
  <si>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</si>
  <si>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</si>
  <si>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</si>
  <si>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</si>
  <si>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</si>
  <si>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</si>
  <si>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</si>
  <si>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</si>
  <si>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</si>
  <si>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</si>
  <si>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</si>
  <si>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</si>
  <si>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</si>
  <si>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</si>
  <si>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</si>
  <si>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</si>
  <si>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</si>
  <si>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</si>
  <si>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</si>
  <si>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</si>
  <si>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</si>
  <si>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</si>
  <si>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</si>
  <si>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</si>
  <si>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</si>
  <si>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</si>
  <si>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</si>
  <si>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</si>
  <si>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</si>
  <si>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</si>
  <si>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</si>
  <si>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</si>
  <si>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</si>
  <si>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</si>
  <si>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</si>
  <si>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</si>
  <si>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</si>
  <si>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</si>
  <si>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</si>
  <si>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</si>
  <si>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</si>
  <si>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</si>
  <si>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</si>
  <si>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</si>
  <si>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</si>
  <si>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</si>
  <si>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</si>
  <si>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</si>
  <si>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</si>
  <si>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</si>
  <si>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</si>
  <si>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</si>
  <si>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</si>
  <si>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</si>
  <si>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</si>
  <si>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</si>
  <si>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</si>
  <si>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</si>
  <si>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</si>
  <si>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</si>
  <si>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</si>
  <si>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</si>
  <si>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</si>
  <si>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</si>
  <si>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</si>
  <si>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</si>
  <si>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</si>
  <si>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</si>
  <si>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</si>
  <si>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</si>
  <si>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</si>
  <si>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</si>
  <si>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</si>
  <si>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</si>
  <si>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</si>
  <si>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</si>
  <si>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</si>
  <si>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</si>
  <si>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</si>
  <si>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</si>
  <si>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</si>
  <si>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</si>
  <si>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</si>
  <si>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</si>
  <si>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</si>
  <si>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</si>
  <si>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</si>
  <si>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</si>
  <si>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</si>
  <si>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</si>
  <si>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</si>
  <si>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</si>
  <si>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</si>
  <si>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</si>
  <si>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</si>
  <si>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</si>
  <si>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</si>
  <si>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</si>
  <si>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</si>
  <si>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</si>
  <si>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</si>
  <si>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</si>
  <si>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</si>
  <si>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</si>
  <si>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</si>
  <si>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</si>
  <si>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</si>
  <si>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</si>
  <si>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</si>
  <si>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</si>
  <si>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</si>
  <si>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</si>
  <si>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</si>
  <si>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</si>
  <si>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</si>
  <si>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</si>
  <si>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</si>
  <si>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</si>
  <si>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</si>
  <si>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</si>
  <si>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</si>
  <si>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</si>
  <si>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</si>
  <si>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</si>
  <si>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</si>
  <si>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</si>
  <si>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</si>
  <si>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</si>
  <si>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</si>
  <si>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</si>
  <si>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</si>
  <si>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</si>
  <si>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</si>
  <si>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</si>
  <si>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</si>
  <si>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</si>
  <si>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</si>
  <si>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</si>
  <si>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</si>
  <si>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</si>
  <si>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</si>
  <si>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</si>
  <si>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</si>
  <si>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</si>
  <si>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</si>
  <si>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</si>
  <si>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</si>
  <si>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</si>
  <si>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</si>
  <si>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</si>
  <si>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</si>
  <si>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</si>
  <si>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</si>
  <si>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</si>
  <si>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</si>
  <si>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</si>
  <si>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</si>
  <si>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</si>
  <si>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</si>
  <si>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</si>
  <si>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</si>
  <si>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</si>
  <si>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</si>
  <si>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</si>
  <si>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</si>
  <si>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</si>
  <si>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</si>
  <si>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</si>
  <si>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</si>
  <si>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</si>
  <si>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</si>
  <si>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</si>
  <si>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</si>
  <si>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</si>
  <si>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</si>
  <si>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</si>
  <si>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</si>
  <si>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</si>
  <si>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</si>
  <si>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</si>
  <si>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</si>
  <si>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</si>
  <si>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</si>
  <si>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</si>
  <si>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</si>
  <si>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</si>
  <si>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</si>
  <si>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</si>
  <si>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</si>
  <si>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</si>
  <si>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</si>
  <si>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</si>
  <si>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</si>
  <si>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</si>
  <si>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</si>
  <si>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</si>
  <si>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</si>
  <si>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</si>
  <si>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</si>
  <si>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</si>
  <si>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</si>
  <si>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</si>
  <si>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</si>
  <si>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</si>
  <si>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</si>
  <si>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</si>
  <si>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</si>
  <si>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</si>
  <si>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</si>
  <si>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</si>
  <si>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</si>
  <si>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</si>
  <si>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</si>
  <si>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</si>
  <si>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</si>
  <si>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</si>
  <si>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</si>
  <si>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</si>
  <si>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</si>
  <si>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</si>
  <si>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</si>
  <si>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</si>
  <si>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</si>
  <si>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</si>
  <si>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</si>
  <si>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</si>
  <si>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</si>
  <si>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</si>
  <si>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</si>
  <si>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</si>
  <si>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</si>
  <si>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</si>
  <si>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</si>
  <si>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</si>
  <si>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</si>
  <si>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</si>
  <si>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</si>
  <si>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</si>
  <si>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</si>
  <si>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</si>
  <si>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</si>
  <si>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</si>
  <si>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</si>
  <si>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</si>
  <si>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</si>
  <si>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</si>
  <si>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</si>
  <si>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</si>
  <si>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</si>
  <si>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</si>
  <si>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</si>
  <si>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</si>
  <si>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</si>
  <si>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</si>
  <si>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</si>
  <si>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</si>
  <si>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</si>
  <si>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</si>
  <si>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</si>
  <si>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</si>
  <si>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</si>
  <si>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</si>
  <si>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</si>
  <si>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</si>
  <si>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</si>
  <si>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</si>
  <si>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</si>
  <si>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</si>
  <si>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</si>
  <si>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</si>
  <si>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</si>
  <si>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</si>
  <si>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</si>
  <si>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</si>
  <si>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</si>
  <si>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</si>
  <si>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</si>
  <si>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</si>
  <si>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</si>
  <si>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</si>
  <si>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</si>
  <si>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</si>
  <si>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</si>
  <si>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</si>
  <si>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</si>
  <si>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</si>
  <si>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</si>
  <si>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</si>
  <si>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</si>
  <si>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</si>
  <si>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</si>
  <si>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</si>
  <si>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</si>
  <si>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</si>
  <si>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</si>
  <si>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</si>
  <si>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</si>
  <si>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</si>
  <si>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</si>
  <si>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</si>
  <si>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</si>
  <si>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</si>
  <si>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</si>
  <si>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</si>
  <si>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</si>
  <si>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</si>
  <si>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</si>
  <si>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</si>
  <si>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</si>
  <si>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</si>
  <si>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</si>
  <si>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</si>
  <si>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</si>
  <si>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</si>
  <si>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</si>
  <si>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</si>
  <si>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</si>
  <si>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</si>
  <si>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</si>
  <si>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</si>
  <si>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</si>
  <si>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</si>
  <si>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</si>
  <si>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</si>
  <si>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</si>
  <si>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</si>
  <si>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</si>
  <si>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</si>
  <si>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</si>
  <si>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</si>
  <si>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</si>
  <si>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</si>
  <si>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</si>
  <si>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</si>
  <si>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</si>
  <si>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</si>
  <si>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</si>
  <si>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</si>
  <si>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</si>
  <si>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</si>
  <si>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</si>
  <si>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</si>
  <si>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</si>
  <si>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</si>
  <si>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</si>
  <si>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</si>
  <si>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</si>
  <si>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</si>
  <si>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</si>
  <si>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</si>
  <si>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</si>
  <si>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</si>
  <si>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</si>
  <si>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</si>
  <si>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</si>
  <si>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</si>
  <si>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</si>
  <si>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</si>
  <si>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</si>
  <si>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</si>
  <si>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</si>
  <si>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</si>
  <si>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</si>
  <si>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</si>
  <si>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</si>
  <si>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</si>
  <si>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</si>
  <si>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</si>
  <si>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</si>
  <si>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</si>
  <si>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</si>
  <si>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</si>
  <si>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</si>
  <si>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</si>
  <si>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</si>
  <si>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</si>
  <si>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</si>
  <si>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</si>
  <si>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</si>
  <si>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</si>
  <si>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</si>
  <si>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</si>
  <si>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</si>
  <si>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</si>
  <si>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</si>
  <si>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</si>
  <si>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</si>
  <si>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</si>
  <si>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</si>
  <si>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</si>
  <si>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</si>
  <si>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</si>
  <si>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</si>
  <si>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</si>
  <si>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</si>
  <si>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</si>
  <si>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</si>
  <si>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</si>
  <si>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</si>
  <si>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</si>
  <si>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</si>
  <si>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</si>
  <si>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</si>
  <si>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</si>
  <si>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</si>
  <si>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</si>
  <si>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</si>
  <si>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</si>
  <si>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</si>
  <si>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</si>
  <si>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</si>
  <si>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</si>
  <si>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</si>
  <si>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</si>
  <si>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</si>
  <si>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</si>
  <si>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</si>
  <si>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</si>
  <si>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</si>
  <si>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</si>
  <si>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</si>
  <si>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</si>
  <si>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</si>
  <si>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</si>
  <si>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</si>
  <si>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</si>
  <si>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</si>
  <si>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</si>
  <si>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</si>
  <si>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</si>
  <si>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</si>
  <si>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</si>
  <si>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</si>
  <si>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</si>
  <si>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</si>
  <si>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</si>
  <si>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</si>
  <si>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</si>
  <si>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</si>
  <si>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</si>
  <si>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</si>
  <si>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</si>
  <si>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</si>
  <si>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</si>
  <si>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</si>
  <si>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</si>
  <si>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</si>
  <si>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</si>
  <si>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</si>
  <si>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</si>
  <si>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</si>
  <si>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</si>
  <si>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</si>
  <si>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</si>
  <si>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</si>
  <si>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</si>
  <si>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</si>
  <si>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</si>
  <si>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</si>
  <si>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</si>
  <si>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</si>
  <si>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</si>
  <si>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</si>
  <si>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</si>
  <si>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</si>
  <si>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</si>
  <si>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</si>
  <si>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</si>
  <si>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</si>
  <si>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</si>
  <si>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</si>
  <si>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</si>
  <si>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</si>
  <si>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</si>
  <si>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</si>
  <si>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</si>
  <si>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</si>
  <si>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</si>
  <si>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</si>
  <si>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</si>
  <si>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</si>
  <si>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</si>
  <si>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</si>
  <si>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</si>
  <si>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</si>
  <si>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</si>
  <si>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</si>
  <si>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</si>
  <si>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</si>
  <si>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</si>
  <si>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</si>
  <si>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</si>
  <si>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</si>
  <si>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</si>
  <si>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</si>
  <si>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</si>
  <si>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</si>
  <si>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</si>
  <si>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</si>
  <si>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</si>
  <si>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</si>
  <si>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</si>
  <si>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</si>
  <si>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</si>
  <si>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</si>
  <si>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</si>
  <si>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</si>
  <si>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</si>
  <si>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</si>
  <si>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</si>
  <si>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</si>
  <si>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</si>
  <si>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</si>
  <si>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</si>
  <si>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</si>
  <si>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</si>
  <si>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</si>
  <si>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</si>
  <si>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</si>
  <si>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</si>
  <si>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</si>
  <si>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</si>
  <si>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</si>
  <si>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</si>
  <si>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</si>
  <si>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</si>
  <si>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</si>
  <si>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</si>
  <si>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</si>
  <si>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</si>
  <si>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</si>
  <si>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</si>
  <si>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</si>
  <si>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</si>
  <si>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</si>
  <si>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</si>
  <si>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</si>
  <si>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</si>
  <si>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</si>
  <si>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</si>
  <si>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</si>
  <si>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</si>
  <si>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</si>
  <si>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</si>
  <si>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</si>
  <si>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</si>
  <si>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</si>
  <si>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</si>
  <si>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</si>
  <si>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</si>
  <si>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</si>
  <si>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</si>
  <si>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</si>
  <si>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</si>
  <si>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</si>
  <si>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</si>
  <si>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</si>
  <si>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</si>
  <si>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</si>
  <si>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</si>
  <si>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</si>
  <si>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</si>
  <si>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</si>
  <si>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</si>
  <si>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</si>
  <si>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</si>
  <si>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</si>
  <si>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</si>
  <si>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</si>
  <si>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</si>
  <si>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</si>
  <si>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</si>
  <si>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</si>
  <si>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</si>
  <si>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</si>
  <si>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</si>
  <si>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</si>
  <si>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</si>
  <si>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</si>
  <si>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</si>
  <si>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</si>
  <si>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</si>
  <si>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</si>
  <si>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</si>
  <si>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</si>
  <si>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</si>
  <si>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</si>
  <si>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</si>
  <si>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</si>
  <si>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</si>
  <si>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</si>
  <si>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</si>
  <si>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</si>
  <si>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</si>
  <si>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</si>
  <si>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</si>
  <si>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</si>
  <si>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</si>
  <si>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</si>
  <si>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</si>
  <si>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</si>
  <si>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</si>
  <si>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</si>
  <si>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</si>
  <si>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</si>
  <si>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</si>
  <si>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</si>
  <si>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</si>
  <si>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</si>
  <si>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</si>
  <si>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</si>
  <si>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</si>
  <si>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</si>
  <si>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</si>
  <si>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</si>
  <si>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</si>
  <si>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</si>
  <si>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</si>
  <si>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</si>
  <si>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</si>
  <si>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</si>
  <si>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</si>
  <si>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</si>
  <si>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</si>
  <si>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</si>
  <si>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</si>
  <si>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</si>
  <si>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</si>
  <si>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</si>
  <si>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</si>
  <si>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</si>
  <si>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</si>
  <si>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</si>
  <si>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</si>
  <si>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</si>
  <si>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</si>
  <si>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</si>
  <si>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</si>
  <si>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</si>
  <si>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</si>
  <si>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</si>
  <si>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</si>
  <si>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</si>
  <si>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</si>
  <si>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</si>
  <si>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</si>
  <si>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</si>
  <si>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</si>
  <si>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</si>
  <si>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</si>
  <si>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</si>
  <si>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</si>
  <si>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</si>
  <si>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</si>
  <si>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</si>
  <si>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</si>
  <si>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</si>
  <si>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</si>
  <si>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</si>
  <si>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</si>
  <si>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</si>
  <si>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</si>
  <si>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</si>
  <si>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</si>
  <si>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</si>
  <si>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</si>
  <si>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</si>
  <si>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</si>
  <si>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</si>
  <si>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</si>
  <si>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</si>
  <si>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</si>
  <si>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</si>
  <si>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</si>
  <si>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</si>
  <si>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</si>
  <si>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</si>
  <si>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</si>
  <si>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</si>
  <si>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</si>
  <si>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</si>
  <si>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</si>
  <si>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</si>
  <si>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</si>
  <si>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</si>
  <si>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</si>
  <si>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</si>
  <si>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</si>
  <si>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</si>
  <si>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</si>
  <si>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</si>
  <si>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</si>
  <si>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</si>
  <si>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</si>
  <si>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</si>
  <si>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</si>
  <si>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</si>
  <si>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</si>
  <si>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</si>
  <si>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</si>
  <si>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</si>
  <si>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</si>
  <si>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</si>
  <si>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</si>
  <si>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</si>
  <si>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</si>
  <si>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</si>
  <si>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</si>
  <si>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</si>
  <si>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</si>
  <si>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</si>
  <si>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</si>
  <si>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</si>
  <si>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</si>
  <si>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</si>
  <si>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</si>
  <si>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</si>
  <si>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</si>
  <si>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</si>
  <si>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</si>
  <si>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</si>
  <si>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</si>
  <si>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</si>
  <si>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</si>
  <si>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</si>
  <si>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</si>
  <si>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</si>
  <si>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</si>
  <si>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</si>
  <si>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</si>
  <si>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</si>
  <si>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</si>
  <si>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</si>
  <si>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</si>
  <si>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</si>
  <si>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</si>
  <si>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</si>
  <si>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</si>
  <si>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</si>
  <si>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</si>
  <si>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</si>
  <si>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</si>
  <si>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</si>
  <si>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</si>
  <si>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</si>
  <si>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</si>
  <si>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</si>
  <si>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</si>
  <si>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</si>
  <si>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</si>
  <si>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</si>
  <si>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</si>
  <si>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</si>
  <si>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</si>
  <si>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</si>
  <si>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</si>
  <si>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</si>
  <si>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</si>
  <si>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</si>
  <si>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</si>
  <si>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</si>
  <si>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</si>
  <si>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</si>
  <si>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</si>
  <si>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</si>
  <si>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</si>
  <si>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</si>
  <si>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</si>
  <si>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</si>
  <si>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</si>
  <si>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</si>
  <si>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</si>
  <si>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</si>
  <si>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</si>
  <si>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</si>
  <si>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</si>
  <si>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</si>
  <si>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</si>
  <si>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</si>
  <si>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</si>
  <si>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</si>
  <si>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</si>
  <si>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</si>
  <si>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</si>
  <si>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</si>
  <si>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</si>
  <si>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</si>
  <si>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</si>
  <si>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</si>
  <si>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</si>
  <si>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</si>
  <si>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</si>
  <si>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</si>
  <si>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</si>
  <si>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</si>
  <si>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</si>
  <si>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</si>
  <si>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</si>
  <si>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</si>
  <si>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</si>
  <si>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</si>
  <si>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</si>
  <si>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</si>
  <si>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</si>
  <si>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</si>
  <si>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</si>
  <si>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</si>
  <si>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</si>
  <si>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</si>
  <si>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</si>
  <si>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</si>
  <si>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</si>
  <si>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</si>
  <si>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</si>
  <si>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</si>
  <si>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</si>
  <si>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</si>
  <si>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</si>
  <si>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</si>
  <si>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</si>
  <si>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</si>
  <si>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</si>
  <si>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</si>
  <si>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</si>
  <si>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</si>
  <si>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</si>
  <si>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</si>
  <si>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</si>
  <si>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</si>
  <si>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</si>
  <si>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</si>
  <si>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</si>
  <si>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</si>
  <si>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</si>
  <si>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</si>
  <si>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</si>
  <si>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</si>
  <si>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</si>
  <si>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</si>
  <si>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</si>
  <si>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</si>
  <si>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</si>
  <si>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</si>
  <si>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</si>
  <si>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</si>
  <si>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</si>
  <si>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</si>
  <si>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</si>
  <si>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</si>
  <si>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</si>
  <si>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</si>
  <si>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</si>
  <si>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</si>
  <si>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</si>
  <si>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</si>
  <si>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</si>
  <si>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</si>
  <si>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</si>
  <si>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</si>
  <si>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</si>
  <si>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</si>
  <si>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</si>
  <si>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</si>
  <si>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</si>
  <si>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</si>
  <si>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</si>
  <si>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</si>
  <si>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</si>
  <si>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</si>
  <si>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</si>
  <si>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</si>
  <si>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</si>
  <si>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</si>
  <si>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</si>
  <si>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</si>
  <si>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</si>
  <si>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</si>
  <si>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</si>
  <si>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</si>
  <si>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</si>
  <si>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</si>
  <si>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</si>
  <si>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</si>
  <si>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</si>
  <si>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</si>
  <si>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</si>
  <si>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</si>
  <si>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</si>
  <si>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</si>
  <si>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</si>
  <si>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</si>
  <si>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</si>
  <si>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</si>
  <si>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</si>
  <si>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</si>
  <si>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</si>
  <si>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</si>
  <si>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</si>
  <si>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</si>
  <si>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</si>
  <si>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</si>
  <si>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</si>
  <si>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</si>
  <si>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</si>
  <si>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</si>
  <si>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</si>
  <si>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</si>
  <si>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</si>
  <si>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</si>
  <si>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</si>
  <si>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</si>
  <si>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</si>
  <si>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</si>
  <si>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</si>
  <si>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</si>
  <si>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</si>
  <si>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</si>
  <si>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</si>
  <si>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</si>
  <si>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</si>
  <si>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</si>
  <si>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</si>
  <si>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</si>
  <si>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</si>
  <si>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</si>
  <si>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</si>
  <si>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</si>
  <si>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</si>
  <si>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</si>
  <si>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</si>
  <si>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</si>
  <si>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</si>
  <si>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</si>
  <si>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</si>
  <si>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</si>
  <si>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</si>
  <si>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</si>
  <si>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</si>
  <si>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</si>
  <si>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</si>
  <si>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</si>
  <si>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</si>
  <si>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</si>
  <si>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</si>
  <si>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</si>
  <si>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</si>
  <si>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</si>
  <si>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</si>
  <si>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</si>
  <si>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</si>
  <si>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</si>
  <si>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</si>
  <si>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</si>
  <si>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</si>
  <si>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</si>
  <si>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</si>
  <si>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</si>
  <si>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</si>
  <si>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</si>
  <si>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</si>
  <si>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</si>
  <si>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</si>
  <si>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</si>
  <si>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</si>
  <si>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</si>
  <si>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</si>
  <si>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</si>
  <si>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</si>
  <si>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</si>
  <si>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</si>
  <si>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</si>
  <si>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</si>
  <si>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</si>
  <si>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</si>
  <si>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</si>
  <si>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</si>
  <si>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</si>
  <si>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</si>
  <si>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</si>
  <si>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</si>
  <si>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</si>
  <si>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</si>
  <si>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</si>
  <si>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</si>
  <si>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</si>
  <si>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</si>
  <si>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</si>
  <si>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</si>
  <si>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</si>
  <si>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</si>
  <si>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</si>
  <si>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</si>
  <si>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</si>
  <si>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</si>
  <si>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</si>
  <si>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</si>
  <si>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</si>
  <si>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</si>
  <si>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</si>
  <si>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</si>
  <si>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</si>
  <si>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</si>
  <si>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</si>
  <si>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</si>
  <si>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</si>
  <si>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</si>
  <si>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</si>
  <si>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</si>
  <si>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</si>
  <si>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</si>
  <si>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</si>
  <si>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</si>
  <si>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</si>
  <si>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</si>
  <si>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</si>
  <si>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</si>
  <si>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</si>
  <si>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</si>
  <si>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</si>
  <si>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</si>
  <si>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</si>
  <si>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</si>
  <si>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</si>
  <si>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</si>
  <si>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</si>
  <si>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</si>
  <si>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</si>
  <si>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</si>
  <si>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</si>
  <si>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</si>
  <si>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</si>
  <si>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</si>
  <si>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</si>
  <si>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</si>
  <si>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</si>
  <si>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</si>
  <si>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</si>
  <si>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</si>
  <si>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</si>
  <si>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</si>
  <si>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</si>
  <si>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</si>
  <si>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</si>
  <si>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</si>
  <si>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</si>
  <si>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</si>
  <si>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</si>
  <si>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</si>
  <si>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</si>
  <si>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</si>
  <si>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</si>
  <si>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</si>
  <si>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</si>
  <si>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</si>
  <si>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</si>
  <si>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</si>
  <si>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</si>
  <si>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</si>
  <si>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</si>
  <si>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</si>
  <si>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</si>
  <si>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</si>
  <si>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</si>
  <si>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</si>
  <si>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</si>
  <si>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</si>
  <si>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</si>
  <si>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</si>
  <si>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</si>
  <si>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</si>
  <si>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</si>
  <si>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</si>
  <si>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</si>
  <si>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</si>
  <si>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</si>
  <si>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</si>
  <si>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</si>
  <si>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</si>
  <si>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</si>
  <si>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</si>
  <si>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</si>
  <si>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</si>
  <si>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</si>
  <si>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</si>
  <si>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</si>
  <si>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</si>
  <si>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</si>
  <si>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</si>
  <si>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</si>
  <si>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</si>
  <si>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</si>
  <si>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</si>
  <si>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</si>
  <si>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</si>
  <si>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</si>
  <si>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</si>
  <si>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</si>
  <si>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</si>
  <si>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</si>
  <si>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</si>
  <si>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</si>
  <si>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</si>
  <si>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</si>
  <si>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</si>
  <si>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</si>
  <si>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</si>
  <si>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</si>
  <si>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</si>
  <si>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</si>
  <si>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</si>
  <si>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</si>
  <si>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</si>
  <si>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</si>
  <si>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</si>
  <si>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</si>
  <si>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</si>
  <si>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</si>
  <si>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</si>
  <si>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</si>
  <si>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</si>
  <si>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</si>
  <si>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</si>
  <si>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</si>
  <si>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</si>
  <si>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</si>
  <si>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</si>
  <si>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</si>
  <si>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</si>
  <si>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</si>
  <si>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</si>
  <si>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</si>
  <si>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</si>
  <si>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</si>
  <si>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</si>
  <si>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</si>
  <si>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</si>
  <si>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</si>
  <si>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</si>
  <si>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</si>
  <si>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</si>
  <si>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</si>
  <si>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</si>
  <si>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</si>
  <si>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</si>
  <si>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</si>
  <si>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</si>
  <si>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</si>
  <si>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</si>
  <si>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</si>
  <si>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</si>
  <si>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</si>
  <si>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</si>
  <si>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</si>
  <si>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</si>
  <si>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</si>
  <si>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</si>
  <si>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</si>
  <si>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</si>
  <si>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</si>
  <si>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</si>
  <si>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</si>
  <si>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</si>
  <si>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</si>
  <si>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</si>
  <si>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</si>
  <si>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</si>
  <si>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</si>
  <si>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</si>
  <si>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</si>
  <si>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</si>
  <si>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</si>
  <si>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</si>
  <si>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</si>
  <si>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</si>
  <si>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</si>
  <si>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</si>
  <si>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</si>
  <si>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</si>
  <si>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</si>
  <si>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</si>
  <si>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</si>
  <si>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</si>
  <si>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</si>
  <si>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</si>
  <si>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</si>
  <si>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</si>
  <si>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</si>
  <si>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</si>
  <si>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</si>
  <si>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</si>
  <si>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</si>
  <si>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</si>
  <si>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</si>
  <si>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</si>
  <si>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</si>
  <si>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</si>
  <si>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</si>
  <si>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</si>
  <si>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</si>
  <si>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</si>
  <si>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</si>
  <si>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</si>
  <si>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</si>
  <si>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</si>
  <si>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</si>
  <si>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</si>
  <si>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</si>
  <si>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</si>
  <si>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</si>
  <si>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</si>
  <si>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</si>
  <si>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</si>
  <si>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</si>
  <si>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</si>
  <si>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</si>
  <si>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</si>
  <si>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</si>
  <si>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</si>
  <si>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</si>
  <si>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</si>
  <si>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</si>
  <si>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</si>
  <si>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</si>
  <si>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</si>
  <si>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</si>
  <si>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</si>
  <si>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</si>
  <si>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</si>
  <si>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</si>
  <si>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</si>
  <si>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</si>
  <si>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</si>
  <si>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</si>
  <si>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</si>
  <si>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</si>
  <si>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</si>
  <si>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</si>
  <si>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</si>
  <si>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</si>
  <si>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</si>
  <si>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</si>
  <si>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</si>
  <si>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</si>
  <si>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</si>
  <si>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</si>
  <si>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</si>
  <si>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</si>
  <si>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</si>
  <si>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</si>
  <si>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</si>
  <si>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</si>
  <si>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</si>
  <si>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</si>
  <si>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</si>
  <si>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</si>
  <si>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</si>
  <si>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</si>
  <si>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</si>
  <si>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</si>
  <si>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</si>
  <si>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</si>
  <si>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</si>
  <si>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</si>
  <si>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</si>
  <si>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</si>
  <si>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</si>
  <si>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</si>
  <si>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</si>
  <si>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</si>
  <si>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</si>
  <si>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</si>
  <si>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</si>
  <si>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</si>
  <si>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</si>
  <si>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</si>
  <si>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</si>
  <si>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</si>
  <si>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</si>
  <si>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</si>
  <si>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</si>
  <si>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</si>
  <si>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</si>
  <si>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</si>
  <si>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</si>
  <si>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</si>
  <si>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</si>
  <si>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</si>
  <si>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</si>
  <si>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</si>
  <si>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</si>
  <si>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</si>
  <si>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</si>
  <si>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</si>
  <si>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</si>
  <si>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</si>
  <si>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</si>
  <si>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</si>
  <si>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</si>
  <si>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</si>
  <si>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</si>
  <si>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</si>
  <si>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</si>
  <si>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</si>
  <si>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</si>
  <si>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</si>
  <si>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</si>
  <si>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</si>
  <si>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</si>
  <si>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</si>
  <si>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</si>
  <si>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</si>
  <si>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</si>
  <si>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</si>
  <si>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</si>
  <si>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</si>
  <si>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</si>
  <si>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</si>
  <si>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</si>
  <si>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</si>
  <si>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</si>
  <si>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</si>
  <si>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</si>
  <si>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</si>
  <si>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</si>
  <si>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</si>
  <si>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</si>
  <si>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</si>
  <si>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</si>
  <si>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</si>
  <si>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</si>
  <si>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</si>
  <si>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</si>
  <si>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</si>
  <si>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</si>
  <si>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</si>
  <si>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</si>
  <si>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</si>
  <si>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</si>
  <si>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</si>
  <si>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</si>
  <si>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</si>
  <si>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</si>
  <si>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</si>
  <si>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</si>
  <si>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</si>
  <si>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</si>
  <si>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</si>
  <si>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</si>
  <si>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</si>
  <si>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</si>
  <si>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</si>
  <si>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</si>
  <si>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</si>
  <si>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</si>
  <si>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</si>
  <si>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</si>
  <si>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</si>
  <si>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</si>
  <si>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</si>
  <si>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</si>
  <si>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</si>
  <si>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</si>
  <si>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</si>
  <si>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</si>
  <si>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</si>
  <si>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</si>
  <si>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</si>
  <si>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</si>
  <si>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</si>
  <si>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</si>
  <si>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</si>
  <si>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</si>
  <si>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</si>
  <si>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</si>
  <si>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</si>
  <si>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</si>
  <si>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</si>
  <si>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</si>
  <si>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</si>
  <si>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</si>
  <si>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</si>
  <si>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</si>
  <si>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</si>
  <si>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</si>
  <si>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</si>
  <si>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</si>
  <si>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</si>
  <si>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</si>
  <si>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</si>
  <si>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</si>
  <si>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</si>
  <si>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</si>
  <si>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</si>
  <si>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</si>
  <si>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</si>
  <si>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</si>
  <si>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</si>
  <si>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</si>
  <si>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</si>
  <si>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</si>
  <si>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</si>
  <si>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</si>
  <si>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</si>
  <si>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</si>
  <si>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</si>
  <si>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</si>
  <si>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</si>
  <si>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</si>
  <si>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</si>
  <si>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</si>
  <si>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</si>
  <si>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</si>
  <si>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</si>
  <si>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</si>
  <si>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</si>
  <si>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</si>
  <si>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</si>
  <si>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</si>
  <si>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</si>
  <si>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</si>
  <si>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</si>
  <si>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</si>
  <si>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</si>
  <si>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</si>
  <si>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</si>
  <si>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</si>
  <si>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</si>
  <si>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</si>
  <si>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</si>
  <si>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</si>
  <si>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</si>
  <si>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</si>
  <si>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</si>
  <si>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</si>
  <si>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</si>
  <si>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</si>
  <si>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</si>
  <si>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</si>
  <si>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</si>
  <si>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</si>
  <si>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</si>
  <si>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</si>
  <si>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</si>
  <si>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</si>
  <si>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</si>
  <si>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</si>
  <si>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</si>
  <si>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</si>
  <si>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</si>
  <si>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</si>
  <si>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</si>
  <si>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</si>
  <si>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</si>
  <si>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</si>
  <si>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</si>
  <si>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</si>
  <si>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</si>
  <si>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</si>
  <si>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</si>
  <si>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</si>
  <si>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</si>
  <si>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</si>
  <si>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</si>
  <si>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</si>
  <si>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</si>
  <si>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</si>
  <si>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</si>
  <si>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</si>
  <si>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</si>
  <si>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</si>
  <si>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</si>
  <si>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</si>
  <si>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</si>
  <si>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</si>
  <si>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</si>
  <si>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</si>
  <si>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</si>
  <si>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</si>
  <si>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</si>
  <si>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</si>
  <si>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</si>
  <si>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</si>
  <si>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</si>
  <si>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</si>
  <si>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</si>
  <si>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</si>
  <si>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</si>
  <si>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</si>
  <si>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</si>
  <si>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</si>
  <si>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</si>
  <si>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</si>
  <si>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</si>
  <si>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</si>
  <si>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</si>
  <si>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</si>
  <si>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</si>
  <si>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</si>
  <si>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</si>
  <si>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</si>
  <si>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</si>
  <si>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</si>
  <si>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</si>
  <si>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</si>
  <si>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</si>
  <si>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</si>
  <si>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</si>
  <si>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</si>
  <si>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</si>
  <si>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</si>
  <si>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</si>
  <si>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</si>
  <si>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</si>
  <si>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</si>
  <si>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</si>
  <si>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</si>
  <si>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</si>
  <si>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</si>
  <si>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</si>
  <si>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</si>
  <si>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</si>
  <si>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</si>
  <si>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</si>
  <si>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</si>
  <si>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</si>
  <si>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</si>
  <si>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</si>
  <si>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</si>
  <si>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</si>
  <si>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</si>
  <si>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</si>
  <si>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</si>
  <si>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</si>
  <si>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</si>
  <si>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</si>
  <si>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</si>
  <si>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</si>
  <si>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</si>
  <si>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</si>
  <si>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</si>
  <si>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</si>
  <si>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</si>
  <si>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</si>
  <si>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</si>
  <si>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</si>
  <si>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</si>
  <si>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</si>
  <si>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</si>
  <si>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</si>
  <si>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</si>
  <si>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</si>
  <si>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</si>
  <si>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</si>
  <si>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</si>
  <si>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</si>
  <si>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</si>
  <si>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</si>
  <si>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</si>
  <si>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</si>
  <si>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</si>
  <si>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</si>
  <si>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</si>
  <si>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</si>
  <si>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</si>
  <si>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</si>
  <si>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</si>
  <si>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</si>
  <si>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</si>
  <si>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</si>
  <si>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</si>
  <si>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</si>
  <si>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</si>
  <si>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</si>
  <si>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</si>
  <si>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</si>
  <si>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</si>
  <si>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</si>
  <si>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</si>
  <si>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</si>
  <si>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</si>
  <si>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</si>
  <si>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</si>
  <si>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</si>
  <si>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</si>
  <si>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</si>
  <si>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</si>
  <si>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</si>
  <si>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</si>
  <si>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</si>
  <si>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</si>
  <si>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</si>
  <si>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</si>
  <si>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</si>
  <si>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</si>
  <si>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</si>
  <si>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</si>
  <si>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</si>
  <si>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</si>
  <si>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</si>
  <si>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</si>
  <si>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</si>
  <si>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</si>
  <si>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</si>
  <si>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</si>
  <si>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</si>
  <si>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</si>
  <si>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</si>
  <si>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</si>
  <si>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</si>
  <si>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</si>
  <si>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</si>
  <si>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</si>
  <si>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</si>
  <si>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</si>
  <si>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</si>
  <si>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</si>
  <si>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</si>
  <si>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</si>
  <si>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</si>
  <si>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</si>
  <si>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</si>
  <si>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</si>
  <si>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</si>
  <si>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</si>
  <si>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</si>
  <si>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</si>
  <si>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</si>
  <si>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</si>
  <si>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</si>
  <si>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</si>
  <si>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</si>
  <si>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</si>
  <si>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</si>
  <si>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</si>
  <si>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</si>
  <si>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</si>
  <si>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</si>
  <si>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</si>
  <si>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</si>
  <si>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</si>
  <si>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</si>
  <si>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</si>
  <si>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</si>
  <si>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</si>
  <si>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</si>
  <si>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</si>
  <si>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</si>
  <si>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</si>
  <si>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</si>
  <si>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</si>
  <si>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</si>
  <si>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</si>
  <si>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</si>
  <si>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</si>
  <si>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</si>
  <si>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</si>
  <si>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</si>
  <si>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</si>
  <si>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</si>
  <si>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</si>
  <si>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</si>
  <si>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</si>
  <si>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</si>
  <si>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</si>
  <si>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</si>
  <si>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</si>
  <si>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</si>
  <si>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</si>
  <si>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</si>
  <si>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</si>
  <si>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</si>
  <si>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</si>
  <si>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</si>
  <si>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</si>
  <si>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</si>
  <si>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</si>
  <si>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</si>
  <si>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</si>
  <si>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</si>
  <si>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</si>
  <si>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</si>
  <si>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</si>
  <si>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</si>
  <si>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</si>
  <si>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</si>
  <si>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</si>
  <si>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</si>
  <si>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</si>
  <si>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</si>
  <si>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</si>
  <si>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</si>
  <si>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</si>
  <si>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</si>
  <si>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</si>
  <si>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</si>
  <si>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</si>
  <si>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</si>
  <si>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</si>
  <si>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</si>
  <si>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</si>
  <si>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</si>
  <si>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</si>
  <si>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</si>
  <si>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</si>
  <si>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</si>
  <si>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</si>
  <si>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</si>
  <si>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</si>
  <si>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</si>
  <si>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</si>
  <si>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</si>
  <si>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</si>
  <si>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</si>
  <si>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</si>
  <si>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</si>
  <si>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</si>
  <si>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</si>
  <si>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</si>
  <si>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</si>
  <si>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</si>
  <si>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</si>
  <si>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</si>
  <si>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</si>
  <si>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</si>
  <si>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</si>
  <si>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</si>
  <si>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</si>
  <si>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</si>
  <si>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</si>
  <si>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</si>
  <si>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</si>
  <si>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</si>
  <si>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</si>
  <si>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</si>
  <si>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</si>
  <si>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</si>
  <si>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</si>
  <si>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</si>
  <si>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</si>
  <si>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</si>
  <si>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</si>
  <si>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</si>
  <si>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</si>
  <si>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</si>
  <si>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</si>
  <si>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</si>
  <si>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</si>
  <si>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</si>
  <si>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</si>
  <si>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</si>
  <si>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</si>
  <si>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</si>
  <si>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</si>
  <si>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</si>
  <si>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</si>
  <si>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</si>
  <si>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</si>
  <si>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</si>
  <si>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</si>
  <si>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</si>
  <si>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</si>
  <si>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</si>
  <si>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</si>
  <si>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</si>
  <si>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</si>
  <si>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</si>
  <si>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</si>
  <si>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</si>
  <si>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</si>
  <si>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</si>
  <si>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</si>
  <si>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</si>
  <si>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</si>
  <si>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</si>
  <si>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</si>
  <si>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</si>
  <si>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</si>
  <si>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</si>
  <si>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</si>
  <si>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</si>
  <si>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</si>
  <si>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</si>
  <si>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</si>
  <si>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</si>
  <si>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</si>
  <si>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</si>
  <si>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</si>
  <si>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</si>
  <si>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</si>
  <si>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</si>
  <si>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</si>
  <si>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</si>
  <si>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</si>
  <si>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</si>
  <si>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</si>
  <si>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</si>
  <si>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</si>
  <si>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</si>
  <si>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</si>
  <si>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</si>
  <si>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</si>
  <si>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</si>
  <si>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</si>
  <si>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</si>
  <si>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</si>
  <si>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</si>
  <si>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</si>
  <si>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</si>
  <si>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</si>
  <si>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</si>
  <si>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</si>
  <si>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</si>
  <si>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</si>
  <si>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</si>
  <si>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</si>
  <si>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</si>
  <si>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</si>
  <si>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</si>
  <si>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</si>
  <si>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</si>
  <si>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</si>
  <si>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</si>
  <si>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</si>
  <si>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</si>
  <si>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</si>
  <si>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</si>
  <si>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</si>
  <si>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</si>
  <si>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</si>
  <si>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</si>
  <si>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</si>
  <si>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</si>
  <si>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</si>
  <si>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</si>
  <si>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</si>
  <si>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</si>
  <si>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</si>
  <si>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</si>
  <si>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</si>
  <si>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CHAMPAIGN</t>
  </si>
  <si>
    <t>807 N MATTIS AVE</t>
  </si>
  <si>
    <t>Jennifer Armstrong</t>
  </si>
  <si>
    <t>armstrongj@rccsec.org</t>
  </si>
  <si>
    <t>217-892-8877</t>
  </si>
  <si>
    <t>217-893-8627</t>
  </si>
  <si>
    <t>RUSSELL LEIGH &amp; ASSOCIATES</t>
  </si>
  <si>
    <t>RUSS LEIGH</t>
  </si>
  <si>
    <t>228 E MAIN ST</t>
  </si>
  <si>
    <t>HOOPESTON</t>
  </si>
  <si>
    <t>IL</t>
  </si>
  <si>
    <t>217-283-9336</t>
  </si>
  <si>
    <t>217-283-9736</t>
  </si>
  <si>
    <t>065.018319</t>
  </si>
  <si>
    <t>admin@russleigh.com</t>
  </si>
  <si>
    <t>Russell Leigh &amp; Associates</t>
  </si>
  <si>
    <t>No applicable contracts.</t>
  </si>
  <si>
    <t>x</t>
  </si>
  <si>
    <t>Page 11 - Acct 1999 - Other Local Revenues</t>
  </si>
  <si>
    <t>Col 10 - Educational</t>
  </si>
  <si>
    <t>Refunds &amp; Reimbursements - $13,783</t>
  </si>
  <si>
    <t>Page 13 - Acct 4999 - Other Restricted Revenue from Federal Sources</t>
  </si>
  <si>
    <t>STEP Program - $110,607</t>
  </si>
  <si>
    <t>Auditcheck Tab - #13 - Contracts Paid Error</t>
  </si>
  <si>
    <t>No applicable contracts were paid in the current year.</t>
  </si>
  <si>
    <t>The accompanying Schedule of Expenditures of Federal Awards includes the federal grant activity of Rural Champaign County Special Education Coop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</si>
  <si>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Of the federal expenditures presented in the schedule, Rural Champaign County Special Education Coop provided federal awards to subrecipients as follows:</t>
  </si>
  <si>
    <t>none</t>
  </si>
  <si>
    <r>
      <t xml:space="preserve">The following amounts were expended in the form of non-cash assistance by Rural Champaign Special Education Coop and </t>
    </r>
    <r>
      <rPr>
        <b/>
        <sz val="9"/>
        <rFont val="Calibri"/>
        <family val="2"/>
        <scheme val="minor"/>
      </rPr>
      <t>should be</t>
    </r>
    <r>
      <rPr>
        <sz val="9"/>
        <rFont val="Calibri"/>
        <family val="2"/>
        <scheme val="minor"/>
      </rPr>
      <t xml:space="preserve"> included in the Schedule of Expenditures of Federal Awards:</t>
    </r>
  </si>
  <si>
    <t>no</t>
  </si>
  <si>
    <t>U.S. Department of Education</t>
  </si>
  <si>
    <t xml:space="preserve">     Passed Throught the Illinois State Board of Education</t>
  </si>
  <si>
    <t xml:space="preserve">       PreSchool-Flow Through</t>
  </si>
  <si>
    <t>84.137a</t>
  </si>
  <si>
    <t>17-4600</t>
  </si>
  <si>
    <t>18-4600</t>
  </si>
  <si>
    <t>(M)I IDEA Flow Through</t>
  </si>
  <si>
    <t>84.027a</t>
  </si>
  <si>
    <t>17-4620</t>
  </si>
  <si>
    <t>18-4620</t>
  </si>
  <si>
    <t xml:space="preserve">          Total U.S. Department of  Education</t>
  </si>
  <si>
    <t>U.S. Department of Health and Human Services</t>
  </si>
  <si>
    <t xml:space="preserve">     Passed Through Illinois Dept of Healthcare and Family Services</t>
  </si>
  <si>
    <t xml:space="preserve">       Step Voc-Step Program</t>
  </si>
  <si>
    <t>18-4480</t>
  </si>
  <si>
    <t xml:space="preserve">     Medicaid-Admin Outreach</t>
  </si>
  <si>
    <t>18-4901</t>
  </si>
  <si>
    <t xml:space="preserve">          Total U.S&gt; Department of Health and Human Services</t>
  </si>
  <si>
    <t xml:space="preserve">          Total Federal Finaicial Assistance</t>
  </si>
  <si>
    <t>Adverse-Gaap/Unqualified-Regulatory</t>
  </si>
  <si>
    <t xml:space="preserve"> x</t>
  </si>
  <si>
    <t>Unmodified</t>
  </si>
  <si>
    <t>IDEA-Flow Through</t>
  </si>
  <si>
    <t>Rural Champaign Co SpEd Coop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</si>
</sst>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2130137</xdr:colOff>
          <xdr:row>4</xdr:row>
          <xdr:rowOff>43296</xdr:rowOff>
        </xdr:from>
        <xdr:to>
          <xdr:col>1</xdr:col>
          <xdr:colOff>3044537</xdr:colOff>
          <xdr:row>8</xdr:row>
          <xdr:rowOff>81396</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3" t="s">
        <v>425</v>
      </c>
      <c r="J1" s="2034"/>
      <c r="K1" s="2034"/>
      <c r="L1" s="2034"/>
      <c r="M1" s="2034"/>
      <c r="N1" s="2034"/>
      <c r="O1" s="2034"/>
      <c r="P1" s="2034"/>
      <c r="Q1" s="2034"/>
      <c r="R1" s="2034"/>
      <c r="S1" s="2034"/>
    </row>
    <row r="2" spans="1:28" ht="12" customHeight="1" x14ac:dyDescent="0.2">
      <c r="A2" s="47" t="s">
        <v>1684</v>
      </c>
      <c r="D2" s="48"/>
      <c r="I2" s="2035" t="s">
        <v>1036</v>
      </c>
      <c r="J2" s="2034"/>
      <c r="K2" s="2034"/>
      <c r="L2" s="2034"/>
      <c r="M2" s="2034"/>
      <c r="N2" s="2034"/>
      <c r="O2" s="2034"/>
      <c r="P2" s="2034"/>
      <c r="Q2" s="2034"/>
      <c r="R2" s="2034"/>
      <c r="S2" s="2034"/>
    </row>
    <row r="3" spans="1:28" ht="12" customHeight="1" x14ac:dyDescent="0.2">
      <c r="A3" s="155" t="s">
        <v>1685</v>
      </c>
      <c r="B3" s="156"/>
      <c r="C3" s="156"/>
      <c r="D3" s="157"/>
      <c r="I3" s="2035" t="s">
        <v>54</v>
      </c>
      <c r="J3" s="2034"/>
      <c r="K3" s="2034"/>
      <c r="L3" s="2034"/>
      <c r="M3" s="2034"/>
      <c r="N3" s="2034"/>
      <c r="O3" s="2034"/>
      <c r="P3" s="2034"/>
      <c r="Q3" s="2034"/>
      <c r="R3" s="2034"/>
      <c r="S3" s="2034"/>
    </row>
    <row r="4" spans="1:28" ht="12" customHeight="1" x14ac:dyDescent="0.2">
      <c r="A4" s="37"/>
      <c r="I4" s="2035" t="s">
        <v>545</v>
      </c>
      <c r="J4" s="2034"/>
      <c r="K4" s="2034"/>
      <c r="L4" s="2034"/>
      <c r="M4" s="2034"/>
      <c r="N4" s="2034"/>
      <c r="O4" s="2034"/>
      <c r="P4" s="2034"/>
      <c r="Q4" s="2034"/>
      <c r="R4" s="2034"/>
      <c r="S4" s="2034"/>
    </row>
    <row r="5" spans="1:28" ht="14.1" customHeight="1" x14ac:dyDescent="0.2">
      <c r="B5" s="104"/>
      <c r="C5" s="26" t="s">
        <v>966</v>
      </c>
      <c r="D5" s="84"/>
      <c r="E5" s="84"/>
      <c r="H5" s="38"/>
      <c r="I5" s="2042" t="s">
        <v>701</v>
      </c>
      <c r="J5" s="1986"/>
      <c r="K5" s="1986"/>
      <c r="L5" s="1986"/>
      <c r="M5" s="1986"/>
      <c r="N5" s="1986"/>
      <c r="O5" s="1986"/>
      <c r="P5" s="1986"/>
      <c r="Q5" s="1986"/>
      <c r="R5" s="1986"/>
      <c r="S5" s="1986"/>
    </row>
    <row r="6" spans="1:28" ht="14.1" customHeight="1" x14ac:dyDescent="0.2">
      <c r="B6" s="104" t="s">
        <v>2074</v>
      </c>
      <c r="C6" s="26" t="s">
        <v>967</v>
      </c>
      <c r="D6" s="84"/>
      <c r="E6" s="84"/>
      <c r="I6" s="2041" t="s">
        <v>938</v>
      </c>
      <c r="J6" s="1986"/>
      <c r="K6" s="1986"/>
      <c r="L6" s="1986"/>
      <c r="M6" s="1986"/>
      <c r="N6" s="1986"/>
      <c r="O6" s="1986"/>
      <c r="P6" s="1986"/>
      <c r="Q6" s="1986"/>
      <c r="R6" s="1986"/>
      <c r="S6" s="1986"/>
    </row>
    <row r="7" spans="1:28" ht="12.2" customHeight="1" x14ac:dyDescent="0.2">
      <c r="I7" s="2036">
        <v>43281</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695</v>
      </c>
      <c r="J9" s="2039"/>
      <c r="K9" s="2039"/>
      <c r="L9" s="2039"/>
      <c r="M9" s="2039"/>
      <c r="N9" s="2039"/>
      <c r="O9" s="2039"/>
      <c r="P9" s="2039"/>
      <c r="Q9" s="2039"/>
      <c r="R9" s="2039"/>
      <c r="S9" s="2040"/>
      <c r="T9" s="1982" t="s">
        <v>554</v>
      </c>
      <c r="U9" s="1983"/>
      <c r="V9" s="1983"/>
      <c r="W9" s="1983"/>
      <c r="X9" s="1983"/>
      <c r="Y9" s="1983"/>
      <c r="Z9" s="1983"/>
      <c r="AA9" s="1984"/>
    </row>
    <row r="10" spans="1:28" ht="13.5" customHeight="1" x14ac:dyDescent="0.2">
      <c r="A10" s="1991" t="s">
        <v>696</v>
      </c>
      <c r="B10" s="1992"/>
      <c r="C10" s="1992"/>
      <c r="D10" s="1992"/>
      <c r="E10" s="1992"/>
      <c r="F10" s="1992"/>
      <c r="G10" s="1992"/>
      <c r="H10" s="1993"/>
      <c r="I10" s="29"/>
      <c r="J10" s="30"/>
      <c r="K10" s="28"/>
      <c r="R10" s="30"/>
      <c r="S10" s="30"/>
      <c r="T10" s="1985"/>
      <c r="U10" s="1986"/>
      <c r="V10" s="1986"/>
      <c r="W10" s="1986"/>
      <c r="X10" s="1986"/>
      <c r="Y10" s="1986"/>
      <c r="Z10" s="1986"/>
      <c r="AA10" s="1987"/>
    </row>
    <row r="11" spans="1:28" ht="14.25" customHeight="1" x14ac:dyDescent="0.2">
      <c r="A11" s="1994" t="s">
        <v>1012</v>
      </c>
      <c r="B11" s="1995"/>
      <c r="C11" s="1995"/>
      <c r="D11" s="1995"/>
      <c r="E11" s="1995"/>
      <c r="F11" s="1995"/>
      <c r="G11" s="1995"/>
      <c r="H11" s="1996"/>
      <c r="I11" s="27"/>
      <c r="J11" s="74"/>
      <c r="K11" s="27"/>
      <c r="O11" s="148" t="s">
        <v>2074</v>
      </c>
      <c r="P11" s="100" t="s">
        <v>210</v>
      </c>
      <c r="Q11" s="30"/>
      <c r="R11" s="28"/>
      <c r="S11" s="27"/>
      <c r="T11" s="1988"/>
      <c r="U11" s="1989"/>
      <c r="V11" s="1989"/>
      <c r="W11" s="1989"/>
      <c r="X11" s="1989"/>
      <c r="Y11" s="1989"/>
      <c r="Z11" s="1989"/>
      <c r="AA11" s="199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2">
        <v>9010801060</v>
      </c>
      <c r="B13" s="2003"/>
      <c r="C13" s="2003"/>
      <c r="D13" s="2003"/>
      <c r="E13" s="2003"/>
      <c r="F13" s="2003"/>
      <c r="G13" s="2003"/>
      <c r="H13" s="2004"/>
      <c r="I13" s="31"/>
      <c r="J13" s="30"/>
      <c r="K13" s="28"/>
      <c r="L13" s="30"/>
      <c r="M13" s="30"/>
      <c r="N13" s="30"/>
      <c r="O13" s="30"/>
      <c r="P13" s="30"/>
      <c r="Q13" s="30"/>
      <c r="R13" s="30"/>
      <c r="S13" s="30"/>
      <c r="T13" s="2007" t="s">
        <v>2081</v>
      </c>
      <c r="U13" s="2008"/>
      <c r="V13" s="2008"/>
      <c r="W13" s="2008"/>
      <c r="X13" s="2008"/>
      <c r="Y13" s="2009"/>
      <c r="Z13" s="2009"/>
      <c r="AA13" s="201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0" t="s">
        <v>2075</v>
      </c>
      <c r="B15" s="2005"/>
      <c r="C15" s="2005"/>
      <c r="D15" s="2005"/>
      <c r="E15" s="2005"/>
      <c r="F15" s="2005"/>
      <c r="G15" s="2005"/>
      <c r="H15" s="2006"/>
      <c r="T15" s="1968" t="s">
        <v>2082</v>
      </c>
      <c r="U15" s="1969"/>
      <c r="V15" s="1969"/>
      <c r="W15" s="1969"/>
      <c r="X15" s="1969"/>
      <c r="Y15" s="2011"/>
      <c r="Z15" s="2011"/>
      <c r="AA15" s="201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0" t="s">
        <v>2128</v>
      </c>
      <c r="B17" s="2031"/>
      <c r="C17" s="2031"/>
      <c r="D17" s="2031"/>
      <c r="E17" s="2031"/>
      <c r="F17" s="2031"/>
      <c r="G17" s="2031"/>
      <c r="H17" s="2032"/>
      <c r="T17" s="2017" t="s">
        <v>2083</v>
      </c>
      <c r="U17" s="2018"/>
      <c r="V17" s="2018"/>
      <c r="W17" s="2018"/>
      <c r="X17" s="2018"/>
      <c r="Y17" s="2018"/>
      <c r="Z17" s="2018"/>
      <c r="AA17" s="2019"/>
    </row>
    <row r="18" spans="1:27" ht="13.5" customHeight="1" x14ac:dyDescent="0.2">
      <c r="A18" s="85" t="s">
        <v>551</v>
      </c>
      <c r="B18" s="76"/>
      <c r="C18" s="72"/>
      <c r="D18" s="76"/>
      <c r="E18" s="76"/>
      <c r="F18" s="76"/>
      <c r="G18" s="76"/>
      <c r="H18" s="56"/>
      <c r="I18" s="2027" t="s">
        <v>697</v>
      </c>
      <c r="J18" s="2028"/>
      <c r="K18" s="2028"/>
      <c r="L18" s="2028"/>
      <c r="M18" s="2028"/>
      <c r="N18" s="2028"/>
      <c r="O18" s="2028"/>
      <c r="P18" s="2028"/>
      <c r="Q18" s="2028"/>
      <c r="R18" s="2028"/>
      <c r="S18" s="2029"/>
      <c r="T18" s="85" t="s">
        <v>735</v>
      </c>
      <c r="U18" s="51"/>
      <c r="V18" s="72"/>
      <c r="W18" s="50"/>
      <c r="X18" s="85" t="s">
        <v>284</v>
      </c>
      <c r="Y18" s="81"/>
      <c r="Z18" s="159" t="s">
        <v>698</v>
      </c>
      <c r="AA18" s="46"/>
    </row>
    <row r="19" spans="1:27" ht="13.5" customHeight="1" x14ac:dyDescent="0.2">
      <c r="A19" s="2000" t="s">
        <v>2076</v>
      </c>
      <c r="B19" s="2001"/>
      <c r="C19" s="2001"/>
      <c r="D19" s="2001"/>
      <c r="E19" s="2001"/>
      <c r="F19" s="2001"/>
      <c r="G19" s="2001"/>
      <c r="H19" s="1999"/>
      <c r="I19" s="30"/>
      <c r="J19" s="99"/>
      <c r="K19" s="40"/>
      <c r="L19" s="38"/>
      <c r="M19" s="112" t="s">
        <v>333</v>
      </c>
      <c r="P19" s="27"/>
      <c r="Q19" s="27"/>
      <c r="R19" s="27"/>
      <c r="S19" s="31"/>
      <c r="T19" s="2000" t="s">
        <v>2084</v>
      </c>
      <c r="U19" s="1998"/>
      <c r="V19" s="1998"/>
      <c r="W19" s="1999"/>
      <c r="X19" s="2015" t="s">
        <v>2085</v>
      </c>
      <c r="Y19" s="2016"/>
      <c r="Z19" s="2013">
        <v>60942</v>
      </c>
      <c r="AA19" s="2014"/>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7" t="s">
        <v>2075</v>
      </c>
      <c r="B21" s="1998"/>
      <c r="C21" s="1998"/>
      <c r="D21" s="1998"/>
      <c r="E21" s="1998"/>
      <c r="F21" s="1998"/>
      <c r="G21" s="1998"/>
      <c r="H21" s="1999"/>
      <c r="I21" s="2023" t="s">
        <v>699</v>
      </c>
      <c r="J21" s="1986"/>
      <c r="K21" s="1986"/>
      <c r="L21" s="1986"/>
      <c r="M21" s="1986"/>
      <c r="N21" s="1986"/>
      <c r="O21" s="1986"/>
      <c r="P21" s="1986"/>
      <c r="Q21" s="1986"/>
      <c r="R21" s="1986"/>
      <c r="S21" s="1987"/>
      <c r="T21" s="1965" t="s">
        <v>2086</v>
      </c>
      <c r="U21" s="1966"/>
      <c r="V21" s="1966"/>
      <c r="W21" s="1966"/>
      <c r="X21" s="1979" t="s">
        <v>2087</v>
      </c>
      <c r="Y21" s="1980"/>
      <c r="Z21" s="1980"/>
      <c r="AA21" s="1981"/>
    </row>
    <row r="22" spans="1:27" ht="13.5" customHeight="1" x14ac:dyDescent="0.2">
      <c r="A22" s="87" t="s">
        <v>552</v>
      </c>
      <c r="B22" s="59"/>
      <c r="C22" s="59"/>
      <c r="D22" s="59"/>
      <c r="E22" s="59"/>
      <c r="F22" s="59"/>
      <c r="G22" s="59"/>
      <c r="H22" s="60"/>
      <c r="I22" s="2024" t="s">
        <v>1504</v>
      </c>
      <c r="J22" s="2025"/>
      <c r="K22" s="2025"/>
      <c r="L22" s="2025"/>
      <c r="M22" s="2025"/>
      <c r="N22" s="2025"/>
      <c r="O22" s="2025"/>
      <c r="P22" s="2025"/>
      <c r="Q22" s="2025"/>
      <c r="R22" s="2025"/>
      <c r="S22" s="2026"/>
      <c r="T22" s="85" t="s">
        <v>1596</v>
      </c>
      <c r="U22" s="51"/>
      <c r="V22" s="72"/>
      <c r="W22" s="51"/>
      <c r="X22" s="160" t="s">
        <v>1385</v>
      </c>
      <c r="Z22" s="45"/>
      <c r="AA22" s="46"/>
    </row>
    <row r="23" spans="1:27" ht="13.5" customHeight="1" x14ac:dyDescent="0.2">
      <c r="A23" s="2020"/>
      <c r="B23" s="2021"/>
      <c r="C23" s="2021"/>
      <c r="D23" s="2021"/>
      <c r="E23" s="2021"/>
      <c r="F23" s="2021"/>
      <c r="G23" s="2021"/>
      <c r="H23" s="2022"/>
      <c r="T23" s="1960" t="s">
        <v>2088</v>
      </c>
      <c r="U23" s="1961"/>
      <c r="V23" s="1961"/>
      <c r="W23" s="1961"/>
      <c r="X23" s="1976">
        <v>44469</v>
      </c>
      <c r="Y23" s="1977"/>
      <c r="Z23" s="1977"/>
      <c r="AA23" s="1978"/>
    </row>
    <row r="24" spans="1:27" ht="14.1" customHeight="1" x14ac:dyDescent="0.2">
      <c r="A24" s="88" t="s">
        <v>698</v>
      </c>
      <c r="B24" s="49"/>
      <c r="C24" s="49"/>
      <c r="D24" s="49"/>
      <c r="E24" s="49"/>
      <c r="F24" s="49"/>
      <c r="G24" s="49"/>
      <c r="H24" s="61"/>
      <c r="J24" s="2063" t="str">
        <f>IF(B5="x",IF(AUDITCHECK!D29="AFR form Incomplete.","",IF(AUDITCHECK!D29="Deficit reduction plan is required.","School District must complete a deficit reduction plan in the 2018-2019 Budget",)),"")</f>
        <v/>
      </c>
      <c r="K24" s="2063"/>
      <c r="L24" s="2063"/>
      <c r="M24" s="2063"/>
      <c r="N24" s="2063"/>
      <c r="O24" s="2063"/>
      <c r="P24" s="2063"/>
      <c r="Q24" s="2063"/>
      <c r="R24" s="2063"/>
      <c r="S24" s="2064"/>
      <c r="T24" s="105" t="s">
        <v>552</v>
      </c>
      <c r="U24" s="106"/>
      <c r="V24" s="106"/>
      <c r="W24" s="106"/>
      <c r="X24" s="107"/>
      <c r="Y24" s="107"/>
      <c r="Z24" s="107"/>
      <c r="AA24" s="108"/>
    </row>
    <row r="25" spans="1:27" ht="14.1" customHeight="1" x14ac:dyDescent="0.2">
      <c r="A25" s="1997">
        <v>61821</v>
      </c>
      <c r="B25" s="1998"/>
      <c r="C25" s="1998"/>
      <c r="D25" s="1998"/>
      <c r="E25" s="1998"/>
      <c r="F25" s="1998"/>
      <c r="G25" s="1998"/>
      <c r="H25" s="1999"/>
      <c r="I25" s="113"/>
      <c r="J25" s="2065"/>
      <c r="K25" s="2065"/>
      <c r="L25" s="2065"/>
      <c r="M25" s="2065"/>
      <c r="N25" s="2065"/>
      <c r="O25" s="2065"/>
      <c r="P25" s="2065"/>
      <c r="Q25" s="2065"/>
      <c r="R25" s="2065"/>
      <c r="S25" s="2066"/>
      <c r="T25" s="1957" t="s">
        <v>2089</v>
      </c>
      <c r="U25" s="1958"/>
      <c r="V25" s="1958"/>
      <c r="W25" s="1958"/>
      <c r="X25" s="1958"/>
      <c r="Y25" s="1958"/>
      <c r="Z25" s="1958"/>
      <c r="AA25" s="19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6" t="s">
        <v>1591</v>
      </c>
      <c r="J27" s="2028"/>
      <c r="K27" s="2028"/>
      <c r="L27" s="2028"/>
      <c r="M27" s="2028"/>
      <c r="N27" s="2028"/>
      <c r="O27" s="2028"/>
      <c r="P27" s="2028"/>
      <c r="Q27" s="2028"/>
      <c r="R27" s="2028"/>
      <c r="S27" s="202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2074</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2074</v>
      </c>
      <c r="C30" s="124" t="s">
        <v>1226</v>
      </c>
      <c r="D30" s="28"/>
      <c r="E30" s="28"/>
      <c r="F30" s="140"/>
      <c r="G30" s="114"/>
      <c r="H30" s="114"/>
      <c r="I30" s="54"/>
      <c r="J30" s="148" t="s">
        <v>2074</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1"/>
      <c r="Q35" s="1998"/>
      <c r="R35" s="199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0" t="s">
        <v>2077</v>
      </c>
      <c r="B38" s="2031"/>
      <c r="C38" s="2031"/>
      <c r="D38" s="2031"/>
      <c r="E38" s="2031"/>
      <c r="F38" s="1998"/>
      <c r="G38" s="1998"/>
      <c r="H38" s="1999"/>
      <c r="I38" s="2050"/>
      <c r="J38" s="1969"/>
      <c r="K38" s="1969"/>
      <c r="L38" s="1969"/>
      <c r="M38" s="1969"/>
      <c r="N38" s="1969"/>
      <c r="O38" s="1969"/>
      <c r="P38" s="1970"/>
      <c r="Q38" s="1970"/>
      <c r="R38" s="1970"/>
      <c r="S38" s="1971"/>
      <c r="T38" s="1968"/>
      <c r="U38" s="1969"/>
      <c r="V38" s="1969"/>
      <c r="W38" s="1969"/>
      <c r="X38" s="1970"/>
      <c r="Y38" s="1970"/>
      <c r="Z38" s="1970"/>
      <c r="AA38" s="1971"/>
    </row>
    <row r="39" spans="1:27" ht="12" customHeight="1" x14ac:dyDescent="0.2">
      <c r="A39" s="2054" t="s">
        <v>552</v>
      </c>
      <c r="B39" s="2055"/>
      <c r="C39" s="72"/>
      <c r="D39" s="69"/>
      <c r="E39" s="69"/>
      <c r="F39" s="79"/>
      <c r="G39" s="69"/>
      <c r="H39" s="56"/>
      <c r="I39" s="2054" t="s">
        <v>552</v>
      </c>
      <c r="J39" s="2055"/>
      <c r="K39" s="2055"/>
      <c r="L39" s="2055"/>
      <c r="M39" s="2055"/>
      <c r="N39" s="67"/>
      <c r="O39" s="72"/>
      <c r="P39" s="72"/>
      <c r="Q39" s="78"/>
      <c r="R39" s="72"/>
      <c r="S39" s="56"/>
      <c r="T39" s="72" t="s">
        <v>552</v>
      </c>
      <c r="U39" s="51"/>
      <c r="V39" s="72"/>
      <c r="W39" s="50"/>
      <c r="X39" s="78"/>
      <c r="Y39" s="45"/>
      <c r="Z39" s="45"/>
      <c r="AA39" s="46"/>
    </row>
    <row r="40" spans="1:27" ht="13.5" customHeight="1" x14ac:dyDescent="0.2">
      <c r="A40" s="2057" t="s">
        <v>2078</v>
      </c>
      <c r="B40" s="2058"/>
      <c r="C40" s="2059"/>
      <c r="D40" s="2059"/>
      <c r="E40" s="2059"/>
      <c r="F40" s="2060"/>
      <c r="G40" s="2060"/>
      <c r="H40" s="2061"/>
      <c r="I40" s="1972"/>
      <c r="J40" s="1974"/>
      <c r="K40" s="1974"/>
      <c r="L40" s="1974"/>
      <c r="M40" s="1974"/>
      <c r="N40" s="1974"/>
      <c r="O40" s="1974"/>
      <c r="P40" s="1974"/>
      <c r="Q40" s="1974"/>
      <c r="R40" s="1974"/>
      <c r="S40" s="1975"/>
      <c r="T40" s="1972"/>
      <c r="U40" s="1973"/>
      <c r="V40" s="1974"/>
      <c r="W40" s="1974"/>
      <c r="X40" s="1974"/>
      <c r="Y40" s="1974"/>
      <c r="Z40" s="1974"/>
      <c r="AA40" s="1975"/>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7" t="s">
        <v>2079</v>
      </c>
      <c r="B42" s="2048"/>
      <c r="C42" s="2049"/>
      <c r="D42" s="2062" t="s">
        <v>2080</v>
      </c>
      <c r="E42" s="2048"/>
      <c r="F42" s="2048"/>
      <c r="G42" s="2048"/>
      <c r="H42" s="2049"/>
      <c r="I42" s="1967"/>
      <c r="J42" s="1963"/>
      <c r="K42" s="1963"/>
      <c r="L42" s="1963"/>
      <c r="M42" s="1963"/>
      <c r="N42" s="1963"/>
      <c r="O42" s="1964"/>
      <c r="P42" s="1962"/>
      <c r="Q42" s="1963"/>
      <c r="R42" s="1963"/>
      <c r="S42" s="1964"/>
      <c r="T42" s="1967"/>
      <c r="U42" s="1963"/>
      <c r="V42" s="1963"/>
      <c r="W42" s="1964"/>
      <c r="X42" s="1962"/>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2062</v>
      </c>
      <c r="R47" s="41"/>
      <c r="S47" s="41"/>
      <c r="T47" s="41"/>
      <c r="U47" s="41"/>
      <c r="V47" s="41"/>
      <c r="W47" s="41"/>
      <c r="X47" s="41"/>
      <c r="Y47" s="41"/>
      <c r="Z47" s="41"/>
      <c r="AA47" s="41"/>
    </row>
    <row r="48" spans="1:27" x14ac:dyDescent="0.2">
      <c r="Q48" s="41" t="s">
        <v>2063</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0" t="s">
        <v>1902</v>
      </c>
      <c r="B2" s="1550" t="s">
        <v>2032</v>
      </c>
      <c r="C2" s="715" t="s">
        <v>1907</v>
      </c>
      <c r="D2" s="715" t="s">
        <v>1908</v>
      </c>
      <c r="E2" s="715" t="s">
        <v>1909</v>
      </c>
      <c r="F2" s="715" t="s">
        <v>1910</v>
      </c>
    </row>
    <row r="3" spans="1:6" ht="12" customHeight="1" x14ac:dyDescent="0.2">
      <c r="A3" s="2201"/>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1912</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650</v>
      </c>
      <c r="B1" s="2207"/>
      <c r="C1" s="722"/>
    </row>
    <row r="2" spans="1:7" ht="33.75" x14ac:dyDescent="0.2">
      <c r="A2" s="2215" t="s">
        <v>1902</v>
      </c>
      <c r="B2" s="2216"/>
      <c r="C2" s="1909" t="s">
        <v>2033</v>
      </c>
      <c r="D2" s="724" t="s">
        <v>2040</v>
      </c>
      <c r="E2" s="724" t="s">
        <v>2041</v>
      </c>
      <c r="F2" s="1909" t="s">
        <v>2034</v>
      </c>
    </row>
    <row r="3" spans="1:7" ht="15.75" customHeight="1" x14ac:dyDescent="0.2">
      <c r="A3" s="2219" t="s">
        <v>1176</v>
      </c>
      <c r="B3" s="2220"/>
      <c r="C3" s="2208"/>
      <c r="D3" s="2209"/>
      <c r="E3" s="2209"/>
      <c r="F3" s="2210"/>
    </row>
    <row r="4" spans="1:7" ht="12.75" customHeight="1" thickBot="1" x14ac:dyDescent="0.25">
      <c r="A4" s="2217" t="s">
        <v>651</v>
      </c>
      <c r="B4" s="2218"/>
      <c r="C4" s="581"/>
      <c r="D4" s="581"/>
      <c r="E4" s="581"/>
      <c r="F4" s="1777">
        <f>SUM(C4+D4)-E4</f>
        <v>0</v>
      </c>
    </row>
    <row r="5" spans="1:7" ht="15.75" customHeight="1" thickTop="1" x14ac:dyDescent="0.2">
      <c r="A5" s="2202" t="s">
        <v>1172</v>
      </c>
      <c r="B5" s="2203"/>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4" t="s">
        <v>652</v>
      </c>
      <c r="B15" s="2205"/>
      <c r="C15" s="1777">
        <f>SUM(C6:C14)</f>
        <v>0</v>
      </c>
      <c r="D15" s="1777">
        <f>SUM(D6:D14)</f>
        <v>0</v>
      </c>
      <c r="E15" s="1777">
        <f>SUM(E6:E14)</f>
        <v>0</v>
      </c>
      <c r="F15" s="1777">
        <f>SUM(F6:F14)</f>
        <v>0</v>
      </c>
      <c r="G15" s="552"/>
    </row>
    <row r="16" spans="1:7" s="202" customFormat="1" ht="15.75" customHeight="1" thickTop="1" x14ac:dyDescent="0.2">
      <c r="A16" s="2214" t="s">
        <v>1173</v>
      </c>
      <c r="B16" s="2203"/>
      <c r="C16" s="2211"/>
      <c r="D16" s="2212"/>
      <c r="E16" s="2212"/>
      <c r="F16" s="2213"/>
    </row>
    <row r="17" spans="1:11" ht="12.75" customHeight="1" thickBot="1" x14ac:dyDescent="0.25">
      <c r="A17" s="2227" t="s">
        <v>66</v>
      </c>
      <c r="B17" s="2228"/>
      <c r="C17" s="727"/>
      <c r="D17" s="585"/>
      <c r="E17" s="727"/>
      <c r="F17" s="1777">
        <f>SUM(C17+D17)-E17</f>
        <v>0</v>
      </c>
    </row>
    <row r="18" spans="1:11" ht="12.75" customHeight="1" thickTop="1" thickBot="1" x14ac:dyDescent="0.25">
      <c r="A18" s="2227" t="s">
        <v>6</v>
      </c>
      <c r="B18" s="2228"/>
      <c r="C18" s="727"/>
      <c r="D18" s="585"/>
      <c r="E18" s="727"/>
      <c r="F18" s="1777">
        <f>SUM(C18+D18)-E18</f>
        <v>0</v>
      </c>
    </row>
    <row r="19" spans="1:11" ht="12.75" customHeight="1" thickTop="1" thickBot="1" x14ac:dyDescent="0.25">
      <c r="A19" s="2227" t="s">
        <v>406</v>
      </c>
      <c r="B19" s="2228"/>
      <c r="C19" s="727"/>
      <c r="D19" s="585"/>
      <c r="E19" s="727"/>
      <c r="F19" s="1777">
        <f>SUM(C19+D19)-E19</f>
        <v>0</v>
      </c>
    </row>
    <row r="20" spans="1:11" ht="12.75" customHeight="1" thickTop="1" thickBot="1" x14ac:dyDescent="0.25">
      <c r="A20" s="2227" t="s">
        <v>468</v>
      </c>
      <c r="B20" s="2228"/>
      <c r="C20" s="727"/>
      <c r="D20" s="585"/>
      <c r="E20" s="727"/>
      <c r="F20" s="1777">
        <f>SUM(C20+D20)-E20</f>
        <v>0</v>
      </c>
    </row>
    <row r="21" spans="1:11" ht="14.25" thickTop="1" thickBot="1" x14ac:dyDescent="0.25">
      <c r="A21" s="2204" t="s">
        <v>653</v>
      </c>
      <c r="B21" s="2205"/>
      <c r="C21" s="1777">
        <f>SUM(C17:C20)</f>
        <v>0</v>
      </c>
      <c r="D21" s="1777">
        <f>SUM(D17:D20)</f>
        <v>0</v>
      </c>
      <c r="E21" s="1777">
        <f>SUM(E17:E20)</f>
        <v>0</v>
      </c>
      <c r="F21" s="1777">
        <f>SUM(F17:F20)</f>
        <v>0</v>
      </c>
      <c r="G21" s="552"/>
    </row>
    <row r="22" spans="1:11" ht="15.75" customHeight="1" thickTop="1" x14ac:dyDescent="0.2">
      <c r="A22" s="2229" t="s">
        <v>1174</v>
      </c>
      <c r="B22" s="2203"/>
      <c r="C22" s="2211"/>
      <c r="D22" s="2212"/>
      <c r="E22" s="2212"/>
      <c r="F22" s="2213"/>
    </row>
    <row r="23" spans="1:11" ht="13.5" thickBot="1" x14ac:dyDescent="0.25">
      <c r="A23" s="2217" t="s">
        <v>654</v>
      </c>
      <c r="B23" s="2218"/>
      <c r="C23" s="581"/>
      <c r="D23" s="581"/>
      <c r="E23" s="581"/>
      <c r="F23" s="1777">
        <f>SUM(C23+D23)-E23</f>
        <v>0</v>
      </c>
      <c r="G23" s="552"/>
    </row>
    <row r="24" spans="1:11" ht="15.75" customHeight="1" thickTop="1" x14ac:dyDescent="0.2">
      <c r="A24" s="2229" t="s">
        <v>1175</v>
      </c>
      <c r="B24" s="2203"/>
      <c r="C24" s="2211"/>
      <c r="D24" s="2212"/>
      <c r="E24" s="2212"/>
      <c r="F24" s="2213"/>
    </row>
    <row r="25" spans="1:11" ht="13.5" thickBot="1" x14ac:dyDescent="0.25">
      <c r="A25" s="2217" t="s">
        <v>655</v>
      </c>
      <c r="B25" s="2218"/>
      <c r="C25" s="581"/>
      <c r="D25" s="581"/>
      <c r="E25" s="581"/>
      <c r="F25" s="1777">
        <f>SUM(C25+D25)-E25</f>
        <v>0</v>
      </c>
      <c r="G25" s="552"/>
    </row>
    <row r="26" spans="1:11" ht="15.75" customHeight="1" thickTop="1" x14ac:dyDescent="0.2">
      <c r="A26" s="2202" t="s">
        <v>678</v>
      </c>
      <c r="B26" s="2203"/>
      <c r="C26" s="728"/>
      <c r="D26" s="728"/>
      <c r="E26" s="728"/>
      <c r="F26" s="729"/>
    </row>
    <row r="27" spans="1:11" ht="13.5" thickBot="1" x14ac:dyDescent="0.25">
      <c r="A27" s="2204" t="s">
        <v>1130</v>
      </c>
      <c r="B27" s="2205"/>
      <c r="C27" s="585"/>
      <c r="D27" s="585"/>
      <c r="E27" s="585"/>
      <c r="F27" s="1777">
        <f>SUM(C27+D27)-E27</f>
        <v>0</v>
      </c>
      <c r="G27" s="552"/>
    </row>
    <row r="28" spans="1:11" ht="7.5" customHeight="1" thickTop="1" x14ac:dyDescent="0.2">
      <c r="A28" s="594"/>
    </row>
    <row r="29" spans="1:11" ht="23.25" customHeight="1" x14ac:dyDescent="0.2">
      <c r="A29" s="2230" t="s">
        <v>603</v>
      </c>
      <c r="B29" s="2207"/>
      <c r="C29" s="730"/>
      <c r="D29" s="730"/>
      <c r="E29" s="730"/>
      <c r="F29" s="730"/>
      <c r="G29" s="730"/>
      <c r="H29" s="730"/>
      <c r="I29" s="730"/>
      <c r="J29" s="730"/>
    </row>
    <row r="30" spans="1:11" ht="33.75" x14ac:dyDescent="0.2">
      <c r="A30" s="1551" t="s">
        <v>1131</v>
      </c>
      <c r="B30" s="731" t="s">
        <v>1186</v>
      </c>
      <c r="C30" s="1910" t="s">
        <v>604</v>
      </c>
      <c r="D30" s="1910" t="s">
        <v>1772</v>
      </c>
      <c r="E30" s="1910" t="s">
        <v>2035</v>
      </c>
      <c r="F30" s="1910" t="s">
        <v>2036</v>
      </c>
      <c r="G30" s="1910" t="s">
        <v>2039</v>
      </c>
      <c r="H30" s="1910" t="s">
        <v>2037</v>
      </c>
      <c r="I30" s="1910" t="s">
        <v>2038</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1911</v>
      </c>
      <c r="B51" s="747"/>
      <c r="C51" s="738"/>
      <c r="D51" s="738"/>
      <c r="E51" s="738"/>
      <c r="F51" s="738"/>
      <c r="G51" s="738"/>
      <c r="H51" s="737"/>
      <c r="I51" s="737"/>
      <c r="J51" s="747"/>
    </row>
    <row r="52" spans="1:11" ht="11.25" customHeight="1" x14ac:dyDescent="0.2">
      <c r="A52" s="749" t="s">
        <v>968</v>
      </c>
      <c r="B52" s="2221" t="s">
        <v>605</v>
      </c>
      <c r="C52" s="2222"/>
      <c r="D52" s="2222"/>
      <c r="E52" s="750" t="s">
        <v>900</v>
      </c>
      <c r="F52" s="2223"/>
      <c r="G52" s="2224"/>
      <c r="H52" s="737"/>
      <c r="I52" s="737"/>
      <c r="J52" s="747"/>
    </row>
    <row r="53" spans="1:11" ht="11.25" customHeight="1" x14ac:dyDescent="0.2">
      <c r="A53" s="751" t="s">
        <v>969</v>
      </c>
      <c r="B53" s="752" t="s">
        <v>1008</v>
      </c>
      <c r="C53" s="747"/>
      <c r="D53" s="738"/>
      <c r="E53" s="750" t="s">
        <v>518</v>
      </c>
      <c r="F53" s="2225"/>
      <c r="G53" s="2226"/>
      <c r="H53" s="737"/>
      <c r="I53" s="737"/>
      <c r="J53" s="747"/>
    </row>
    <row r="54" spans="1:11" ht="11.25" customHeight="1" x14ac:dyDescent="0.2">
      <c r="A54" s="753" t="s">
        <v>970</v>
      </c>
      <c r="B54" s="748" t="s">
        <v>1009</v>
      </c>
      <c r="C54" s="747"/>
      <c r="D54" s="738"/>
      <c r="E54" s="750" t="s">
        <v>519</v>
      </c>
      <c r="F54" s="2225"/>
      <c r="G54" s="222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911</v>
      </c>
      <c r="B1" s="2256"/>
      <c r="C1" s="2256"/>
      <c r="D1" s="2256"/>
      <c r="E1" s="2256"/>
      <c r="F1" s="2256"/>
      <c r="G1" s="2257"/>
      <c r="H1" s="1552"/>
      <c r="I1" s="761"/>
      <c r="J1" s="433"/>
    </row>
    <row r="2" spans="1:11" ht="26.25" x14ac:dyDescent="0.2">
      <c r="A2" s="2234" t="s">
        <v>1776</v>
      </c>
      <c r="B2" s="2235"/>
      <c r="C2" s="2235"/>
      <c r="D2" s="2235"/>
      <c r="E2" s="2236"/>
      <c r="F2" s="762" t="s">
        <v>960</v>
      </c>
      <c r="G2" s="763" t="s">
        <v>1773</v>
      </c>
      <c r="H2" s="763" t="s">
        <v>430</v>
      </c>
      <c r="I2" s="763" t="s">
        <v>1220</v>
      </c>
      <c r="J2" s="763" t="s">
        <v>1916</v>
      </c>
      <c r="K2" s="763" t="s">
        <v>140</v>
      </c>
    </row>
    <row r="3" spans="1:11" x14ac:dyDescent="0.2">
      <c r="A3" s="2237" t="s">
        <v>1698</v>
      </c>
      <c r="B3" s="2238"/>
      <c r="C3" s="2238"/>
      <c r="D3" s="2238"/>
      <c r="E3" s="2239"/>
      <c r="F3" s="764"/>
      <c r="G3" s="765"/>
      <c r="H3" s="765"/>
      <c r="I3" s="765"/>
      <c r="J3" s="766"/>
      <c r="K3" s="766"/>
    </row>
    <row r="4" spans="1:11" x14ac:dyDescent="0.2">
      <c r="A4" s="2240" t="s">
        <v>387</v>
      </c>
      <c r="B4" s="2241"/>
      <c r="C4" s="2241"/>
      <c r="D4" s="2241"/>
      <c r="E4" s="2222"/>
      <c r="F4" s="767"/>
      <c r="G4" s="768"/>
      <c r="H4" s="769"/>
      <c r="I4" s="768"/>
      <c r="J4" s="770"/>
      <c r="K4" s="770"/>
    </row>
    <row r="5" spans="1:11" x14ac:dyDescent="0.2">
      <c r="A5" s="2258" t="s">
        <v>1129</v>
      </c>
      <c r="B5" s="2231"/>
      <c r="C5" s="2231"/>
      <c r="D5" s="2231"/>
      <c r="E5" s="2259"/>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8" t="s">
        <v>1917</v>
      </c>
      <c r="B10" s="2231"/>
      <c r="C10" s="2231"/>
      <c r="D10" s="2231"/>
      <c r="E10" s="2260"/>
      <c r="F10" s="784" t="s">
        <v>917</v>
      </c>
      <c r="G10" s="783"/>
      <c r="H10" s="785"/>
      <c r="I10" s="765"/>
      <c r="J10" s="766"/>
      <c r="K10" s="766"/>
    </row>
    <row r="11" spans="1:11" x14ac:dyDescent="0.2">
      <c r="A11" s="2258" t="s">
        <v>162</v>
      </c>
      <c r="B11" s="2231"/>
      <c r="C11" s="2231"/>
      <c r="D11" s="2231"/>
      <c r="E11" s="2259"/>
      <c r="F11" s="771" t="s">
        <v>907</v>
      </c>
      <c r="G11" s="772"/>
      <c r="H11" s="765"/>
      <c r="I11" s="765"/>
      <c r="J11" s="766"/>
      <c r="K11" s="774"/>
    </row>
    <row r="12" spans="1:11" ht="13.5" thickBot="1" x14ac:dyDescent="0.25">
      <c r="A12" s="2248" t="s">
        <v>961</v>
      </c>
      <c r="B12" s="2249"/>
      <c r="C12" s="2249"/>
      <c r="D12" s="2249"/>
      <c r="E12" s="2250"/>
      <c r="F12" s="1779"/>
      <c r="G12" s="1780">
        <f>SUM(G5:G11)</f>
        <v>0</v>
      </c>
      <c r="H12" s="1780">
        <f>SUM(H5:H11)</f>
        <v>0</v>
      </c>
      <c r="I12" s="1780">
        <f>SUM(I5:I11)</f>
        <v>0</v>
      </c>
      <c r="J12" s="1780">
        <f>SUM(J5:J11)</f>
        <v>0</v>
      </c>
      <c r="K12" s="1780">
        <f>SUM(K5:K11)</f>
        <v>0</v>
      </c>
    </row>
    <row r="13" spans="1:11" ht="13.5" thickTop="1" x14ac:dyDescent="0.2">
      <c r="A13" s="2242" t="s">
        <v>388</v>
      </c>
      <c r="B13" s="2243"/>
      <c r="C13" s="2243"/>
      <c r="D13" s="2243"/>
      <c r="E13" s="2244"/>
      <c r="F13" s="786"/>
      <c r="G13" s="787"/>
      <c r="H13" s="788"/>
      <c r="I13" s="789"/>
      <c r="J13" s="789"/>
      <c r="K13" s="789"/>
    </row>
    <row r="14" spans="1:11" x14ac:dyDescent="0.2">
      <c r="A14" s="2264" t="s">
        <v>476</v>
      </c>
      <c r="B14" s="2264"/>
      <c r="C14" s="2264"/>
      <c r="D14" s="2264"/>
      <c r="E14" s="2265"/>
      <c r="F14" s="790" t="s">
        <v>909</v>
      </c>
      <c r="G14" s="783"/>
      <c r="H14" s="765"/>
      <c r="I14" s="772"/>
      <c r="J14" s="774"/>
      <c r="K14" s="766"/>
    </row>
    <row r="15" spans="1:11" x14ac:dyDescent="0.2">
      <c r="A15" s="2231" t="s">
        <v>4</v>
      </c>
      <c r="B15" s="2231"/>
      <c r="C15" s="2231"/>
      <c r="D15" s="2231"/>
      <c r="E15" s="2259"/>
      <c r="F15" s="790" t="s">
        <v>910</v>
      </c>
      <c r="G15" s="772"/>
      <c r="H15" s="765"/>
      <c r="I15" s="765"/>
      <c r="J15" s="766"/>
      <c r="K15" s="766"/>
    </row>
    <row r="16" spans="1:11" x14ac:dyDescent="0.2">
      <c r="A16" s="2231" t="s">
        <v>316</v>
      </c>
      <c r="B16" s="2231"/>
      <c r="C16" s="2231"/>
      <c r="D16" s="2231"/>
      <c r="E16" s="2259"/>
      <c r="F16" s="790" t="s">
        <v>980</v>
      </c>
      <c r="G16" s="773"/>
      <c r="H16" s="768"/>
      <c r="I16" s="768"/>
      <c r="J16" s="770"/>
      <c r="K16" s="770"/>
    </row>
    <row r="17" spans="1:11" x14ac:dyDescent="0.2">
      <c r="A17" s="2253" t="s">
        <v>992</v>
      </c>
      <c r="B17" s="2253"/>
      <c r="C17" s="2253"/>
      <c r="D17" s="2253"/>
      <c r="E17" s="2254"/>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66" t="s">
        <v>1913</v>
      </c>
      <c r="B19" s="2266"/>
      <c r="C19" s="2266"/>
      <c r="D19" s="2266"/>
      <c r="E19" s="2267"/>
      <c r="F19" s="790" t="s">
        <v>990</v>
      </c>
      <c r="G19" s="783"/>
      <c r="H19" s="783"/>
      <c r="I19" s="783"/>
      <c r="J19" s="766"/>
      <c r="K19" s="796"/>
    </row>
    <row r="20" spans="1:11" x14ac:dyDescent="0.2">
      <c r="A20" s="2245" t="s">
        <v>1918</v>
      </c>
      <c r="B20" s="2246"/>
      <c r="C20" s="2246"/>
      <c r="D20" s="2246"/>
      <c r="E20" s="2247"/>
      <c r="F20" s="790" t="s">
        <v>991</v>
      </c>
      <c r="G20" s="783"/>
      <c r="H20" s="783"/>
      <c r="I20" s="783"/>
      <c r="J20" s="766"/>
      <c r="K20" s="796"/>
    </row>
    <row r="21" spans="1:11" ht="13.5" thickBot="1" x14ac:dyDescent="0.25">
      <c r="A21" s="2251" t="s">
        <v>659</v>
      </c>
      <c r="B21" s="2251"/>
      <c r="C21" s="2251"/>
      <c r="D21" s="2251"/>
      <c r="E21" s="2251"/>
      <c r="F21" s="1781"/>
      <c r="G21" s="793"/>
      <c r="H21" s="797"/>
      <c r="I21" s="797"/>
      <c r="J21" s="1782">
        <f>SUM(J18:J20)</f>
        <v>0</v>
      </c>
      <c r="K21" s="794"/>
    </row>
    <row r="22" spans="1:11" ht="13.5" thickTop="1" x14ac:dyDescent="0.2">
      <c r="A22" s="2231" t="s">
        <v>1919</v>
      </c>
      <c r="B22" s="2231"/>
      <c r="C22" s="2231"/>
      <c r="D22" s="2231"/>
      <c r="E22" s="2259"/>
      <c r="F22" s="790" t="s">
        <v>917</v>
      </c>
      <c r="G22" s="783"/>
      <c r="H22" s="765"/>
      <c r="I22" s="765"/>
      <c r="J22" s="798"/>
      <c r="K22" s="766"/>
    </row>
    <row r="23" spans="1:11" ht="13.5" thickBot="1" x14ac:dyDescent="0.25">
      <c r="A23" s="2252" t="s">
        <v>962</v>
      </c>
      <c r="B23" s="2251"/>
      <c r="C23" s="2251"/>
      <c r="D23" s="2251"/>
      <c r="E23" s="2251"/>
      <c r="F23" s="1783"/>
      <c r="G23" s="1780">
        <f>SUM(G14:G16,G21,G22)</f>
        <v>0</v>
      </c>
      <c r="H23" s="1780">
        <f>SUM(H14:H16,H21,H22)</f>
        <v>0</v>
      </c>
      <c r="I23" s="1780">
        <f>SUM(I14:I16,I21,I22)</f>
        <v>0</v>
      </c>
      <c r="J23" s="1780">
        <f>SUM(J14:J16,J21,J22)</f>
        <v>0</v>
      </c>
      <c r="K23" s="1780">
        <f>SUM(K14:K16,K21,K22)</f>
        <v>0</v>
      </c>
    </row>
    <row r="24" spans="1:11" ht="14.25" thickTop="1" thickBot="1" x14ac:dyDescent="0.25">
      <c r="A24" s="2252" t="s">
        <v>2021</v>
      </c>
      <c r="B24" s="2251"/>
      <c r="C24" s="2251"/>
      <c r="D24" s="2251"/>
      <c r="E24" s="2251"/>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2031</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1"/>
      <c r="I31" s="2262"/>
      <c r="J31" s="2262"/>
      <c r="K31" s="2262"/>
    </row>
    <row r="32" spans="1:11" x14ac:dyDescent="0.2">
      <c r="A32" s="810"/>
      <c r="B32" s="237"/>
      <c r="C32" s="237"/>
      <c r="D32" s="237"/>
      <c r="E32" s="806"/>
      <c r="F32" s="812" t="s">
        <v>561</v>
      </c>
      <c r="G32" s="765"/>
      <c r="H32" s="2263"/>
      <c r="I32" s="2262"/>
      <c r="J32" s="2262"/>
      <c r="K32" s="2262"/>
    </row>
    <row r="33" spans="1:11" ht="1.5" customHeight="1" x14ac:dyDescent="0.2">
      <c r="A33" s="813" t="s">
        <v>1231</v>
      </c>
      <c r="B33" s="364"/>
      <c r="C33" s="364"/>
      <c r="D33" s="364"/>
      <c r="E33" s="364"/>
      <c r="F33" s="364"/>
      <c r="G33" s="814"/>
      <c r="H33" s="2263"/>
      <c r="I33" s="2262"/>
      <c r="J33" s="2262"/>
      <c r="K33" s="2262"/>
    </row>
    <row r="34" spans="1:11" x14ac:dyDescent="0.2">
      <c r="A34" s="815" t="s">
        <v>1920</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1" t="s">
        <v>562</v>
      </c>
      <c r="B41" s="2232"/>
      <c r="C41" s="2232"/>
      <c r="D41" s="2232"/>
      <c r="E41" s="2232"/>
      <c r="F41" s="2233"/>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1914</v>
      </c>
      <c r="B46" s="408" t="s">
        <v>1774</v>
      </c>
    </row>
    <row r="47" spans="1:11" s="824" customFormat="1" ht="12.75" customHeight="1" x14ac:dyDescent="0.2">
      <c r="A47" s="822"/>
      <c r="B47" s="823" t="s">
        <v>1775</v>
      </c>
      <c r="E47" s="823"/>
      <c r="K47" s="825"/>
    </row>
    <row r="48" spans="1:11" ht="12.75" customHeight="1" x14ac:dyDescent="0.2">
      <c r="A48" s="1554" t="s">
        <v>1915</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2030</v>
      </c>
      <c r="B1" s="2271"/>
      <c r="C1" s="2272"/>
      <c r="D1" s="827"/>
      <c r="E1" s="828"/>
      <c r="F1" s="828"/>
      <c r="G1" s="829"/>
      <c r="H1" s="830"/>
      <c r="I1" s="831"/>
      <c r="J1" s="2268"/>
      <c r="K1" s="2269"/>
      <c r="L1" s="2269"/>
    </row>
    <row r="2" spans="1:14" ht="69.75" customHeight="1" x14ac:dyDescent="0.2">
      <c r="A2" s="832" t="s">
        <v>1777</v>
      </c>
      <c r="B2" s="833" t="s">
        <v>396</v>
      </c>
      <c r="C2" s="834" t="s">
        <v>2025</v>
      </c>
      <c r="D2" s="834" t="s">
        <v>2022</v>
      </c>
      <c r="E2" s="834" t="s">
        <v>2023</v>
      </c>
      <c r="F2" s="834" t="s">
        <v>2024</v>
      </c>
      <c r="G2" s="834" t="s">
        <v>626</v>
      </c>
      <c r="H2" s="834" t="s">
        <v>2026</v>
      </c>
      <c r="I2" s="834" t="s">
        <v>2027</v>
      </c>
      <c r="J2" s="834" t="s">
        <v>2042</v>
      </c>
      <c r="K2" s="834" t="s">
        <v>2028</v>
      </c>
      <c r="L2" s="834" t="s">
        <v>2029</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591886</v>
      </c>
      <c r="D8" s="845"/>
      <c r="E8" s="845"/>
      <c r="F8" s="1782">
        <f>(C8+D8)-E8</f>
        <v>591886</v>
      </c>
      <c r="G8" s="844">
        <v>50</v>
      </c>
      <c r="H8" s="766">
        <v>23676</v>
      </c>
      <c r="I8" s="766">
        <v>11838</v>
      </c>
      <c r="J8" s="766"/>
      <c r="K8" s="1791">
        <f>(H8+I8)-J8</f>
        <v>35514</v>
      </c>
      <c r="L8" s="1791">
        <f>F8-K8</f>
        <v>556372</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42863</v>
      </c>
      <c r="D10" s="847"/>
      <c r="E10" s="847"/>
      <c r="F10" s="1786">
        <f>(C10+D10)-E10</f>
        <v>42863</v>
      </c>
      <c r="G10" s="844">
        <v>20</v>
      </c>
      <c r="H10" s="848">
        <v>36432</v>
      </c>
      <c r="I10" s="848">
        <v>2143</v>
      </c>
      <c r="J10" s="848"/>
      <c r="K10" s="1791">
        <f>(H10+I10)-J10</f>
        <v>38575</v>
      </c>
      <c r="L10" s="1791">
        <f>F10-K10</f>
        <v>4288</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1100923</v>
      </c>
      <c r="D12" s="845">
        <v>49091</v>
      </c>
      <c r="E12" s="845"/>
      <c r="F12" s="1782">
        <f>(C12+D12)-E12</f>
        <v>1150014</v>
      </c>
      <c r="G12" s="844">
        <v>10</v>
      </c>
      <c r="H12" s="766">
        <v>771033</v>
      </c>
      <c r="I12" s="766">
        <v>56725</v>
      </c>
      <c r="J12" s="766"/>
      <c r="K12" s="1791">
        <f>(H12+I12)-J12</f>
        <v>827758</v>
      </c>
      <c r="L12" s="1791">
        <f>F12-K12</f>
        <v>322256</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1735672</v>
      </c>
      <c r="D16" s="1782">
        <f>SUM(D3,D5:D6,D8:D10,D12:D15)</f>
        <v>49091</v>
      </c>
      <c r="E16" s="1782">
        <f>SUM(E3,E5:E6,E8:E10,E12:E15)</f>
        <v>0</v>
      </c>
      <c r="F16" s="1782">
        <f>SUM(F3,F5:F6,F8:F10,F12:F15)</f>
        <v>1784763</v>
      </c>
      <c r="G16" s="844"/>
      <c r="H16" s="1782">
        <f>SUM(H3,H6,H8:H10,H12:H14,)</f>
        <v>831141</v>
      </c>
      <c r="I16" s="1782">
        <f>SUM(I3,I6,I8:I10,I12:I14,)</f>
        <v>70706</v>
      </c>
      <c r="J16" s="1782">
        <f>SUM(J3,J6,J8:J10,J12:J14,)</f>
        <v>0</v>
      </c>
      <c r="K16" s="1782">
        <f>(H16+I16)-J16</f>
        <v>901847</v>
      </c>
      <c r="L16" s="1782">
        <f>F16-K16</f>
        <v>882916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70706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3193118</v>
      </c>
      <c r="G8" s="866"/>
    </row>
    <row r="9" spans="1:7" x14ac:dyDescent="0.2">
      <c r="A9" s="870" t="s">
        <v>480</v>
      </c>
      <c r="B9" s="871" t="s">
        <v>1985</v>
      </c>
      <c r="C9" s="872"/>
      <c r="D9" s="870" t="s">
        <v>522</v>
      </c>
      <c r="E9" s="869"/>
      <c r="F9" s="1935">
        <f>'Expenditures 15-22'!K151</f>
        <v>0</v>
      </c>
      <c r="G9" s="873"/>
    </row>
    <row r="10" spans="1:7" x14ac:dyDescent="0.2">
      <c r="A10" s="870" t="s">
        <v>520</v>
      </c>
      <c r="B10" s="871" t="s">
        <v>1986</v>
      </c>
      <c r="C10" s="872"/>
      <c r="D10" s="870" t="s">
        <v>522</v>
      </c>
      <c r="E10" s="869"/>
      <c r="F10" s="1935">
        <f>'Expenditures 15-22'!K174</f>
        <v>0</v>
      </c>
      <c r="G10" s="873"/>
    </row>
    <row r="11" spans="1:7" x14ac:dyDescent="0.2">
      <c r="A11" s="870" t="s">
        <v>481</v>
      </c>
      <c r="B11" s="871" t="s">
        <v>1987</v>
      </c>
      <c r="C11" s="872"/>
      <c r="D11" s="870" t="s">
        <v>522</v>
      </c>
      <c r="E11" s="869"/>
      <c r="F11" s="1935">
        <f>'Expenditures 15-22'!K210</f>
        <v>0</v>
      </c>
      <c r="G11" s="873"/>
    </row>
    <row r="12" spans="1:7" x14ac:dyDescent="0.2">
      <c r="A12" s="870" t="s">
        <v>482</v>
      </c>
      <c r="B12" s="871" t="s">
        <v>1988</v>
      </c>
      <c r="C12" s="872"/>
      <c r="D12" s="870" t="s">
        <v>522</v>
      </c>
      <c r="E12" s="869"/>
      <c r="F12" s="1935">
        <f>'Expenditures 15-22'!K295</f>
        <v>0</v>
      </c>
      <c r="G12" s="873"/>
    </row>
    <row r="13" spans="1:7" x14ac:dyDescent="0.2">
      <c r="A13" s="870" t="s">
        <v>108</v>
      </c>
      <c r="B13" s="871" t="s">
        <v>1989</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3193118</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45424</v>
      </c>
      <c r="G52" s="866"/>
    </row>
    <row r="53" spans="1:7" x14ac:dyDescent="0.2">
      <c r="A53" s="870" t="s">
        <v>479</v>
      </c>
      <c r="B53" s="870" t="s">
        <v>1551</v>
      </c>
      <c r="C53" s="890">
        <f>'Expenditures 15-22'!B102</f>
        <v>4000</v>
      </c>
      <c r="D53" s="889" t="str">
        <f>'Expenditures 15-22'!A102</f>
        <v>Total Payments to Other Govt Units</v>
      </c>
      <c r="E53" s="869"/>
      <c r="F53" s="1939">
        <f>'Expenditures 15-22'!K102</f>
        <v>19259</v>
      </c>
      <c r="G53" s="866"/>
    </row>
    <row r="54" spans="1:7" x14ac:dyDescent="0.2">
      <c r="A54" s="870" t="s">
        <v>479</v>
      </c>
      <c r="B54" s="870" t="s">
        <v>1552</v>
      </c>
      <c r="C54" s="890" t="s">
        <v>1039</v>
      </c>
      <c r="D54" s="886" t="s">
        <v>1157</v>
      </c>
      <c r="E54" s="869"/>
      <c r="F54" s="1939">
        <f>'Expenditures 15-22'!G114</f>
        <v>49091</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1990</v>
      </c>
      <c r="C57" s="890">
        <f>'Expenditures 15-22'!B139</f>
        <v>4000</v>
      </c>
      <c r="D57" s="888" t="str">
        <f>'Expenditures 15-22'!A139</f>
        <v>Total Payments to Other Govt Units</v>
      </c>
      <c r="E57" s="869"/>
      <c r="F57" s="1939">
        <f>'Expenditures 15-22'!K139</f>
        <v>0</v>
      </c>
      <c r="G57" s="866"/>
    </row>
    <row r="58" spans="1:7" x14ac:dyDescent="0.2">
      <c r="A58" s="870" t="s">
        <v>480</v>
      </c>
      <c r="B58" s="870" t="s">
        <v>1991</v>
      </c>
      <c r="C58" s="887" t="s">
        <v>1039</v>
      </c>
      <c r="D58" s="886" t="s">
        <v>1157</v>
      </c>
      <c r="E58" s="869"/>
      <c r="F58" s="1941">
        <f>'Expenditures 15-22'!G151</f>
        <v>0</v>
      </c>
      <c r="G58" s="866"/>
    </row>
    <row r="59" spans="1:7" x14ac:dyDescent="0.2">
      <c r="A59" s="894" t="s">
        <v>480</v>
      </c>
      <c r="B59" s="857" t="s">
        <v>1992</v>
      </c>
      <c r="C59" s="895" t="s">
        <v>1039</v>
      </c>
      <c r="D59" s="857" t="s">
        <v>309</v>
      </c>
      <c r="F59" s="1942">
        <f>'Expenditures 15-22'!I151</f>
        <v>0</v>
      </c>
      <c r="G59" s="866"/>
    </row>
    <row r="60" spans="1:7" x14ac:dyDescent="0.2">
      <c r="A60" s="894" t="s">
        <v>520</v>
      </c>
      <c r="B60" s="857" t="s">
        <v>1993</v>
      </c>
      <c r="C60" s="895">
        <v>4000</v>
      </c>
      <c r="D60" s="857" t="s">
        <v>330</v>
      </c>
      <c r="F60" s="1940">
        <f>'Expenditures 15-22'!K160</f>
        <v>0</v>
      </c>
      <c r="G60" s="866"/>
    </row>
    <row r="61" spans="1:7" x14ac:dyDescent="0.2">
      <c r="A61" s="896" t="s">
        <v>520</v>
      </c>
      <c r="B61" s="896" t="s">
        <v>1994</v>
      </c>
      <c r="C61" s="897" t="str">
        <f>'Expenditures 15-22'!B170</f>
        <v>5300</v>
      </c>
      <c r="D61" s="898" t="s">
        <v>329</v>
      </c>
      <c r="E61" s="880"/>
      <c r="F61" s="1939">
        <f>'Expenditures 15-22'!K170</f>
        <v>0</v>
      </c>
      <c r="G61" s="866"/>
    </row>
    <row r="62" spans="1:7" x14ac:dyDescent="0.2">
      <c r="A62" s="870" t="s">
        <v>481</v>
      </c>
      <c r="B62" s="870" t="s">
        <v>1995</v>
      </c>
      <c r="C62" s="887">
        <f>'Expenditures 15-22'!B185</f>
        <v>3000</v>
      </c>
      <c r="D62" s="877" t="s">
        <v>469</v>
      </c>
      <c r="E62" s="869"/>
      <c r="F62" s="1939">
        <f>'Expenditures 15-22'!K185-SUM('Expenditures 15-22'!G185,'Expenditures 15-22'!I185)</f>
        <v>0</v>
      </c>
      <c r="G62" s="866"/>
    </row>
    <row r="63" spans="1:7" x14ac:dyDescent="0.2">
      <c r="A63" s="870" t="s">
        <v>481</v>
      </c>
      <c r="B63" s="870" t="s">
        <v>1996</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1997</v>
      </c>
      <c r="C64" s="897" t="str">
        <f>'Expenditures 15-22'!B206</f>
        <v>5300</v>
      </c>
      <c r="D64" s="893" t="s">
        <v>329</v>
      </c>
      <c r="E64" s="869"/>
      <c r="F64" s="1939">
        <f>'Expenditures 15-22'!K206</f>
        <v>0</v>
      </c>
      <c r="G64" s="866"/>
    </row>
    <row r="65" spans="1:8" x14ac:dyDescent="0.2">
      <c r="A65" s="870" t="s">
        <v>481</v>
      </c>
      <c r="B65" s="870" t="s">
        <v>1998</v>
      </c>
      <c r="C65" s="887" t="s">
        <v>1039</v>
      </c>
      <c r="D65" s="886" t="s">
        <v>1157</v>
      </c>
      <c r="E65" s="869"/>
      <c r="F65" s="1939">
        <f>'Expenditures 15-22'!G210</f>
        <v>0</v>
      </c>
      <c r="G65" s="866"/>
    </row>
    <row r="66" spans="1:8" x14ac:dyDescent="0.2">
      <c r="A66" s="870" t="s">
        <v>481</v>
      </c>
      <c r="B66" s="870" t="s">
        <v>1999</v>
      </c>
      <c r="C66" s="887" t="s">
        <v>1039</v>
      </c>
      <c r="D66" s="886" t="s">
        <v>309</v>
      </c>
      <c r="E66" s="869"/>
      <c r="F66" s="1939">
        <f>'Expenditures 15-22'!I210</f>
        <v>0</v>
      </c>
      <c r="G66" s="866"/>
    </row>
    <row r="67" spans="1:8" x14ac:dyDescent="0.2">
      <c r="A67" s="870" t="s">
        <v>482</v>
      </c>
      <c r="B67" s="870" t="s">
        <v>2000</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2001</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2002</v>
      </c>
      <c r="C70" s="887">
        <f>'Expenditures 15-22'!B221</f>
        <v>1300</v>
      </c>
      <c r="D70" s="888" t="str">
        <f>'Expenditures 15-22'!A221</f>
        <v>Adult/Continuing Education Programs</v>
      </c>
      <c r="E70" s="869"/>
      <c r="F70" s="1939">
        <f>'Expenditures 15-22'!K221</f>
        <v>0</v>
      </c>
      <c r="G70" s="866"/>
    </row>
    <row r="71" spans="1:8" x14ac:dyDescent="0.2">
      <c r="A71" s="870" t="s">
        <v>482</v>
      </c>
      <c r="B71" s="870" t="s">
        <v>2003</v>
      </c>
      <c r="C71" s="887">
        <f>'Expenditures 15-22'!B224</f>
        <v>1600</v>
      </c>
      <c r="D71" s="888" t="str">
        <f>'Expenditures 15-22'!A224</f>
        <v>Summer School Programs</v>
      </c>
      <c r="E71" s="869"/>
      <c r="F71" s="1939">
        <f>'Expenditures 15-22'!K224</f>
        <v>0</v>
      </c>
      <c r="G71" s="866"/>
    </row>
    <row r="72" spans="1:8" x14ac:dyDescent="0.2">
      <c r="A72" s="870" t="s">
        <v>482</v>
      </c>
      <c r="B72" s="870" t="s">
        <v>2004</v>
      </c>
      <c r="C72" s="887">
        <f>'Expenditures 15-22'!B280</f>
        <v>3000</v>
      </c>
      <c r="D72" s="877" t="s">
        <v>469</v>
      </c>
      <c r="E72" s="869"/>
      <c r="F72" s="1939">
        <f>'Expenditures 15-22'!K280</f>
        <v>0</v>
      </c>
      <c r="G72" s="866"/>
    </row>
    <row r="73" spans="1:8" x14ac:dyDescent="0.2">
      <c r="A73" s="870" t="s">
        <v>482</v>
      </c>
      <c r="B73" s="870" t="s">
        <v>2005</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2006</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2007</v>
      </c>
      <c r="E76" s="1796" t="s">
        <v>1015</v>
      </c>
      <c r="F76" s="1800">
        <f>SUM(F18:F74)</f>
        <v>113774</v>
      </c>
      <c r="G76" s="866"/>
    </row>
    <row r="77" spans="1:8" s="894" customFormat="1" ht="12" customHeight="1" thickTop="1" thickBot="1" x14ac:dyDescent="0.25">
      <c r="A77" s="1801"/>
      <c r="B77" s="1798"/>
      <c r="C77" s="1794"/>
      <c r="D77" s="1799" t="s">
        <v>2008</v>
      </c>
      <c r="E77" s="1796"/>
      <c r="F77" s="1802">
        <f>(F14-F76)</f>
        <v>3079344</v>
      </c>
      <c r="G77" s="870"/>
    </row>
    <row r="78" spans="1:8" s="894" customFormat="1" ht="12" customHeight="1" thickTop="1" x14ac:dyDescent="0.2">
      <c r="A78" s="1803"/>
      <c r="B78" s="1798"/>
      <c r="C78" s="1794"/>
      <c r="D78" s="1799" t="s">
        <v>2054</v>
      </c>
      <c r="E78" s="1796"/>
      <c r="F78" s="899">
        <v>0</v>
      </c>
      <c r="G78" s="900"/>
      <c r="H78" s="870"/>
    </row>
    <row r="79" spans="1:8" s="894" customFormat="1" ht="12" customHeight="1" thickBot="1" x14ac:dyDescent="0.25">
      <c r="A79" s="1804"/>
      <c r="B79" s="1798"/>
      <c r="C79" s="1794"/>
      <c r="D79" s="1799" t="s">
        <v>2009</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76184</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1131051</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15495</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80310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110607</v>
      </c>
      <c r="G174" s="928"/>
    </row>
    <row r="175" spans="1:7" x14ac:dyDescent="0.2">
      <c r="A175" s="1944" t="s">
        <v>5</v>
      </c>
      <c r="B175" s="1945" t="s">
        <v>2053</v>
      </c>
      <c r="C175" s="1946">
        <v>3100</v>
      </c>
      <c r="D175" s="1947" t="s">
        <v>2056</v>
      </c>
      <c r="E175" s="907"/>
      <c r="F175" s="1931"/>
      <c r="G175" s="928"/>
    </row>
    <row r="176" spans="1:7" x14ac:dyDescent="0.2">
      <c r="A176" s="1944" t="s">
        <v>685</v>
      </c>
      <c r="B176" s="1945" t="s">
        <v>2053</v>
      </c>
      <c r="C176" s="1946">
        <v>3300</v>
      </c>
      <c r="D176" s="1947" t="s">
        <v>2057</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2010</v>
      </c>
      <c r="E178" s="1809" t="s">
        <v>1015</v>
      </c>
      <c r="F178" s="1810">
        <f>SUM(F84:F136,F161:F176)</f>
        <v>1413647</v>
      </c>
    </row>
    <row r="179" spans="1:7" ht="12" customHeight="1" x14ac:dyDescent="0.2">
      <c r="A179" s="1792"/>
      <c r="B179" s="1806"/>
      <c r="C179" s="1807"/>
      <c r="D179" s="1808" t="s">
        <v>2011</v>
      </c>
      <c r="E179" s="1809"/>
      <c r="F179" s="1811">
        <f>'PCTC-OEPP 27-28'!F77-F178</f>
        <v>1665697</v>
      </c>
    </row>
    <row r="180" spans="1:7" ht="12" customHeight="1" x14ac:dyDescent="0.2">
      <c r="A180" s="1792"/>
      <c r="B180" s="1806"/>
      <c r="C180" s="1807"/>
      <c r="D180" s="1808" t="s">
        <v>1921</v>
      </c>
      <c r="E180" s="1809"/>
      <c r="F180" s="1811">
        <f>'Cap Outlay Deprec 26'!I18</f>
        <v>70706</v>
      </c>
    </row>
    <row r="181" spans="1:7" ht="12" customHeight="1" x14ac:dyDescent="0.2">
      <c r="A181" s="1792"/>
      <c r="B181" s="1806"/>
      <c r="C181" s="1807"/>
      <c r="D181" s="1808" t="s">
        <v>2012</v>
      </c>
      <c r="E181" s="1809"/>
      <c r="F181" s="1811">
        <f>F179+F180</f>
        <v>1736403</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2013</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2055</v>
      </c>
      <c r="B185" s="931"/>
      <c r="C185" s="950"/>
      <c r="D185" s="931"/>
      <c r="E185" s="950"/>
      <c r="F185" s="931"/>
      <c r="G185" s="931"/>
    </row>
    <row r="186" spans="1:7" s="1948" customFormat="1" ht="12.2" customHeight="1" x14ac:dyDescent="0.2">
      <c r="A186" s="1948" t="s">
        <v>2060</v>
      </c>
      <c r="B186" s="1949"/>
      <c r="C186" s="1950"/>
      <c r="D186" s="1949"/>
      <c r="E186" s="1950"/>
      <c r="F186" s="1949"/>
      <c r="G186" s="1949"/>
    </row>
    <row r="187" spans="1:7" s="1948" customFormat="1" ht="12.2" customHeight="1" x14ac:dyDescent="0.2">
      <c r="A187" s="1951" t="s">
        <v>2061</v>
      </c>
      <c r="C187" s="1950"/>
      <c r="D187" s="1949"/>
      <c r="E187" s="1950"/>
      <c r="F187" s="1949"/>
      <c r="G187" s="1949"/>
    </row>
    <row r="188" spans="1:7" ht="12" customHeight="1" x14ac:dyDescent="0.2">
      <c r="C188" s="950"/>
      <c r="D188" s="931"/>
      <c r="E188" s="950"/>
      <c r="F188" s="931"/>
      <c r="G188" s="931"/>
    </row>
    <row r="189" spans="1:7" x14ac:dyDescent="0.2">
      <c r="A189" s="1952" t="s">
        <v>2059</v>
      </c>
      <c r="B189" s="1953" t="s">
        <v>2058</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1937</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1922</v>
      </c>
      <c r="B4" s="2288"/>
      <c r="C4" s="2288"/>
      <c r="D4" s="2288"/>
      <c r="E4" s="2288"/>
      <c r="F4" s="2288"/>
      <c r="G4" s="2289"/>
    </row>
    <row r="5" spans="1:7" x14ac:dyDescent="0.25">
      <c r="A5" s="2290"/>
      <c r="B5" s="2291"/>
      <c r="C5" s="2291"/>
      <c r="D5" s="2291"/>
      <c r="E5" s="2291"/>
      <c r="F5" s="2291"/>
      <c r="G5" s="2292"/>
    </row>
    <row r="6" spans="1:7" ht="18.75" x14ac:dyDescent="0.25">
      <c r="A6" s="1556" t="s">
        <v>1923</v>
      </c>
      <c r="B6" s="1557"/>
      <c r="C6" s="1557"/>
      <c r="D6" s="1557"/>
      <c r="E6" s="1557"/>
      <c r="F6" s="1557"/>
      <c r="G6" s="1558"/>
    </row>
    <row r="7" spans="1:7" ht="30.75" customHeight="1" x14ac:dyDescent="0.25">
      <c r="A7" s="2293" t="s">
        <v>2070</v>
      </c>
      <c r="B7" s="2294"/>
      <c r="C7" s="2294"/>
      <c r="D7" s="2294"/>
      <c r="E7" s="2294"/>
      <c r="F7" s="2294"/>
      <c r="G7" s="2295"/>
    </row>
    <row r="8" spans="1:7" ht="15.75" customHeight="1" x14ac:dyDescent="0.25">
      <c r="A8" s="2296" t="s">
        <v>2019</v>
      </c>
      <c r="B8" s="2297"/>
      <c r="C8" s="2297"/>
      <c r="D8" s="2297"/>
      <c r="E8" s="2297"/>
      <c r="F8" s="2297"/>
      <c r="G8" s="2298"/>
    </row>
    <row r="9" spans="1:7" ht="35.25" customHeight="1" x14ac:dyDescent="0.25">
      <c r="A9" s="2293" t="s">
        <v>2073</v>
      </c>
      <c r="B9" s="2294"/>
      <c r="C9" s="2294"/>
      <c r="D9" s="2294"/>
      <c r="E9" s="2294"/>
      <c r="F9" s="2294"/>
      <c r="G9" s="2295"/>
    </row>
    <row r="10" spans="1:7" ht="15" customHeight="1" x14ac:dyDescent="0.25">
      <c r="A10" s="1559" t="s">
        <v>1924</v>
      </c>
      <c r="B10" s="1560"/>
      <c r="C10" s="1560"/>
      <c r="D10" s="1560"/>
      <c r="E10" s="1560"/>
      <c r="F10" s="1560"/>
      <c r="G10" s="1561"/>
    </row>
    <row r="11" spans="1:7" ht="17.25" customHeight="1" x14ac:dyDescent="0.25">
      <c r="A11" s="2293" t="s">
        <v>2072</v>
      </c>
      <c r="B11" s="2294"/>
      <c r="C11" s="2294"/>
      <c r="D11" s="2294"/>
      <c r="E11" s="2294"/>
      <c r="F11" s="2294"/>
      <c r="G11" s="2295"/>
    </row>
    <row r="12" spans="1:7" ht="15" customHeight="1" x14ac:dyDescent="0.25">
      <c r="A12" s="1559" t="s">
        <v>1929</v>
      </c>
      <c r="B12" s="1560"/>
      <c r="C12" s="1560"/>
      <c r="D12" s="1560"/>
      <c r="E12" s="1560"/>
      <c r="F12" s="1560"/>
      <c r="G12" s="1561"/>
    </row>
    <row r="13" spans="1:7" ht="32.25" customHeight="1" x14ac:dyDescent="0.25">
      <c r="A13" s="2284" t="s">
        <v>1930</v>
      </c>
      <c r="B13" s="2285"/>
      <c r="C13" s="2285"/>
      <c r="D13" s="2285"/>
      <c r="E13" s="2285"/>
      <c r="F13" s="2285"/>
      <c r="G13" s="2286"/>
    </row>
    <row r="14" spans="1:7" x14ac:dyDescent="0.25">
      <c r="A14" s="1683" t="s">
        <v>1938</v>
      </c>
      <c r="B14" s="1684"/>
      <c r="C14" s="1684"/>
      <c r="D14" s="1684"/>
      <c r="E14" s="1684"/>
      <c r="F14" s="1684"/>
      <c r="G14" s="1685"/>
    </row>
    <row r="15" spans="1:7" ht="61.5" customHeight="1" x14ac:dyDescent="0.25">
      <c r="A15" s="1568" t="s">
        <v>1931</v>
      </c>
      <c r="B15" s="1568" t="s">
        <v>1932</v>
      </c>
      <c r="C15" s="1568" t="s">
        <v>1933</v>
      </c>
      <c r="D15" s="1569" t="s">
        <v>1934</v>
      </c>
      <c r="E15" s="1569" t="s">
        <v>1925</v>
      </c>
      <c r="F15" s="1569" t="s">
        <v>1935</v>
      </c>
      <c r="G15" s="1569" t="s">
        <v>1936</v>
      </c>
    </row>
    <row r="16" spans="1:7" x14ac:dyDescent="0.25">
      <c r="A16" s="1670" t="s">
        <v>1939</v>
      </c>
      <c r="B16" s="1671" t="s">
        <v>1928</v>
      </c>
      <c r="C16" s="1672" t="s">
        <v>1926</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2091</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2071</v>
      </c>
      <c r="B10" s="972"/>
      <c r="C10" s="977"/>
      <c r="D10" s="973"/>
      <c r="E10" s="974">
        <v>8433</v>
      </c>
      <c r="F10" s="975"/>
      <c r="G10" s="976"/>
      <c r="H10" s="162"/>
      <c r="I10" s="162"/>
    </row>
    <row r="11" spans="1:9" s="669" customFormat="1" ht="22.5" customHeight="1" x14ac:dyDescent="0.2">
      <c r="A11" s="2304" t="s">
        <v>1941</v>
      </c>
      <c r="B11" s="2305"/>
      <c r="C11" s="2305"/>
      <c r="D11" s="2306"/>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949418</v>
      </c>
      <c r="F19" s="1822"/>
      <c r="G19" s="1824">
        <f>'Expenditures 15-22'!K33-SUM('Expenditures 15-22'!G33,'Expenditures 15-22'!I33)+'Expenditures 15-22'!D229</f>
        <v>949418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1116751</v>
      </c>
      <c r="F21" s="1825"/>
      <c r="G21" s="1828">
        <f>'Expenditures 15-22'!K42-SUM('Expenditures 15-22'!G42,'Expenditures 15-22'!I42)+'Expenditures 15-22'!K120-SUM('Expenditures 15-22'!G120,'Expenditures 15-22'!I120)+'Expenditures 15-22'!K180-SUM('Expenditures 15-22'!G180,'Expenditures 15-22'!I180)+'Expenditures 15-22'!D238</f>
        <v>1116751</v>
      </c>
      <c r="H21" s="988"/>
      <c r="I21" s="162"/>
    </row>
    <row r="22" spans="1:9" s="669" customFormat="1" ht="12" customHeight="1" x14ac:dyDescent="0.2">
      <c r="A22" s="995" t="s">
        <v>585</v>
      </c>
      <c r="B22" s="996"/>
      <c r="C22" s="994">
        <v>2200</v>
      </c>
      <c r="D22" s="1825"/>
      <c r="E22" s="1827">
        <f>'Expenditures 15-22'!K47-SUM('Expenditures 15-22'!G47,'Expenditures 15-22'!I47)+'Expenditures 15-22'!D243</f>
        <v>73686</v>
      </c>
      <c r="F22" s="1825"/>
      <c r="G22" s="1828">
        <f>'Expenditures 15-22'!K47-SUM('Expenditures 15-22'!G47,'Expenditures 15-22'!I47)+'Expenditures 15-22'!D243</f>
        <v>73686</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649759</v>
      </c>
      <c r="F23" s="1825"/>
      <c r="G23" s="1827">
        <f>'Expenditures 15-22'!K53-SUM('Expenditures 15-22'!G53,'Expenditures 15-22'!I53)+'Expenditures 15-22'!D257+'Expenditures 15-22'!K330-SUM('Expenditures 15-22'!G330,'Expenditures 15-22'!I330)</f>
        <v>649759</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0</v>
      </c>
      <c r="E27" s="1827">
        <f>E8</f>
        <v>0</v>
      </c>
      <c r="F27" s="1827">
        <f>'Expenditures 15-22'!K60-SUM('Expenditures 15-22'!G60,'Expenditures 15-22'!I60)+'Expenditures 15-22'!D264-E8</f>
        <v>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61074</v>
      </c>
      <c r="F28" s="1829">
        <f>'Expenditures 15-22'!K61-SUM('Expenditures 15-22'!G61,'Expenditures 15-22'!I61)+'Expenditures 15-22'!K124-SUM('Expenditures 15-22'!G124,'Expenditures 15-22'!I124)+'Expenditures 15-22'!D266-E9</f>
        <v>61074</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220223</v>
      </c>
      <c r="F29" s="1825"/>
      <c r="G29" s="1828">
        <f>'Expenditures 15-22'!K62-SUM('Expenditures 15-22'!G62,'Expenditures 15-22'!I62)+'Expenditures 15-22'!K125-SUM('Expenditures 15-22'!G125,'Expenditures 15-22'!I125)+'Expenditures 15-22'!K182-SUM('Expenditures 15-22'!G182,'Expenditures 15-22'!I182)+'Expenditures 15-22'!D267</f>
        <v>220223</v>
      </c>
      <c r="H29" s="986"/>
    </row>
    <row r="30" spans="1:9" ht="12" customHeight="1" x14ac:dyDescent="0.2">
      <c r="A30" s="995" t="s">
        <v>102</v>
      </c>
      <c r="B30" s="998"/>
      <c r="C30" s="994">
        <v>2560</v>
      </c>
      <c r="D30" s="1825"/>
      <c r="E30" s="1827">
        <f>'Expenditures 15-22'!K63-SUM('Expenditures 15-22'!G63,'Expenditures 15-22'!I63)+'Expenditures 15-22'!D268-E10</f>
        <v>0</v>
      </c>
      <c r="F30" s="1825"/>
      <c r="G30" s="1827">
        <f>'Expenditures 15-22'!K63-SUM('Expenditures 15-22'!G63,'Expenditures 15-22'!I63)+'Expenditures 15-22'!D268-E10</f>
        <v>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45424</v>
      </c>
      <c r="F39" s="1825"/>
      <c r="G39" s="1827">
        <f>'Expenditures 15-22'!K75-SUM('Expenditures 15-22'!G75,'Expenditures 15-22'!I75)+'Expenditures 15-22'!K130-SUM('Expenditures 15-22'!G130,'Expenditures 15-22'!I130)+'Expenditures 15-22'!K185-SUM('Expenditures 15-22'!G185,'Expenditures 15-22'!I185)+'Expenditures 15-22'!D280</f>
        <v>45424</v>
      </c>
    </row>
    <row r="40" spans="1:7" ht="12" customHeight="1" x14ac:dyDescent="0.2">
      <c r="A40" s="991" t="s">
        <v>1927</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0</v>
      </c>
      <c r="E41" s="1829">
        <f>SUM(E19:E40)</f>
        <v>3116335</v>
      </c>
      <c r="F41" s="1829">
        <f>SUM(F19:F39)</f>
        <v>61074</v>
      </c>
      <c r="G41" s="1829">
        <f>SUM(G19:G40)</f>
        <v>3055261</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0</v>
      </c>
      <c r="F43" s="1830" t="s">
        <v>495</v>
      </c>
      <c r="G43" s="1831">
        <f>F41</f>
        <v>61074</v>
      </c>
    </row>
    <row r="44" spans="1:7" ht="12" customHeight="1" x14ac:dyDescent="0.2">
      <c r="A44" s="988"/>
      <c r="B44" s="162"/>
      <c r="C44" s="1002"/>
      <c r="D44" s="1830" t="s">
        <v>494</v>
      </c>
      <c r="E44" s="1831">
        <f>E41</f>
        <v>3116335</v>
      </c>
      <c r="F44" s="1830" t="s">
        <v>494</v>
      </c>
      <c r="G44" s="1831">
        <f>G41</f>
        <v>3055261</v>
      </c>
    </row>
    <row r="45" spans="1:7" ht="12" customHeight="1" x14ac:dyDescent="0.2">
      <c r="A45" s="988"/>
      <c r="B45" s="162"/>
      <c r="C45" s="162"/>
      <c r="D45" s="1832" t="s">
        <v>1063</v>
      </c>
      <c r="E45" s="1833">
        <f>(E43/E44)</f>
        <v>0</v>
      </c>
      <c r="F45" s="1832" t="s">
        <v>1063</v>
      </c>
      <c r="G45" s="1833">
        <f>(G43/G44)</f>
        <v>1.9989781560396967E-2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0" t="s">
        <v>1446</v>
      </c>
      <c r="B1" s="2310"/>
      <c r="C1" s="2310"/>
      <c r="D1" s="2310"/>
      <c r="E1" s="2310"/>
      <c r="F1" s="2310"/>
    </row>
    <row r="2" spans="1:10" x14ac:dyDescent="0.2">
      <c r="A2" s="1912" t="s">
        <v>2043</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1" t="s">
        <v>1627</v>
      </c>
      <c r="B5" s="2312"/>
      <c r="C5" s="2313"/>
      <c r="D5" s="2313"/>
      <c r="E5" s="2313"/>
      <c r="F5" s="2313"/>
    </row>
    <row r="6" spans="1:10" ht="12" customHeight="1" x14ac:dyDescent="0.25">
      <c r="A6" s="1875"/>
      <c r="B6" s="1876"/>
      <c r="C6" s="2314" t="str">
        <f>COVER!A17</f>
        <v>Rural Champaign Co SpEd Coop</v>
      </c>
      <c r="D6" s="2314"/>
      <c r="E6" s="2314"/>
      <c r="F6" s="1877"/>
    </row>
    <row r="7" spans="1:10" ht="11.25" customHeight="1" thickBot="1" x14ac:dyDescent="0.3">
      <c r="A7" s="1875"/>
      <c r="B7" s="1876"/>
      <c r="C7" s="2315">
        <f>COVER!A13</f>
        <v>9010801060</v>
      </c>
      <c r="D7" s="2315"/>
      <c r="E7" s="2315"/>
      <c r="F7" s="1877"/>
    </row>
    <row r="8" spans="1:10" ht="25.5" customHeight="1" thickBot="1" x14ac:dyDescent="0.25">
      <c r="A8" s="1918" t="s">
        <v>2020</v>
      </c>
      <c r="B8" s="1878" t="s">
        <v>2092</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98"/>
      <c r="B39" s="1898"/>
      <c r="C39" s="1898"/>
      <c r="D39" s="1898"/>
      <c r="E39" s="1898"/>
      <c r="F39" s="1898"/>
    </row>
    <row r="40" spans="1:11" s="1895" customFormat="1" ht="12" customHeight="1" x14ac:dyDescent="0.25">
      <c r="A40" s="1899" t="s">
        <v>1458</v>
      </c>
      <c r="B40" s="1900"/>
      <c r="C40" s="2324"/>
      <c r="D40" s="2324"/>
      <c r="E40" s="2324"/>
      <c r="F40" s="2325"/>
      <c r="H40" s="1904"/>
      <c r="I40" s="1904"/>
      <c r="J40" s="1904"/>
      <c r="K40" s="1904"/>
    </row>
    <row r="41" spans="1:11" s="1895" customFormat="1" ht="12" customHeight="1" x14ac:dyDescent="0.25">
      <c r="A41" s="2326"/>
      <c r="B41" s="2327"/>
      <c r="C41" s="2327"/>
      <c r="D41" s="2327"/>
      <c r="E41" s="2327"/>
      <c r="F41" s="2328"/>
      <c r="H41" s="1904"/>
      <c r="I41" s="1904"/>
      <c r="J41" s="1904"/>
      <c r="K41" s="1904"/>
    </row>
    <row r="42" spans="1:11" s="1895" customFormat="1" ht="12" customHeight="1" x14ac:dyDescent="0.25">
      <c r="A42" s="2326"/>
      <c r="B42" s="2327"/>
      <c r="C42" s="2327"/>
      <c r="D42" s="2327"/>
      <c r="E42" s="2327"/>
      <c r="F42" s="2328"/>
      <c r="H42" s="1904"/>
      <c r="I42" s="1904"/>
      <c r="J42" s="1904"/>
      <c r="K42" s="1904"/>
    </row>
    <row r="43" spans="1:11" s="1895" customFormat="1" ht="15" x14ac:dyDescent="0.25">
      <c r="A43" s="2318"/>
      <c r="B43" s="2319"/>
      <c r="C43" s="2319"/>
      <c r="D43" s="2319"/>
      <c r="E43" s="2319"/>
      <c r="F43" s="2320"/>
      <c r="H43" s="1904"/>
      <c r="I43" s="1904"/>
      <c r="J43" s="1904"/>
      <c r="K43" s="1904"/>
    </row>
    <row r="44" spans="1:11" s="1895" customFormat="1" ht="12" hidden="1" customHeight="1" x14ac:dyDescent="0.25">
      <c r="A44" s="2318"/>
      <c r="B44" s="2319"/>
      <c r="C44" s="2319"/>
      <c r="D44" s="2319"/>
      <c r="E44" s="2319"/>
      <c r="F44" s="2320"/>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4" t="str">
        <f>COVER!A17</f>
        <v>Rural Champaign Co SpEd Coop</v>
      </c>
      <c r="J6" s="2335"/>
      <c r="Q6" s="1686"/>
    </row>
    <row r="7" spans="1:17" x14ac:dyDescent="0.2">
      <c r="A7" s="2336" t="s">
        <v>924</v>
      </c>
      <c r="B7" s="2337"/>
      <c r="C7" s="2337"/>
      <c r="D7" s="2337"/>
      <c r="E7" s="2338"/>
      <c r="F7" s="1018"/>
      <c r="G7" s="1010"/>
      <c r="H7" s="1017" t="s">
        <v>390</v>
      </c>
      <c r="I7" s="2339">
        <f>COVER!A13</f>
        <v>9010801060</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659526</v>
      </c>
      <c r="F12" s="1040"/>
      <c r="G12" s="1834">
        <f t="shared" ref="G12:G18" si="0">SUM(E12:F12)</f>
        <v>659526</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659526</v>
      </c>
      <c r="F19" s="1836">
        <f t="shared" si="2"/>
        <v>0</v>
      </c>
      <c r="G19" s="1836">
        <f t="shared" si="2"/>
        <v>659526</v>
      </c>
      <c r="H19" s="1836">
        <f t="shared" si="2"/>
        <v>0</v>
      </c>
      <c r="I19" s="1836">
        <f t="shared" si="2"/>
        <v>0</v>
      </c>
      <c r="J19" s="1836">
        <f t="shared" si="2"/>
        <v>0</v>
      </c>
    </row>
    <row r="20" spans="1:10" ht="13.5" thickTop="1" x14ac:dyDescent="0.2">
      <c r="A20" s="1036">
        <v>9</v>
      </c>
      <c r="B20" s="2346" t="s">
        <v>1703</v>
      </c>
      <c r="C20" s="2346"/>
      <c r="D20" s="2347"/>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1940</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2093</v>
      </c>
    </row>
    <row r="6" spans="1:2" x14ac:dyDescent="0.2">
      <c r="A6" s="1069"/>
      <c r="B6" s="329" t="s">
        <v>2094</v>
      </c>
    </row>
    <row r="7" spans="1:2" x14ac:dyDescent="0.2">
      <c r="A7" s="1069"/>
      <c r="B7" s="329" t="s">
        <v>2095</v>
      </c>
    </row>
    <row r="8" spans="1:2" x14ac:dyDescent="0.2">
      <c r="A8" s="1069"/>
    </row>
    <row r="9" spans="1:2" x14ac:dyDescent="0.2">
      <c r="A9" s="1069">
        <v>2</v>
      </c>
      <c r="B9" s="329" t="s">
        <v>2096</v>
      </c>
    </row>
    <row r="10" spans="1:2" x14ac:dyDescent="0.2">
      <c r="A10" s="1070"/>
      <c r="B10" s="329" t="s">
        <v>2094</v>
      </c>
    </row>
    <row r="11" spans="1:2" x14ac:dyDescent="0.2">
      <c r="A11" s="1070"/>
      <c r="B11" s="329" t="s">
        <v>2097</v>
      </c>
    </row>
    <row r="12" spans="1:2" x14ac:dyDescent="0.2">
      <c r="A12" s="1070"/>
    </row>
    <row r="13" spans="1:2" x14ac:dyDescent="0.2">
      <c r="A13" s="1069">
        <v>3</v>
      </c>
      <c r="B13" s="329" t="s">
        <v>2098</v>
      </c>
    </row>
    <row r="14" spans="1:2" x14ac:dyDescent="0.2">
      <c r="A14" s="1070"/>
      <c r="B14" s="329" t="s">
        <v>2099</v>
      </c>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Rural Champaign Co SpEd Coop</v>
      </c>
    </row>
    <row r="65" spans="2:2" x14ac:dyDescent="0.2">
      <c r="B65" s="1071">
        <f>COVER!A13</f>
        <v>9010801060</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1967</v>
      </c>
      <c r="C4" s="162" t="s">
        <v>1231</v>
      </c>
      <c r="D4" s="169" t="s">
        <v>10</v>
      </c>
      <c r="E4" s="170" t="s">
        <v>22</v>
      </c>
    </row>
    <row r="5" spans="1:5" x14ac:dyDescent="0.2">
      <c r="A5" s="168" t="s">
        <v>1969</v>
      </c>
      <c r="C5" s="162" t="s">
        <v>1231</v>
      </c>
      <c r="D5" s="169" t="s">
        <v>10</v>
      </c>
      <c r="E5" s="170" t="s">
        <v>22</v>
      </c>
    </row>
    <row r="6" spans="1:5" x14ac:dyDescent="0.2">
      <c r="A6" s="168" t="s">
        <v>1968</v>
      </c>
      <c r="C6" s="162" t="s">
        <v>1231</v>
      </c>
      <c r="D6" s="167" t="s">
        <v>11</v>
      </c>
      <c r="E6" s="170" t="s">
        <v>998</v>
      </c>
    </row>
    <row r="7" spans="1:5" x14ac:dyDescent="0.2">
      <c r="A7" s="168" t="s">
        <v>1970</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1971</v>
      </c>
      <c r="C11" s="162" t="s">
        <v>1231</v>
      </c>
      <c r="D11" s="169" t="s">
        <v>14</v>
      </c>
      <c r="E11" s="170" t="s">
        <v>1218</v>
      </c>
    </row>
    <row r="12" spans="1:5" x14ac:dyDescent="0.2">
      <c r="B12" s="169" t="s">
        <v>1972</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1973</v>
      </c>
      <c r="C15" s="162" t="s">
        <v>1231</v>
      </c>
      <c r="D15" s="169" t="s">
        <v>17</v>
      </c>
      <c r="E15" s="170" t="s">
        <v>657</v>
      </c>
    </row>
    <row r="16" spans="1:5" x14ac:dyDescent="0.2">
      <c r="A16" s="172"/>
      <c r="B16" s="162" t="s">
        <v>1974</v>
      </c>
      <c r="C16" s="162" t="s">
        <v>1231</v>
      </c>
      <c r="D16" s="169" t="s">
        <v>702</v>
      </c>
      <c r="E16" s="170" t="s">
        <v>1100</v>
      </c>
    </row>
    <row r="17" spans="1:5" x14ac:dyDescent="0.2">
      <c r="B17" s="167" t="s">
        <v>1045</v>
      </c>
      <c r="C17" s="162" t="s">
        <v>1231</v>
      </c>
    </row>
    <row r="18" spans="1:5" x14ac:dyDescent="0.2">
      <c r="B18" s="167" t="s">
        <v>1980</v>
      </c>
      <c r="D18" s="169" t="s">
        <v>18</v>
      </c>
      <c r="E18" s="170" t="s">
        <v>1101</v>
      </c>
    </row>
    <row r="19" spans="1:5" x14ac:dyDescent="0.2">
      <c r="A19" s="168" t="s">
        <v>1161</v>
      </c>
      <c r="C19" s="162" t="s">
        <v>1231</v>
      </c>
      <c r="D19" s="169"/>
      <c r="E19" s="171"/>
    </row>
    <row r="20" spans="1:5" x14ac:dyDescent="0.2">
      <c r="B20" s="167" t="s">
        <v>1975</v>
      </c>
      <c r="C20" s="162" t="s">
        <v>1231</v>
      </c>
      <c r="D20" s="169" t="s">
        <v>19</v>
      </c>
      <c r="E20" s="170" t="s">
        <v>53</v>
      </c>
    </row>
    <row r="21" spans="1:5" x14ac:dyDescent="0.2">
      <c r="B21" s="167" t="s">
        <v>1976</v>
      </c>
      <c r="C21" s="162" t="s">
        <v>1231</v>
      </c>
      <c r="D21" s="169" t="s">
        <v>20</v>
      </c>
      <c r="E21" s="170" t="s">
        <v>1708</v>
      </c>
    </row>
    <row r="22" spans="1:5" x14ac:dyDescent="0.2">
      <c r="A22" s="168"/>
      <c r="B22" s="162" t="s">
        <v>1964</v>
      </c>
      <c r="C22" s="162" t="s">
        <v>1231</v>
      </c>
      <c r="D22" s="167" t="s">
        <v>1966</v>
      </c>
      <c r="E22" s="1859" t="s">
        <v>1709</v>
      </c>
    </row>
    <row r="23" spans="1:5" x14ac:dyDescent="0.2">
      <c r="A23" s="168"/>
      <c r="B23" s="162" t="s">
        <v>1965</v>
      </c>
      <c r="D23" s="167" t="s">
        <v>658</v>
      </c>
      <c r="E23" s="1859" t="s">
        <v>1016</v>
      </c>
    </row>
    <row r="24" spans="1:5" x14ac:dyDescent="0.2">
      <c r="A24" s="168" t="s">
        <v>1707</v>
      </c>
      <c r="C24" s="162" t="s">
        <v>1231</v>
      </c>
      <c r="D24" s="167" t="s">
        <v>1460</v>
      </c>
      <c r="E24" s="170" t="s">
        <v>1017</v>
      </c>
    </row>
    <row r="25" spans="1:5" x14ac:dyDescent="0.2">
      <c r="A25" s="168" t="s">
        <v>1977</v>
      </c>
      <c r="C25" s="162" t="s">
        <v>1231</v>
      </c>
      <c r="D25" s="169" t="s">
        <v>21</v>
      </c>
      <c r="E25" s="170" t="s">
        <v>1102</v>
      </c>
    </row>
    <row r="26" spans="1:5" x14ac:dyDescent="0.2">
      <c r="A26" s="168" t="s">
        <v>1978</v>
      </c>
      <c r="C26" s="162" t="s">
        <v>1231</v>
      </c>
      <c r="D26" s="169" t="s">
        <v>584</v>
      </c>
      <c r="E26" s="170" t="s">
        <v>1103</v>
      </c>
    </row>
    <row r="27" spans="1:5" x14ac:dyDescent="0.2">
      <c r="A27" s="168" t="s">
        <v>1979</v>
      </c>
      <c r="C27" s="162" t="s">
        <v>1231</v>
      </c>
      <c r="D27" s="169" t="s">
        <v>578</v>
      </c>
      <c r="E27" s="170" t="s">
        <v>704</v>
      </c>
    </row>
    <row r="28" spans="1:5" x14ac:dyDescent="0.2">
      <c r="A28" s="168" t="s">
        <v>1981</v>
      </c>
      <c r="D28" s="169" t="s">
        <v>705</v>
      </c>
      <c r="E28" s="170" t="s">
        <v>1433</v>
      </c>
    </row>
    <row r="29" spans="1:5" x14ac:dyDescent="0.2">
      <c r="A29" s="168" t="s">
        <v>1982</v>
      </c>
      <c r="D29" s="169" t="s">
        <v>1461</v>
      </c>
      <c r="E29" s="170" t="s">
        <v>1442</v>
      </c>
    </row>
    <row r="30" spans="1:5" x14ac:dyDescent="0.2">
      <c r="A30" s="173" t="s">
        <v>1983</v>
      </c>
      <c r="C30" s="162" t="s">
        <v>1231</v>
      </c>
      <c r="D30" s="169" t="s">
        <v>42</v>
      </c>
      <c r="E30" s="170" t="s">
        <v>1039</v>
      </c>
    </row>
    <row r="31" spans="1:5" x14ac:dyDescent="0.2">
      <c r="A31" s="168" t="s">
        <v>1602</v>
      </c>
      <c r="C31" s="162" t="s">
        <v>1231</v>
      </c>
      <c r="D31" s="167"/>
      <c r="E31" s="171"/>
    </row>
    <row r="32" spans="1:5" x14ac:dyDescent="0.2">
      <c r="B32" s="167" t="s">
        <v>1984</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2014</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1871</v>
      </c>
    </row>
    <row r="52" spans="1:3" x14ac:dyDescent="0.2">
      <c r="A52" s="190"/>
      <c r="B52" s="188" t="s">
        <v>1891</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1872</v>
      </c>
    </row>
    <row r="57" spans="1:3" x14ac:dyDescent="0.2">
      <c r="A57" s="193"/>
      <c r="B57" s="190" t="s">
        <v>1874</v>
      </c>
    </row>
    <row r="58" spans="1:3" x14ac:dyDescent="0.2">
      <c r="A58" s="194"/>
      <c r="B58" s="190" t="s">
        <v>1875</v>
      </c>
    </row>
    <row r="59" spans="1:3" x14ac:dyDescent="0.2">
      <c r="A59" s="195"/>
      <c r="B59" s="1507" t="s">
        <v>1876</v>
      </c>
    </row>
    <row r="60" spans="1:3" x14ac:dyDescent="0.2">
      <c r="A60" s="196"/>
      <c r="B60" s="1507" t="s">
        <v>1877</v>
      </c>
    </row>
    <row r="61" spans="1:3" ht="6" customHeight="1" x14ac:dyDescent="0.2">
      <c r="A61" s="197"/>
      <c r="B61" s="189"/>
    </row>
    <row r="62" spans="1:3" x14ac:dyDescent="0.2">
      <c r="A62" s="169" t="s">
        <v>1714</v>
      </c>
      <c r="B62" s="198" t="s">
        <v>1873</v>
      </c>
    </row>
    <row r="63" spans="1:3" x14ac:dyDescent="0.2">
      <c r="A63" s="188"/>
      <c r="B63" s="169" t="s">
        <v>1888</v>
      </c>
    </row>
    <row r="64" spans="1:3" x14ac:dyDescent="0.2">
      <c r="A64" s="195"/>
      <c r="B64" s="1509" t="s">
        <v>1878</v>
      </c>
    </row>
    <row r="65" spans="1:9" x14ac:dyDescent="0.2">
      <c r="A65" s="188"/>
      <c r="B65" s="169" t="s">
        <v>1889</v>
      </c>
    </row>
    <row r="66" spans="1:9" x14ac:dyDescent="0.2">
      <c r="A66" s="190"/>
      <c r="B66" s="190" t="s">
        <v>1879</v>
      </c>
    </row>
    <row r="67" spans="1:9" ht="12" customHeight="1" x14ac:dyDescent="0.2">
      <c r="A67" s="188"/>
      <c r="B67" s="169" t="s">
        <v>1890</v>
      </c>
    </row>
    <row r="68" spans="1:9" x14ac:dyDescent="0.2">
      <c r="A68" s="189"/>
      <c r="B68" s="190" t="s">
        <v>1880</v>
      </c>
    </row>
    <row r="69" spans="1:9" x14ac:dyDescent="0.2">
      <c r="A69" s="190"/>
      <c r="B69" s="188" t="s">
        <v>1881</v>
      </c>
    </row>
    <row r="70" spans="1:9" ht="13.5" customHeight="1" x14ac:dyDescent="0.2">
      <c r="A70" s="190"/>
      <c r="B70" s="188" t="s">
        <v>1882</v>
      </c>
    </row>
    <row r="71" spans="1:9" ht="12" customHeight="1" x14ac:dyDescent="0.2">
      <c r="A71" s="192"/>
      <c r="B71" s="1508" t="s">
        <v>1717</v>
      </c>
    </row>
    <row r="72" spans="1:9" ht="9" customHeight="1" x14ac:dyDescent="0.2">
      <c r="A72" s="192"/>
      <c r="B72" s="199"/>
    </row>
    <row r="73" spans="1:9" x14ac:dyDescent="0.2">
      <c r="A73" s="189" t="s">
        <v>1718</v>
      </c>
      <c r="B73" s="169" t="s">
        <v>1884</v>
      </c>
    </row>
    <row r="74" spans="1:9" x14ac:dyDescent="0.2">
      <c r="A74" s="189"/>
      <c r="B74" s="169" t="s">
        <v>1883</v>
      </c>
    </row>
    <row r="75" spans="1:9" ht="8.25" customHeight="1" x14ac:dyDescent="0.2">
      <c r="A75" s="189"/>
      <c r="B75" s="189"/>
    </row>
    <row r="76" spans="1:9" ht="12.2" customHeight="1" x14ac:dyDescent="0.2">
      <c r="A76" s="189" t="s">
        <v>1719</v>
      </c>
      <c r="B76" s="198" t="s">
        <v>1885</v>
      </c>
    </row>
    <row r="77" spans="1:9" ht="12.2" customHeight="1" x14ac:dyDescent="0.2">
      <c r="A77" s="190"/>
      <c r="B77" s="169" t="s">
        <v>1720</v>
      </c>
      <c r="C77" s="179"/>
      <c r="D77" s="180"/>
      <c r="E77" s="181"/>
      <c r="F77" s="181"/>
      <c r="G77" s="181"/>
      <c r="H77" s="181"/>
      <c r="I77" s="181"/>
    </row>
    <row r="78" spans="1:9" ht="11.25" customHeight="1" x14ac:dyDescent="0.2">
      <c r="A78" s="190"/>
      <c r="B78" s="190" t="s">
        <v>1887</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2133600</xdr:colOff>
                <xdr:row>4</xdr:row>
                <xdr:rowOff>47625</xdr:rowOff>
              </from>
              <to>
                <xdr:col>1</xdr:col>
                <xdr:colOff>3048000</xdr:colOff>
                <xdr:row>8</xdr:row>
                <xdr:rowOff>85725</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2051</v>
      </c>
      <c r="B4" s="2374"/>
      <c r="C4" s="2374"/>
      <c r="D4" s="2374"/>
      <c r="E4" s="2374"/>
      <c r="F4" s="2375"/>
      <c r="G4" s="1075"/>
      <c r="H4" s="1075"/>
    </row>
    <row r="5" spans="1:8" ht="14.25" customHeight="1" x14ac:dyDescent="0.2">
      <c r="A5" s="2376" t="s">
        <v>2052</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3274339</v>
      </c>
      <c r="C8" s="1838">
        <f>'Acct Summary 7-8'!D8</f>
        <v>0</v>
      </c>
      <c r="D8" s="1838">
        <f>'Acct Summary 7-8'!F8</f>
        <v>0</v>
      </c>
      <c r="E8" s="1838">
        <f>'Acct Summary 7-8'!I8</f>
        <v>0</v>
      </c>
      <c r="F8" s="1838">
        <f>SUM(B8:E8)</f>
        <v>3274339</v>
      </c>
    </row>
    <row r="9" spans="1:8" s="1080" customFormat="1" ht="14.25" customHeight="1" thickBot="1" x14ac:dyDescent="0.25">
      <c r="A9" s="1079" t="s">
        <v>1436</v>
      </c>
      <c r="B9" s="1839">
        <f>'Acct Summary 7-8'!C17</f>
        <v>3193118</v>
      </c>
      <c r="C9" s="1839">
        <f>'Acct Summary 7-8'!D17</f>
        <v>0</v>
      </c>
      <c r="D9" s="1839">
        <f>'Acct Summary 7-8'!F17</f>
        <v>0</v>
      </c>
      <c r="E9" s="1838"/>
      <c r="F9" s="1838">
        <f>SUM(B9:E9)</f>
        <v>3193118</v>
      </c>
    </row>
    <row r="10" spans="1:8" s="1080" customFormat="1" ht="14.25" thickTop="1" thickBot="1" x14ac:dyDescent="0.25">
      <c r="A10" s="1081" t="s">
        <v>1437</v>
      </c>
      <c r="B10" s="1840">
        <f>(B8-B9)</f>
        <v>81221</v>
      </c>
      <c r="C10" s="1840">
        <f>(C8-C9)</f>
        <v>0</v>
      </c>
      <c r="D10" s="1840">
        <f>(D8-D9)</f>
        <v>0</v>
      </c>
      <c r="E10" s="1839">
        <f>(E8-E9)</f>
        <v>0</v>
      </c>
      <c r="F10" s="1841">
        <f>SUM(F8-F9)</f>
        <v>81221</v>
      </c>
    </row>
    <row r="11" spans="1:8" s="1080" customFormat="1" ht="14.25" thickTop="1" thickBot="1" x14ac:dyDescent="0.25">
      <c r="A11" s="1082" t="s">
        <v>1785</v>
      </c>
      <c r="B11" s="1842">
        <f>'Acct Summary 7-8'!C81</f>
        <v>1343988</v>
      </c>
      <c r="C11" s="1842">
        <f>'Acct Summary 7-8'!D81</f>
        <v>0</v>
      </c>
      <c r="D11" s="1842">
        <f>'Acct Summary 7-8'!F81</f>
        <v>0</v>
      </c>
      <c r="E11" s="1842">
        <f>'Acct Summary 7-8'!I81</f>
        <v>0</v>
      </c>
      <c r="F11" s="1843">
        <f>SUM(B11:E11)</f>
        <v>1343988</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1942</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2044</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2045</v>
      </c>
      <c r="D66" s="1126"/>
    </row>
    <row r="67" spans="1:4" x14ac:dyDescent="0.2">
      <c r="A67" s="1120"/>
      <c r="B67" s="1141"/>
      <c r="C67" s="1148" t="s">
        <v>1079</v>
      </c>
      <c r="D67" s="1126"/>
    </row>
    <row r="68" spans="1:4" x14ac:dyDescent="0.2">
      <c r="A68" s="1101"/>
      <c r="B68" s="1111"/>
      <c r="C68" s="1103" t="s">
        <v>2046</v>
      </c>
      <c r="D68" s="1125" t="str">
        <f>IF('Short-Term Long-Term Debt 24'!F49=SUM(,'Acct Summary 7-8'!C33:K33),"OK","ERROR!")</f>
        <v>OK</v>
      </c>
    </row>
    <row r="69" spans="1:4" x14ac:dyDescent="0.2">
      <c r="A69" s="1101"/>
      <c r="B69" s="1111"/>
      <c r="C69" s="1103" t="s">
        <v>2047</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2048</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2049</v>
      </c>
      <c r="D78" s="1125" t="str">
        <f>IF(ISNUMBER('Acct Summary 7-8'!C9),"OK","ENTRY IS REQUIRED!")</f>
        <v>OK</v>
      </c>
    </row>
    <row r="79" spans="1:4" x14ac:dyDescent="0.2">
      <c r="A79" s="1120"/>
      <c r="B79" s="1121">
        <f>B74+1+1</f>
        <v>12</v>
      </c>
      <c r="C79" s="1131" t="s">
        <v>2015</v>
      </c>
      <c r="D79" s="1132" t="str">
        <f>IF(OR(COVER!$B$6="X",'PCTC-OEPP 27-28'!F78&gt;0),"OK","PLEASE ENTER 9 MO ADA.")</f>
        <v>OK</v>
      </c>
    </row>
    <row r="80" spans="1:4" x14ac:dyDescent="0.2">
      <c r="A80" s="1099"/>
      <c r="B80" s="1121">
        <v>13</v>
      </c>
      <c r="C80" s="1131" t="s">
        <v>2050</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9010801060</v>
      </c>
    </row>
    <row r="3" spans="1:2" x14ac:dyDescent="0.2">
      <c r="A3" t="s">
        <v>1013</v>
      </c>
      <c r="B3" s="138" t="str">
        <f>COVER!A15</f>
        <v>CHAMPAIGN</v>
      </c>
    </row>
    <row r="4" spans="1:2" x14ac:dyDescent="0.2">
      <c r="A4" t="s">
        <v>1064</v>
      </c>
      <c r="B4" s="138" t="str">
        <f>COVER!A17</f>
        <v>Rural Champaign Co SpEd Coop</v>
      </c>
    </row>
    <row r="5" spans="1:2" x14ac:dyDescent="0.2">
      <c r="A5" t="s">
        <v>728</v>
      </c>
      <c r="B5" s="138" t="str">
        <f>COVER!A38</f>
        <v>Jennifer Armstrong</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900000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1343988</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1343988</v>
      </c>
      <c r="D92" s="2" t="str">
        <f t="shared" si="0"/>
        <v>Error?</v>
      </c>
    </row>
    <row r="93" spans="1:4" x14ac:dyDescent="0.2">
      <c r="A93" s="5">
        <v>32</v>
      </c>
      <c r="B93" s="138">
        <f>'Assets-Liab 5-6'!C41</f>
        <v>1343988</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591886</v>
      </c>
      <c r="D274" s="2" t="str">
        <f t="shared" si="3"/>
        <v>Error?</v>
      </c>
    </row>
    <row r="275" spans="1:4" x14ac:dyDescent="0.2">
      <c r="A275" s="5">
        <v>214</v>
      </c>
      <c r="B275" s="138">
        <f>'Assets-Liab 5-6'!M18</f>
        <v>42863</v>
      </c>
      <c r="D275" s="2" t="str">
        <f t="shared" si="3"/>
        <v>Error?</v>
      </c>
    </row>
    <row r="276" spans="1:4" x14ac:dyDescent="0.2">
      <c r="A276" s="5">
        <v>215</v>
      </c>
      <c r="B276" s="138">
        <f>'Assets-Liab 5-6'!M19</f>
        <v>1150014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1784763</v>
      </c>
      <c r="C279" s="2" t="s">
        <v>594</v>
      </c>
      <c r="D279" s="2" t="str">
        <f t="shared" si="3"/>
        <v>Error?</v>
      </c>
    </row>
    <row r="280" spans="1:4" x14ac:dyDescent="0.2">
      <c r="A280" s="5">
        <v>219</v>
      </c>
      <c r="B280" s="138">
        <f>'Assets-Liab 5-6'!M40</f>
        <v>1784763</v>
      </c>
      <c r="D280" s="2" t="str">
        <f t="shared" si="3"/>
        <v>Error?</v>
      </c>
    </row>
    <row r="281" spans="1:4" x14ac:dyDescent="0.2">
      <c r="A281" s="5">
        <v>220</v>
      </c>
      <c r="B281" s="138">
        <f>'Assets-Liab 5-6'!M41</f>
        <v>1784763</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576968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576968</v>
      </c>
      <c r="C720" s="2" t="s">
        <v>594</v>
      </c>
      <c r="D720" s="2" t="str">
        <f t="shared" si="10"/>
        <v>Error?</v>
      </c>
    </row>
    <row r="721" spans="1:4" x14ac:dyDescent="0.2">
      <c r="A721" s="5">
        <v>660</v>
      </c>
      <c r="B721" s="138">
        <f>'Expenditures 15-22'!C36</f>
        <v>386148</v>
      </c>
      <c r="D721" s="2" t="str">
        <f t="shared" si="10"/>
        <v>Error?</v>
      </c>
    </row>
    <row r="722" spans="1:4" x14ac:dyDescent="0.2">
      <c r="A722" s="5">
        <v>661</v>
      </c>
      <c r="B722" s="138">
        <f>'Expenditures 15-22'!C37</f>
        <v>0</v>
      </c>
      <c r="D722" s="2" t="str">
        <f t="shared" si="10"/>
        <v>Error?</v>
      </c>
    </row>
    <row r="723" spans="1:4" x14ac:dyDescent="0.2">
      <c r="A723" s="5">
        <v>662</v>
      </c>
      <c r="B723" s="138">
        <f>'Expenditures 15-22'!C38</f>
        <v>213482</v>
      </c>
      <c r="D723" s="2" t="str">
        <f t="shared" si="10"/>
        <v>Error?</v>
      </c>
    </row>
    <row r="724" spans="1:4" x14ac:dyDescent="0.2">
      <c r="A724" s="5">
        <v>663</v>
      </c>
      <c r="B724" s="138">
        <f>'Expenditures 15-22'!C39</f>
        <v>237680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837310</v>
      </c>
      <c r="C727" s="2" t="s">
        <v>594</v>
      </c>
      <c r="D727" s="2" t="str">
        <f t="shared" si="10"/>
        <v>Error?</v>
      </c>
    </row>
    <row r="728" spans="1:4" x14ac:dyDescent="0.2">
      <c r="A728" s="5">
        <v>667</v>
      </c>
      <c r="B728" s="138">
        <f>'Expenditures 15-22'!C44</f>
        <v>80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422912</v>
      </c>
      <c r="D733" s="2" t="str">
        <f t="shared" si="10"/>
        <v>Error?</v>
      </c>
    </row>
    <row r="734" spans="1:4" x14ac:dyDescent="0.2">
      <c r="A734" s="5">
        <v>673</v>
      </c>
      <c r="B734" s="138">
        <f>'Expenditures 15-22'!C53</f>
        <v>422912</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1260302</v>
      </c>
      <c r="C755" s="2" t="s">
        <v>594</v>
      </c>
      <c r="D755" s="2" t="str">
        <f t="shared" si="10"/>
        <v>Error?</v>
      </c>
    </row>
    <row r="756" spans="1:4" x14ac:dyDescent="0.2">
      <c r="A756" s="5">
        <v>695</v>
      </c>
      <c r="B756" s="138">
        <f>'Expenditures 15-22'!C75</f>
        <v>22855</v>
      </c>
      <c r="D756" s="2" t="str">
        <f t="shared" si="10"/>
        <v>Error?</v>
      </c>
    </row>
    <row r="757" spans="1:4" x14ac:dyDescent="0.2">
      <c r="A757" s="5">
        <v>696</v>
      </c>
      <c r="B757" s="138">
        <f>'Expenditures 15-22'!C114</f>
        <v>1860125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207263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207263</v>
      </c>
      <c r="C778" s="2" t="s">
        <v>594</v>
      </c>
      <c r="D778" s="2" t="str">
        <f t="shared" si="11"/>
        <v>Error?</v>
      </c>
    </row>
    <row r="779" spans="1:4" x14ac:dyDescent="0.2">
      <c r="A779" s="5">
        <v>718</v>
      </c>
      <c r="B779" s="138">
        <f>'Expenditures 15-22'!D36</f>
        <v>101518</v>
      </c>
      <c r="D779" s="2" t="str">
        <f t="shared" si="11"/>
        <v>Error?</v>
      </c>
    </row>
    <row r="780" spans="1:4" x14ac:dyDescent="0.2">
      <c r="A780" s="5">
        <v>719</v>
      </c>
      <c r="B780" s="138">
        <f>'Expenditures 15-22'!D37</f>
        <v>0</v>
      </c>
      <c r="D780" s="2" t="str">
        <f t="shared" si="11"/>
        <v>Error?</v>
      </c>
    </row>
    <row r="781" spans="1:4" x14ac:dyDescent="0.2">
      <c r="A781" s="5">
        <v>720</v>
      </c>
      <c r="B781" s="138">
        <f>'Expenditures 15-22'!D38</f>
        <v>76341</v>
      </c>
      <c r="D781" s="2" t="str">
        <f t="shared" si="11"/>
        <v>Error?</v>
      </c>
    </row>
    <row r="782" spans="1:4" x14ac:dyDescent="0.2">
      <c r="A782" s="5">
        <v>721</v>
      </c>
      <c r="B782" s="138">
        <f>'Expenditures 15-22'!D39</f>
        <v>62806</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240665</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108380</v>
      </c>
      <c r="D791" s="2" t="str">
        <f t="shared" si="11"/>
        <v>Error?</v>
      </c>
    </row>
    <row r="792" spans="1:4" x14ac:dyDescent="0.2">
      <c r="A792" s="5">
        <v>731</v>
      </c>
      <c r="B792" s="138">
        <f>'Expenditures 15-22'!D53</f>
        <v>108380</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349045</v>
      </c>
      <c r="C813" s="2" t="s">
        <v>594</v>
      </c>
      <c r="D813" s="2" t="str">
        <f t="shared" si="11"/>
        <v>Error?</v>
      </c>
    </row>
    <row r="814" spans="1:4" x14ac:dyDescent="0.2">
      <c r="A814" s="5">
        <v>753</v>
      </c>
      <c r="B814" s="138">
        <f>'Expenditures 15-22'!D75</f>
        <v>6844</v>
      </c>
      <c r="D814" s="2" t="str">
        <f t="shared" si="11"/>
        <v>Error?</v>
      </c>
    </row>
    <row r="815" spans="1:4" x14ac:dyDescent="0.2">
      <c r="A815" s="5">
        <v>754</v>
      </c>
      <c r="B815" s="138">
        <f>'Expenditures 15-22'!D114</f>
        <v>563152</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37978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37978</v>
      </c>
      <c r="C836" s="2" t="s">
        <v>594</v>
      </c>
      <c r="D836" s="2" t="str">
        <f t="shared" si="12"/>
        <v>Error?</v>
      </c>
    </row>
    <row r="837" spans="1:4" x14ac:dyDescent="0.2">
      <c r="A837" s="5">
        <v>776</v>
      </c>
      <c r="B837" s="138">
        <f>'Expenditures 15-22'!E36</f>
        <v>6720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8518</v>
      </c>
      <c r="D839" s="2" t="str">
        <f t="shared" si="12"/>
        <v>Error?</v>
      </c>
    </row>
    <row r="840" spans="1:4" x14ac:dyDescent="0.2">
      <c r="A840" s="5">
        <v>779</v>
      </c>
      <c r="B840" s="138">
        <f>'Expenditures 15-22'!E39</f>
        <v>3849</v>
      </c>
      <c r="D840" s="2" t="str">
        <f t="shared" si="12"/>
        <v>Error?</v>
      </c>
    </row>
    <row r="841" spans="1:4" x14ac:dyDescent="0.2">
      <c r="A841" s="5">
        <v>780</v>
      </c>
      <c r="B841" s="138">
        <f>'Expenditures 15-22'!E40</f>
        <v>12987</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32074</v>
      </c>
      <c r="C843" s="2" t="s">
        <v>594</v>
      </c>
      <c r="D843" s="2" t="str">
        <f t="shared" si="12"/>
        <v>Error?</v>
      </c>
    </row>
    <row r="844" spans="1:4" x14ac:dyDescent="0.2">
      <c r="A844" s="5">
        <v>783</v>
      </c>
      <c r="B844" s="138">
        <f>'Expenditures 15-22'!E44</f>
        <v>57771</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57771</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79264</v>
      </c>
      <c r="D849" s="2" t="str">
        <f t="shared" si="12"/>
        <v>Error?</v>
      </c>
    </row>
    <row r="850" spans="1:4" x14ac:dyDescent="0.2">
      <c r="A850" s="5">
        <v>789</v>
      </c>
      <c r="B850" s="138">
        <f>'Expenditures 15-22'!E53</f>
        <v>79264</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61074</v>
      </c>
      <c r="D856" s="2" t="str">
        <f t="shared" si="12"/>
        <v>Error?</v>
      </c>
    </row>
    <row r="857" spans="1:4" x14ac:dyDescent="0.2">
      <c r="A857" s="5">
        <v>796</v>
      </c>
      <c r="B857" s="138">
        <f>'Expenditures 15-22'!E62</f>
        <v>220223</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281297</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450406</v>
      </c>
      <c r="C871" s="2" t="s">
        <v>594</v>
      </c>
      <c r="D871" s="2" t="str">
        <f t="shared" si="12"/>
        <v>Error?</v>
      </c>
    </row>
    <row r="872" spans="1:4" x14ac:dyDescent="0.2">
      <c r="A872" s="5">
        <v>811</v>
      </c>
      <c r="B872" s="138">
        <f>'Expenditures 15-22'!E75</f>
        <v>15463</v>
      </c>
      <c r="D872" s="2" t="str">
        <f t="shared" si="12"/>
        <v>Error?</v>
      </c>
    </row>
    <row r="873" spans="1:4" x14ac:dyDescent="0.2">
      <c r="A873" s="5">
        <v>812</v>
      </c>
      <c r="B873" s="138">
        <f>'Expenditures 15-22'!E114</f>
        <v>503847</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127209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127209</v>
      </c>
      <c r="C894" s="2" t="s">
        <v>594</v>
      </c>
      <c r="D894" s="2" t="str">
        <f t="shared" si="12"/>
        <v>Error?</v>
      </c>
    </row>
    <row r="895" spans="1:4" x14ac:dyDescent="0.2">
      <c r="A895" s="5">
        <v>834</v>
      </c>
      <c r="B895" s="138">
        <f>'Expenditures 15-22'!F36</f>
        <v>4020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1391</v>
      </c>
      <c r="D897" s="2" t="str">
        <f t="shared" si="13"/>
        <v>Error?</v>
      </c>
    </row>
    <row r="898" spans="1:4" x14ac:dyDescent="0.2">
      <c r="A898" s="5">
        <v>837</v>
      </c>
      <c r="B898" s="138">
        <f>'Expenditures 15-22'!F39</f>
        <v>1291</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6702</v>
      </c>
      <c r="C901" s="2" t="s">
        <v>594</v>
      </c>
      <c r="D901" s="2" t="str">
        <f t="shared" si="13"/>
        <v>Error?</v>
      </c>
    </row>
    <row r="902" spans="1:4" x14ac:dyDescent="0.2">
      <c r="A902" s="5">
        <v>841</v>
      </c>
      <c r="B902" s="138">
        <f>'Expenditures 15-22'!F44</f>
        <v>15835</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15835</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38371</v>
      </c>
      <c r="D907" s="2" t="str">
        <f t="shared" si="13"/>
        <v>Error?</v>
      </c>
    </row>
    <row r="908" spans="1:4" x14ac:dyDescent="0.2">
      <c r="A908" s="5">
        <v>847</v>
      </c>
      <c r="B908" s="138">
        <f>'Expenditures 15-22'!F53</f>
        <v>38371</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8433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8433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69341</v>
      </c>
      <c r="C929" s="2" t="s">
        <v>594</v>
      </c>
      <c r="D929" s="2" t="str">
        <f t="shared" si="13"/>
        <v>Error?</v>
      </c>
    </row>
    <row r="930" spans="1:4" x14ac:dyDescent="0.2">
      <c r="A930" s="5">
        <v>869</v>
      </c>
      <c r="B930" s="138">
        <f>'Expenditures 15-22'!F75</f>
        <v>262</v>
      </c>
      <c r="D930" s="2" t="str">
        <f t="shared" si="13"/>
        <v>Error?</v>
      </c>
    </row>
    <row r="931" spans="1:4" x14ac:dyDescent="0.2">
      <c r="A931" s="5">
        <v>870</v>
      </c>
      <c r="B931" s="138">
        <f>'Expenditures 15-22'!F114</f>
        <v>196812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36716</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36716</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2608</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2608</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9767</v>
      </c>
      <c r="D965" s="2" t="str">
        <f t="shared" si="14"/>
        <v>Error?</v>
      </c>
    </row>
    <row r="966" spans="1:4" x14ac:dyDescent="0.2">
      <c r="A966" s="5">
        <v>905</v>
      </c>
      <c r="B966" s="138">
        <f>'Expenditures 15-22'!G53</f>
        <v>9767</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12375</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49091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832</v>
      </c>
      <c r="D1023" s="2" t="str">
        <f t="shared" ref="D1023:D1086" si="15">IF(ISBLANK(B1023),"OK",IF(A1023-B1023=0,"OK","Error?"))</f>
        <v>Error?</v>
      </c>
    </row>
    <row r="1024" spans="1:4" x14ac:dyDescent="0.2">
      <c r="A1024" s="5">
        <v>963</v>
      </c>
      <c r="B1024" s="138">
        <f>'Expenditures 15-22'!H53</f>
        <v>832</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832</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19259</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20091</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986134</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986134</v>
      </c>
      <c r="C1108" s="2" t="s">
        <v>594</v>
      </c>
      <c r="D1108" s="2" t="str">
        <f t="shared" si="16"/>
        <v>Error?</v>
      </c>
    </row>
    <row r="1109" spans="1:4" x14ac:dyDescent="0.2">
      <c r="A1109" s="5">
        <v>1048</v>
      </c>
      <c r="B1109" s="138">
        <f>'Expenditures 15-22'!K36</f>
        <v>498406</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299732</v>
      </c>
      <c r="C1111" s="2" t="s">
        <v>594</v>
      </c>
      <c r="D1111" s="2" t="str">
        <f t="shared" si="16"/>
        <v>Error?</v>
      </c>
    </row>
    <row r="1112" spans="1:4" x14ac:dyDescent="0.2">
      <c r="A1112" s="5">
        <v>1051</v>
      </c>
      <c r="B1112" s="138">
        <f>'Expenditures 15-22'!K39</f>
        <v>305626</v>
      </c>
      <c r="C1112" s="2" t="s">
        <v>594</v>
      </c>
      <c r="D1112" s="2" t="str">
        <f t="shared" si="16"/>
        <v>Error?</v>
      </c>
    </row>
    <row r="1113" spans="1:4" x14ac:dyDescent="0.2">
      <c r="A1113" s="5">
        <v>1052</v>
      </c>
      <c r="B1113" s="138">
        <f>'Expenditures 15-22'!K40</f>
        <v>12987</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1116751</v>
      </c>
      <c r="C1115" s="2" t="s">
        <v>594</v>
      </c>
      <c r="D1115" s="2" t="str">
        <f t="shared" si="16"/>
        <v>Error?</v>
      </c>
    </row>
    <row r="1116" spans="1:4" x14ac:dyDescent="0.2">
      <c r="A1116" s="5">
        <v>1055</v>
      </c>
      <c r="B1116" s="138">
        <f>'Expenditures 15-22'!K44</f>
        <v>76294</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76294</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659526</v>
      </c>
      <c r="C1121" s="2" t="s">
        <v>594</v>
      </c>
      <c r="D1121" s="2" t="str">
        <f t="shared" si="16"/>
        <v>Error?</v>
      </c>
    </row>
    <row r="1122" spans="1:4" x14ac:dyDescent="0.2">
      <c r="A1122" s="5">
        <v>1061</v>
      </c>
      <c r="B1122" s="138">
        <f>'Expenditures 15-22'!K53</f>
        <v>659526</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61074</v>
      </c>
      <c r="C1128" s="2" t="s">
        <v>594</v>
      </c>
      <c r="D1128" s="2" t="str">
        <f t="shared" si="16"/>
        <v>Error?</v>
      </c>
    </row>
    <row r="1129" spans="1:4" x14ac:dyDescent="0.2">
      <c r="A1129" s="5">
        <v>1068</v>
      </c>
      <c r="B1129" s="138">
        <f>'Expenditures 15-22'!K62</f>
        <v>220223</v>
      </c>
      <c r="C1129" s="2" t="s">
        <v>594</v>
      </c>
      <c r="D1129" s="2" t="str">
        <f t="shared" si="16"/>
        <v>Error?</v>
      </c>
    </row>
    <row r="1130" spans="1:4" x14ac:dyDescent="0.2">
      <c r="A1130" s="5">
        <v>1069</v>
      </c>
      <c r="B1130" s="138">
        <f>'Expenditures 15-22'!K63</f>
        <v>8433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289730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2142301</v>
      </c>
      <c r="C1143" s="2" t="s">
        <v>594</v>
      </c>
      <c r="D1143" s="2" t="str">
        <f t="shared" si="16"/>
        <v>Error?</v>
      </c>
    </row>
    <row r="1144" spans="1:4" x14ac:dyDescent="0.2">
      <c r="A1144" s="5">
        <v>1083</v>
      </c>
      <c r="B1144" s="138">
        <f>'Expenditures 15-22'!K75</f>
        <v>45424</v>
      </c>
      <c r="C1144" s="2" t="s">
        <v>594</v>
      </c>
      <c r="D1144" s="2" t="str">
        <f t="shared" si="16"/>
        <v>Error?</v>
      </c>
    </row>
    <row r="1145" spans="1:4" x14ac:dyDescent="0.2">
      <c r="A1145" s="5">
        <v>1084</v>
      </c>
      <c r="B1145" s="138">
        <f>'Expenditures 15-22'!K102</f>
        <v>19259</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3193118</v>
      </c>
      <c r="C1152" s="2" t="s">
        <v>594</v>
      </c>
      <c r="D1152" s="2" t="str">
        <f t="shared" si="17"/>
        <v>Error?</v>
      </c>
    </row>
    <row r="1153" spans="1:4" x14ac:dyDescent="0.2">
      <c r="A1153" s="5">
        <v>1092</v>
      </c>
      <c r="B1153" s="138">
        <f>'Expenditures 15-22'!K115</f>
        <v>81221</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1262767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1343988</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591886</v>
      </c>
      <c r="D2009" s="2" t="str">
        <f t="shared" si="30"/>
        <v>Error?</v>
      </c>
    </row>
    <row r="2010" spans="1:4" x14ac:dyDescent="0.2">
      <c r="A2010" s="5">
        <v>1949</v>
      </c>
      <c r="B2010" s="138">
        <f>'Cap Outlay Deprec 26'!C10</f>
        <v>42863</v>
      </c>
      <c r="D2010" s="2" t="str">
        <f t="shared" si="30"/>
        <v>Error?</v>
      </c>
    </row>
    <row r="2011" spans="1:4" x14ac:dyDescent="0.2">
      <c r="A2011" s="5">
        <v>1950</v>
      </c>
      <c r="B2011" s="138">
        <f>'Cap Outlay Deprec 26'!C12</f>
        <v>1100923</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1735672</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49091</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49091</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591886</v>
      </c>
      <c r="C2027" s="2" t="s">
        <v>594</v>
      </c>
      <c r="D2027" s="2" t="str">
        <f t="shared" si="30"/>
        <v>Error?</v>
      </c>
    </row>
    <row r="2028" spans="1:4" x14ac:dyDescent="0.2">
      <c r="A2028" s="5">
        <v>1967</v>
      </c>
      <c r="B2028" s="138">
        <f>'Cap Outlay Deprec 26'!F10</f>
        <v>42863</v>
      </c>
      <c r="C2028" s="2" t="s">
        <v>594</v>
      </c>
      <c r="D2028" s="2" t="str">
        <f t="shared" si="30"/>
        <v>Error?</v>
      </c>
    </row>
    <row r="2029" spans="1:4" x14ac:dyDescent="0.2">
      <c r="A2029" s="5">
        <v>1968</v>
      </c>
      <c r="B2029" s="138">
        <f>'Cap Outlay Deprec 26'!F12</f>
        <v>1150014</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1784763</v>
      </c>
      <c r="C2031" s="2" t="s">
        <v>594</v>
      </c>
      <c r="D2031" s="2" t="str">
        <f t="shared" si="30"/>
        <v>Error?</v>
      </c>
    </row>
    <row r="2032" spans="1:4" x14ac:dyDescent="0.2">
      <c r="A2032" s="10">
        <v>1971</v>
      </c>
      <c r="D2032" s="2" t="str">
        <f t="shared" si="30"/>
        <v>OK</v>
      </c>
    </row>
    <row r="2033" spans="1:4" x14ac:dyDescent="0.2">
      <c r="A2033" s="5">
        <v>1972</v>
      </c>
      <c r="B2033" s="138">
        <f>'Cap Outlay Deprec 26'!H8</f>
        <v>23676</v>
      </c>
      <c r="D2033" s="2" t="str">
        <f t="shared" si="30"/>
        <v>Error?</v>
      </c>
    </row>
    <row r="2034" spans="1:4" x14ac:dyDescent="0.2">
      <c r="A2034" s="5">
        <v>1973</v>
      </c>
      <c r="B2034" s="138">
        <f>'Cap Outlay Deprec 26'!H10</f>
        <v>36432</v>
      </c>
      <c r="D2034" s="2" t="str">
        <f t="shared" si="30"/>
        <v>Error?</v>
      </c>
    </row>
    <row r="2035" spans="1:4" x14ac:dyDescent="0.2">
      <c r="A2035" s="5">
        <v>1974</v>
      </c>
      <c r="B2035" s="138">
        <f>'Cap Outlay Deprec 26'!H12</f>
        <v>771033</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831141</v>
      </c>
      <c r="C2037" s="2" t="s">
        <v>594</v>
      </c>
      <c r="D2037" s="2" t="str">
        <f t="shared" si="30"/>
        <v>Error?</v>
      </c>
    </row>
    <row r="2038" spans="1:4" x14ac:dyDescent="0.2">
      <c r="A2038" s="10">
        <v>1977</v>
      </c>
      <c r="D2038" s="2" t="str">
        <f t="shared" si="30"/>
        <v>OK</v>
      </c>
    </row>
    <row r="2039" spans="1:4" x14ac:dyDescent="0.2">
      <c r="A2039" s="5">
        <v>1978</v>
      </c>
      <c r="B2039" s="138">
        <f>'Cap Outlay Deprec 26'!I8</f>
        <v>11838</v>
      </c>
      <c r="D2039" s="2" t="str">
        <f t="shared" si="30"/>
        <v>Error?</v>
      </c>
    </row>
    <row r="2040" spans="1:4" x14ac:dyDescent="0.2">
      <c r="A2040" s="5">
        <v>1979</v>
      </c>
      <c r="B2040" s="138">
        <f>'Cap Outlay Deprec 26'!I10</f>
        <v>2143</v>
      </c>
      <c r="D2040" s="2" t="str">
        <f t="shared" si="30"/>
        <v>Error?</v>
      </c>
    </row>
    <row r="2041" spans="1:4" x14ac:dyDescent="0.2">
      <c r="A2041" s="5">
        <v>1980</v>
      </c>
      <c r="B2041" s="138">
        <f>'Cap Outlay Deprec 26'!I12</f>
        <v>56725</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70706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35514</v>
      </c>
      <c r="C2051" s="2" t="s">
        <v>594</v>
      </c>
      <c r="D2051" s="2" t="str">
        <f t="shared" si="31"/>
        <v>Error?</v>
      </c>
    </row>
    <row r="2052" spans="1:4" x14ac:dyDescent="0.2">
      <c r="A2052" s="5">
        <v>1991</v>
      </c>
      <c r="B2052" s="138">
        <f>'Cap Outlay Deprec 26'!K10</f>
        <v>38575</v>
      </c>
      <c r="C2052" s="2" t="s">
        <v>594</v>
      </c>
      <c r="D2052" s="2" t="str">
        <f t="shared" si="31"/>
        <v>Error?</v>
      </c>
    </row>
    <row r="2053" spans="1:4" x14ac:dyDescent="0.2">
      <c r="A2053" s="5">
        <v>1992</v>
      </c>
      <c r="B2053" s="138">
        <f>'Cap Outlay Deprec 26'!K12</f>
        <v>827758</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901847</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556372</v>
      </c>
      <c r="C2057" s="2" t="s">
        <v>594</v>
      </c>
      <c r="D2057" s="2" t="str">
        <f t="shared" si="31"/>
        <v>Error?</v>
      </c>
    </row>
    <row r="2058" spans="1:4" x14ac:dyDescent="0.2">
      <c r="A2058" s="5">
        <v>1997</v>
      </c>
      <c r="B2058" s="138">
        <f>'Cap Outlay Deprec 26'!L10</f>
        <v>4288</v>
      </c>
      <c r="C2058" s="2" t="s">
        <v>594</v>
      </c>
      <c r="D2058" s="2" t="str">
        <f t="shared" si="31"/>
        <v>Error?</v>
      </c>
    </row>
    <row r="2059" spans="1:4" x14ac:dyDescent="0.2">
      <c r="A2059" s="5">
        <v>1998</v>
      </c>
      <c r="B2059" s="138">
        <f>'Cap Outlay Deprec 26'!L12</f>
        <v>322256</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882916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19259</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19259</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645743</v>
      </c>
      <c r="C2551" s="2" t="s">
        <v>594</v>
      </c>
      <c r="D2551" s="2" t="str">
        <f t="shared" si="38"/>
        <v>Error?</v>
      </c>
    </row>
    <row r="2552" spans="1:4" x14ac:dyDescent="0.2">
      <c r="A2552" s="10">
        <v>2491</v>
      </c>
      <c r="D2552" s="2" t="str">
        <f t="shared" si="38"/>
        <v>OK</v>
      </c>
    </row>
    <row r="2553" spans="1:4" x14ac:dyDescent="0.2">
      <c r="A2553" s="5">
        <v>2492</v>
      </c>
      <c r="B2553" s="138">
        <f>'Acct Summary 7-8'!C6</f>
        <v>1271797</v>
      </c>
      <c r="C2553" s="2" t="s">
        <v>594</v>
      </c>
      <c r="D2553" s="2" t="str">
        <f t="shared" si="38"/>
        <v>Error?</v>
      </c>
    </row>
    <row r="2554" spans="1:4" x14ac:dyDescent="0.2">
      <c r="A2554" s="5">
        <v>2493</v>
      </c>
      <c r="B2554" s="138">
        <f>'Acct Summary 7-8'!C7</f>
        <v>1356799</v>
      </c>
      <c r="C2554" s="2" t="s">
        <v>594</v>
      </c>
      <c r="D2554" s="2" t="str">
        <f t="shared" si="38"/>
        <v>Error?</v>
      </c>
    </row>
    <row r="2555" spans="1:4" x14ac:dyDescent="0.2">
      <c r="A2555" s="5">
        <v>2494</v>
      </c>
      <c r="B2555" s="138">
        <f>'Acct Summary 7-8'!C8</f>
        <v>3274339</v>
      </c>
      <c r="C2555" s="2" t="s">
        <v>594</v>
      </c>
      <c r="D2555" s="2" t="str">
        <f t="shared" si="38"/>
        <v>Error?</v>
      </c>
    </row>
    <row r="2556" spans="1:4" x14ac:dyDescent="0.2">
      <c r="A2556" s="5">
        <v>2495</v>
      </c>
      <c r="B2556" s="138">
        <f>'Acct Summary 7-8'!C12</f>
        <v>986134</v>
      </c>
      <c r="C2556" s="2" t="s">
        <v>594</v>
      </c>
      <c r="D2556" s="2" t="str">
        <f t="shared" si="38"/>
        <v>Error?</v>
      </c>
    </row>
    <row r="2557" spans="1:4" x14ac:dyDescent="0.2">
      <c r="A2557" s="5">
        <v>2496</v>
      </c>
      <c r="B2557" s="138">
        <f>'Acct Summary 7-8'!C13</f>
        <v>2142301</v>
      </c>
      <c r="C2557" s="2" t="s">
        <v>594</v>
      </c>
      <c r="D2557" s="2" t="str">
        <f t="shared" si="38"/>
        <v>Error?</v>
      </c>
    </row>
    <row r="2558" spans="1:4" x14ac:dyDescent="0.2">
      <c r="A2558" s="5">
        <v>2497</v>
      </c>
      <c r="B2558" s="138">
        <f>'Acct Summary 7-8'!C14</f>
        <v>45424</v>
      </c>
      <c r="C2558" s="2" t="s">
        <v>594</v>
      </c>
      <c r="D2558" s="2" t="str">
        <f t="shared" si="38"/>
        <v>Error?</v>
      </c>
    </row>
    <row r="2559" spans="1:4" x14ac:dyDescent="0.2">
      <c r="A2559" s="5">
        <v>2498</v>
      </c>
      <c r="B2559" s="138">
        <f>'Acct Summary 7-8'!C15</f>
        <v>19259</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3193118</v>
      </c>
      <c r="C2561" s="2" t="s">
        <v>594</v>
      </c>
      <c r="D2561" s="2" t="str">
        <f t="shared" si="39"/>
        <v>Error?</v>
      </c>
    </row>
    <row r="2562" spans="1:4" x14ac:dyDescent="0.2">
      <c r="A2562" s="5">
        <v>2501</v>
      </c>
      <c r="B2562" s="138">
        <f>'Acct Summary 7-8'!C20</f>
        <v>81221</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19259</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19259</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81221</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443988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8433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855399</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4129738</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855399</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4048517</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1343988</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15495</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80310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110607</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623948</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623948</v>
      </c>
      <c r="C5087" s="2" t="s">
        <v>594</v>
      </c>
      <c r="D5087" s="2" t="str">
        <f t="shared" si="78"/>
        <v>Error?</v>
      </c>
    </row>
    <row r="5088" spans="1:4" x14ac:dyDescent="0.2">
      <c r="A5088" s="5">
        <v>5027</v>
      </c>
      <c r="B5088" s="138">
        <f>'Revenues 9-14'!C65</f>
        <v>4414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4414</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3598</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13783</v>
      </c>
      <c r="D5119" s="2" t="str">
        <f t="shared" ref="D5119:D5182" si="79">IF(ISBLANK(B5119),"OK",IF(A5119-B5119=0,"OK","Error?"))</f>
        <v>Error?</v>
      </c>
    </row>
    <row r="5120" spans="1:4" x14ac:dyDescent="0.2">
      <c r="A5120" s="5">
        <v>5059</v>
      </c>
      <c r="B5120" s="138">
        <f>'Revenues 9-14'!C108</f>
        <v>17381</v>
      </c>
      <c r="C5120" s="2" t="s">
        <v>594</v>
      </c>
      <c r="D5120" s="2" t="str">
        <f t="shared" si="79"/>
        <v>Error?</v>
      </c>
    </row>
    <row r="5121" spans="1:4" x14ac:dyDescent="0.2">
      <c r="A5121" s="5">
        <v>5060</v>
      </c>
      <c r="B5121" s="138">
        <f>'Revenues 9-14'!C109</f>
        <v>645743</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150524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150524</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76184</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76184</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1045089</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1121273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1271797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19336</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1131051</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1150387</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1356799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1356799</v>
      </c>
      <c r="C5326" s="2" t="s">
        <v>594</v>
      </c>
      <c r="D5326" s="2" t="str">
        <f t="shared" si="82"/>
        <v>Error?</v>
      </c>
    </row>
    <row r="5327" spans="1:4" x14ac:dyDescent="0.2">
      <c r="A5327" s="5">
        <v>5266</v>
      </c>
      <c r="B5327" s="138">
        <f>'Revenues 9-14'!C275</f>
        <v>3274339</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81221</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6.0432831245517071E-2</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70706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1963</v>
      </c>
    </row>
    <row r="7775" spans="1:5" x14ac:dyDescent="0.2">
      <c r="A7775">
        <v>7714</v>
      </c>
      <c r="B7775" s="138">
        <f>'Expenditures 15-22'!H133</f>
        <v>0</v>
      </c>
      <c r="D7775" s="2" t="str">
        <f t="shared" si="127"/>
        <v>Error?</v>
      </c>
      <c r="E7775" s="4" t="s">
        <v>1963</v>
      </c>
    </row>
    <row r="7776" spans="1:5" x14ac:dyDescent="0.2">
      <c r="A7776">
        <v>7715</v>
      </c>
      <c r="B7776" s="138">
        <f>'Expenditures 15-22'!K133</f>
        <v>0</v>
      </c>
      <c r="D7776" s="2" t="str">
        <f t="shared" si="127"/>
        <v>Error?</v>
      </c>
      <c r="E7776" s="4" t="s">
        <v>1963</v>
      </c>
    </row>
    <row r="7777" spans="1:5" x14ac:dyDescent="0.2">
      <c r="A7777">
        <v>7716</v>
      </c>
      <c r="B7777" s="138">
        <f>'Expenditures 15-22'!H157</f>
        <v>0</v>
      </c>
      <c r="D7777" s="2" t="str">
        <f t="shared" si="127"/>
        <v>Error?</v>
      </c>
      <c r="E7777" s="4" t="s">
        <v>1963</v>
      </c>
    </row>
    <row r="7778" spans="1:5" x14ac:dyDescent="0.2">
      <c r="A7778">
        <v>7717</v>
      </c>
      <c r="B7778" s="138">
        <f>'Expenditures 15-22'!K157</f>
        <v>0</v>
      </c>
      <c r="D7778" s="2" t="str">
        <f t="shared" si="127"/>
        <v>Error?</v>
      </c>
      <c r="E7778" s="4" t="s">
        <v>1963</v>
      </c>
    </row>
    <row r="7779" spans="1:5" x14ac:dyDescent="0.2">
      <c r="A7779">
        <v>7718</v>
      </c>
      <c r="B7779" s="138">
        <f>'Expenditures 15-22'!H158</f>
        <v>0</v>
      </c>
      <c r="D7779" s="2" t="str">
        <f t="shared" si="127"/>
        <v>Error?</v>
      </c>
      <c r="E7779" s="4" t="s">
        <v>1963</v>
      </c>
    </row>
    <row r="7780" spans="1:5" x14ac:dyDescent="0.2">
      <c r="A7780">
        <v>7719</v>
      </c>
      <c r="B7780" s="138">
        <f>'Expenditures 15-22'!K158</f>
        <v>0</v>
      </c>
      <c r="D7780" s="2" t="str">
        <f t="shared" si="127"/>
        <v>Error?</v>
      </c>
      <c r="E7780" s="4" t="s">
        <v>1963</v>
      </c>
    </row>
    <row r="7781" spans="1:5" x14ac:dyDescent="0.2">
      <c r="A7781">
        <v>7720</v>
      </c>
      <c r="B7781" s="138">
        <f>'Expenditures 15-22'!H159</f>
        <v>0</v>
      </c>
      <c r="D7781" s="2" t="str">
        <f t="shared" si="127"/>
        <v>Error?</v>
      </c>
      <c r="E7781" s="4" t="s">
        <v>1963</v>
      </c>
    </row>
    <row r="7782" spans="1:5" x14ac:dyDescent="0.2">
      <c r="A7782">
        <v>7721</v>
      </c>
      <c r="B7782" s="138">
        <f>'Expenditures 15-22'!K159</f>
        <v>0</v>
      </c>
      <c r="D7782" s="2" t="str">
        <f t="shared" si="127"/>
        <v>Error?</v>
      </c>
      <c r="E7782" s="4" t="s">
        <v>1963</v>
      </c>
    </row>
    <row r="7783" spans="1:5" x14ac:dyDescent="0.2">
      <c r="A7783">
        <v>7722</v>
      </c>
      <c r="B7783" s="138">
        <f>'Expenditures 15-22'!D282</f>
        <v>0</v>
      </c>
      <c r="D7783" s="2" t="str">
        <f t="shared" si="127"/>
        <v>Error?</v>
      </c>
      <c r="E7783" s="4" t="s">
        <v>1963</v>
      </c>
    </row>
    <row r="7784" spans="1:5" x14ac:dyDescent="0.2">
      <c r="A7784">
        <v>7723</v>
      </c>
      <c r="B7784" s="138">
        <f>'Expenditures 15-22'!K282</f>
        <v>0</v>
      </c>
      <c r="D7784" s="2" t="str">
        <f t="shared" si="127"/>
        <v>Error?</v>
      </c>
      <c r="E7784" s="4" t="s">
        <v>1963</v>
      </c>
    </row>
    <row r="7785" spans="1:5" x14ac:dyDescent="0.2">
      <c r="A7785">
        <v>7724</v>
      </c>
      <c r="B7785" s="138">
        <f>'Expenditures 15-22'!H332</f>
        <v>0</v>
      </c>
      <c r="D7785" s="2" t="str">
        <f t="shared" si="127"/>
        <v>Error?</v>
      </c>
      <c r="E7785" s="4" t="s">
        <v>1963</v>
      </c>
    </row>
    <row r="7786" spans="1:5" x14ac:dyDescent="0.2">
      <c r="A7786">
        <v>7725</v>
      </c>
      <c r="B7786" s="138">
        <f>'Expenditures 15-22'!K332</f>
        <v>0</v>
      </c>
      <c r="D7786" s="2" t="str">
        <f t="shared" si="127"/>
        <v>Error?</v>
      </c>
      <c r="E7786" s="4" t="s">
        <v>1963</v>
      </c>
    </row>
    <row r="7787" spans="1:5" x14ac:dyDescent="0.2">
      <c r="A7787">
        <v>7726</v>
      </c>
      <c r="B7787" s="138">
        <f>'Expenditures 15-22'!H333</f>
        <v>0</v>
      </c>
      <c r="D7787" s="2" t="str">
        <f t="shared" si="127"/>
        <v>Error?</v>
      </c>
      <c r="E7787" s="4" t="s">
        <v>1963</v>
      </c>
    </row>
    <row r="7788" spans="1:5" x14ac:dyDescent="0.2">
      <c r="A7788">
        <v>7727</v>
      </c>
      <c r="B7788" s="138">
        <f>'Expenditures 15-22'!K333</f>
        <v>0</v>
      </c>
      <c r="D7788" s="2" t="str">
        <f t="shared" si="127"/>
        <v>Error?</v>
      </c>
      <c r="E7788" s="4" t="s">
        <v>1963</v>
      </c>
    </row>
    <row r="7789" spans="1:5" x14ac:dyDescent="0.2">
      <c r="A7789">
        <v>7728</v>
      </c>
      <c r="B7789" s="138">
        <f>'Expenditures 15-22'!H334</f>
        <v>0</v>
      </c>
      <c r="D7789" s="2" t="str">
        <f t="shared" si="127"/>
        <v>Error?</v>
      </c>
      <c r="E7789" s="4" t="s">
        <v>1963</v>
      </c>
    </row>
    <row r="7790" spans="1:5" x14ac:dyDescent="0.2">
      <c r="A7790">
        <v>7729</v>
      </c>
      <c r="B7790" s="138">
        <f>'Expenditures 15-22'!K334</f>
        <v>0</v>
      </c>
      <c r="D7790" s="2" t="str">
        <f t="shared" si="127"/>
        <v>Error?</v>
      </c>
      <c r="E7790" s="4" t="s">
        <v>1963</v>
      </c>
    </row>
    <row r="7791" spans="1:5" x14ac:dyDescent="0.2">
      <c r="A7791">
        <v>7730</v>
      </c>
      <c r="B7791" s="138">
        <f>'Expenditures 15-22'!H354</f>
        <v>0</v>
      </c>
      <c r="D7791" s="2" t="str">
        <f t="shared" si="127"/>
        <v>Error?</v>
      </c>
      <c r="E7791" s="4" t="s">
        <v>1963</v>
      </c>
    </row>
    <row r="7792" spans="1:5" x14ac:dyDescent="0.2">
      <c r="A7792">
        <v>7731</v>
      </c>
      <c r="B7792" s="138">
        <f>'Expenditures 15-22'!K354</f>
        <v>0</v>
      </c>
      <c r="D7792" s="2" t="str">
        <f t="shared" si="127"/>
        <v>Error?</v>
      </c>
      <c r="E7792" s="4" t="s">
        <v>1963</v>
      </c>
    </row>
    <row r="7793" spans="1:5" x14ac:dyDescent="0.2">
      <c r="A7793">
        <v>7732</v>
      </c>
      <c r="B7793" s="138">
        <f>'Expenditures 15-22'!H355</f>
        <v>0</v>
      </c>
      <c r="D7793" s="2" t="str">
        <f t="shared" si="127"/>
        <v>Error?</v>
      </c>
      <c r="E7793" s="4" t="s">
        <v>1963</v>
      </c>
    </row>
    <row r="7794" spans="1:5" x14ac:dyDescent="0.2">
      <c r="A7794">
        <v>7733</v>
      </c>
      <c r="B7794" s="138">
        <f>'Expenditures 15-22'!K355</f>
        <v>0</v>
      </c>
      <c r="D7794" s="2" t="str">
        <f t="shared" si="127"/>
        <v>Error?</v>
      </c>
      <c r="E7794" s="4" t="s">
        <v>1963</v>
      </c>
    </row>
    <row r="7795" spans="1:5" x14ac:dyDescent="0.2">
      <c r="A7795">
        <v>7734</v>
      </c>
      <c r="B7795" s="138">
        <f>'Expenditures 15-22'!E138</f>
        <v>0</v>
      </c>
      <c r="D7795" s="2" t="str">
        <f t="shared" si="127"/>
        <v>Error?</v>
      </c>
      <c r="E7795" s="4" t="s">
        <v>1963</v>
      </c>
    </row>
    <row r="7796" spans="1:5" x14ac:dyDescent="0.2">
      <c r="A7796">
        <v>7735</v>
      </c>
      <c r="B7796" s="138">
        <f>'Acct Summary 7-8'!J15</f>
        <v>0</v>
      </c>
      <c r="D7796" s="2" t="str">
        <f t="shared" si="127"/>
        <v>Error?</v>
      </c>
      <c r="E7796" s="4" t="s">
        <v>1963</v>
      </c>
    </row>
    <row r="7797" spans="1:5" x14ac:dyDescent="0.2">
      <c r="A7797">
        <v>7736</v>
      </c>
      <c r="B7797" s="138">
        <f>'Contracts Paid in CY 29'!D141</f>
        <v>0</v>
      </c>
      <c r="D7797" s="2" t="str">
        <f t="shared" si="127"/>
        <v>Error?</v>
      </c>
      <c r="E7797" s="4" t="s">
        <v>2016</v>
      </c>
    </row>
    <row r="7798" spans="1:5" x14ac:dyDescent="0.2">
      <c r="A7798">
        <v>7737</v>
      </c>
      <c r="B7798" s="138">
        <f>'Contracts Paid in CY 29'!F141</f>
        <v>0</v>
      </c>
      <c r="D7798" s="2" t="str">
        <f t="shared" si="127"/>
        <v>Error?</v>
      </c>
      <c r="E7798" s="4" t="s">
        <v>2016</v>
      </c>
    </row>
    <row r="7799" spans="1:5" x14ac:dyDescent="0.2">
      <c r="A7799">
        <v>7738</v>
      </c>
      <c r="B7799" s="138">
        <f>'Contracts Paid in CY 29'!G141</f>
        <v>0</v>
      </c>
      <c r="D7799" s="2" t="str">
        <f t="shared" si="127"/>
        <v>Error?</v>
      </c>
      <c r="E7799" s="4" t="s">
        <v>2016</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8" t="s">
        <v>1253</v>
      </c>
      <c r="B2" s="2398"/>
      <c r="C2" s="2398"/>
      <c r="D2" s="2398"/>
      <c r="E2" s="2398"/>
      <c r="F2" s="2398"/>
      <c r="G2" s="2398"/>
      <c r="H2" s="2398"/>
      <c r="I2" s="2398"/>
      <c r="J2" s="2398"/>
      <c r="K2" s="2398"/>
      <c r="L2" s="2398"/>
    </row>
    <row r="3" spans="1:29" ht="13.5" customHeight="1" x14ac:dyDescent="0.2">
      <c r="A3" s="2429" t="s">
        <v>1252</v>
      </c>
      <c r="B3" s="2429"/>
      <c r="C3" s="2429"/>
      <c r="D3" s="2429"/>
      <c r="E3" s="2429"/>
      <c r="F3" s="2429"/>
      <c r="G3" s="2429"/>
      <c r="H3" s="2429"/>
      <c r="I3" s="2429"/>
      <c r="J3" s="2429"/>
      <c r="K3" s="2429"/>
      <c r="L3" s="2429"/>
    </row>
    <row r="4" spans="1:29" ht="13.5" customHeight="1" x14ac:dyDescent="0.2">
      <c r="A4" s="2398" t="s">
        <v>1799</v>
      </c>
      <c r="B4" s="2419"/>
      <c r="C4" s="2419"/>
      <c r="D4" s="2419"/>
      <c r="E4" s="2419"/>
      <c r="F4" s="2419"/>
      <c r="G4" s="2419"/>
      <c r="H4" s="2419"/>
      <c r="I4" s="2419"/>
      <c r="J4" s="2419"/>
      <c r="K4" s="2419"/>
      <c r="L4" s="241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0" t="str">
        <f>COVER!A17</f>
        <v>Rural Champaign Co SpEd Coop</v>
      </c>
      <c r="B7" s="2421"/>
      <c r="C7" s="2421"/>
      <c r="D7" s="2422"/>
      <c r="E7" s="2423">
        <f>COVER!A13</f>
        <v>9010801060</v>
      </c>
      <c r="F7" s="2424"/>
      <c r="G7" s="2430" t="str">
        <f>COVER!T23</f>
        <v>065.018319</v>
      </c>
      <c r="H7" s="2431"/>
      <c r="I7" s="2431"/>
      <c r="J7" s="2431"/>
      <c r="K7" s="2431"/>
      <c r="L7" s="243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3"/>
      <c r="B9" s="2434"/>
      <c r="C9" s="2434"/>
      <c r="D9" s="2434"/>
      <c r="E9" s="2434"/>
      <c r="F9" s="2435"/>
      <c r="G9" s="2404" t="str">
        <f>COVER!T13</f>
        <v>RUSSELL LEIGH &amp; ASSOCIATES</v>
      </c>
      <c r="H9" s="2436"/>
      <c r="I9" s="2436"/>
      <c r="J9" s="2436"/>
      <c r="K9" s="2436"/>
      <c r="L9" s="2437"/>
    </row>
    <row r="10" spans="1:29" ht="13.5" customHeight="1" x14ac:dyDescent="0.2">
      <c r="A10" s="2410" t="str">
        <f>COVER!A38</f>
        <v>Jennifer Armstrong</v>
      </c>
      <c r="B10" s="2411"/>
      <c r="C10" s="2411"/>
      <c r="D10" s="2411"/>
      <c r="E10" s="2411"/>
      <c r="F10" s="2412"/>
      <c r="G10" s="2404" t="str">
        <f>COVER!T17</f>
        <v>228 E MAIN ST</v>
      </c>
      <c r="H10" s="2405"/>
      <c r="I10" s="2405"/>
      <c r="J10" s="2405"/>
      <c r="K10" s="2405"/>
      <c r="L10" s="2406"/>
    </row>
    <row r="11" spans="1:29" ht="13.5" customHeight="1" x14ac:dyDescent="0.2">
      <c r="A11" s="1185" t="s">
        <v>1599</v>
      </c>
      <c r="B11" s="1186"/>
      <c r="C11" s="1187"/>
      <c r="D11" s="1192"/>
      <c r="E11" s="1187"/>
      <c r="F11" s="1191"/>
      <c r="G11" s="2404" t="str">
        <f>COVER!T19</f>
        <v>HOOPESTON</v>
      </c>
      <c r="H11" s="2405"/>
      <c r="I11" s="2405"/>
      <c r="J11" s="2405"/>
      <c r="K11" s="2405"/>
      <c r="L11" s="2406"/>
    </row>
    <row r="12" spans="1:29" ht="13.5" customHeight="1" x14ac:dyDescent="0.2">
      <c r="A12" s="2413" t="s">
        <v>1598</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1600</v>
      </c>
      <c r="H13" s="2400"/>
      <c r="I13" s="2416" t="str">
        <f>COVER!T25</f>
        <v>admin@russleigh.com</v>
      </c>
      <c r="J13" s="2417"/>
      <c r="K13" s="2417"/>
      <c r="L13" s="2418"/>
    </row>
    <row r="14" spans="1:29" ht="13.5" customHeight="1" x14ac:dyDescent="0.2">
      <c r="A14" s="2404" t="str">
        <f>COVER!A19</f>
        <v>807 N MATTIS AVE</v>
      </c>
      <c r="B14" s="2405"/>
      <c r="C14" s="2405"/>
      <c r="D14" s="2405"/>
      <c r="E14" s="2405"/>
      <c r="F14" s="2406"/>
      <c r="G14" s="1196" t="s">
        <v>1247</v>
      </c>
      <c r="H14" s="1194"/>
      <c r="I14" s="1194"/>
      <c r="J14" s="1194"/>
      <c r="K14" s="1194"/>
      <c r="L14" s="1195"/>
    </row>
    <row r="15" spans="1:29" ht="13.5" customHeight="1" x14ac:dyDescent="0.2">
      <c r="A15" s="2404" t="str">
        <f>COVER!A21</f>
        <v>CHAMPAIGN</v>
      </c>
      <c r="B15" s="2405"/>
      <c r="C15" s="2405"/>
      <c r="D15" s="2405"/>
      <c r="E15" s="2405"/>
      <c r="F15" s="2406"/>
      <c r="G15" s="2401" t="str">
        <f>COVER!T15</f>
        <v>RUSS LEIGH</v>
      </c>
      <c r="H15" s="2402"/>
      <c r="I15" s="2402"/>
      <c r="J15" s="2402"/>
      <c r="K15" s="2402"/>
      <c r="L15" s="2403"/>
    </row>
    <row r="16" spans="1:29" ht="12.2" customHeight="1" x14ac:dyDescent="0.2">
      <c r="A16" s="2426">
        <f>COVER!A25</f>
        <v>61821</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6" t="s">
        <v>1246</v>
      </c>
      <c r="H17" s="1194"/>
      <c r="I17" s="1194"/>
      <c r="J17" s="1194"/>
      <c r="K17" s="1198" t="s">
        <v>1245</v>
      </c>
      <c r="L17" s="1191"/>
      <c r="M17" s="1184"/>
    </row>
    <row r="18" spans="1:13" ht="12.2" customHeight="1" x14ac:dyDescent="0.2">
      <c r="A18" s="2410"/>
      <c r="B18" s="2411"/>
      <c r="C18" s="2411"/>
      <c r="D18" s="2411"/>
      <c r="E18" s="2411"/>
      <c r="F18" s="2412"/>
      <c r="G18" s="2420" t="str">
        <f>COVER!T21</f>
        <v>217-283-9336</v>
      </c>
      <c r="H18" s="2421"/>
      <c r="I18" s="2421"/>
      <c r="J18" s="2421"/>
      <c r="K18" s="2420" t="str">
        <f>COVER!X21</f>
        <v>217-283-9736</v>
      </c>
      <c r="L18" s="242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1943</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Rural Champaign Co SpEd Coop</v>
      </c>
      <c r="B1" s="2419"/>
      <c r="C1" s="2419"/>
      <c r="D1" s="2419"/>
    </row>
    <row r="2" spans="1:11" s="1215" customFormat="1" ht="12.75" x14ac:dyDescent="0.2">
      <c r="A2" s="2443">
        <f>'Single Audit Cover'!E7</f>
        <v>9010801060</v>
      </c>
      <c r="B2" s="2444"/>
      <c r="C2" s="2444"/>
      <c r="D2" s="2444"/>
    </row>
    <row r="3" spans="1:11" s="1215" customFormat="1" ht="12.75" x14ac:dyDescent="0.2">
      <c r="A3" s="2442" t="s">
        <v>1593</v>
      </c>
      <c r="B3" s="2419"/>
      <c r="C3" s="2419"/>
      <c r="D3" s="241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1944</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3" zoomScale="110" zoomScaleNormal="110" zoomScaleSheetLayoutView="100" workbookViewId="0">
      <selection activeCell="D17" sqref="D17"/>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Rural Champaign Co SpEd Coop</v>
      </c>
      <c r="B1" s="2446"/>
      <c r="C1" s="2446"/>
      <c r="D1" s="2446"/>
      <c r="E1" s="2446"/>
    </row>
    <row r="2" spans="1:5" x14ac:dyDescent="0.2">
      <c r="A2" s="2447">
        <f>'Single Audit Cover'!E7</f>
        <v>9010801060</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1356799</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1952</v>
      </c>
      <c r="B16" s="1262"/>
      <c r="C16" s="1262"/>
    </row>
    <row r="17" spans="1:4" x14ac:dyDescent="0.2">
      <c r="A17" s="1261" t="s">
        <v>1601</v>
      </c>
      <c r="B17" s="1262" t="s">
        <v>1298</v>
      </c>
      <c r="C17" s="1262"/>
      <c r="D17" s="1264">
        <f>-SUM('Revenues 9-14'!C271:D271,'Revenues 9-14'!F271:G271)</f>
        <v>-80310</v>
      </c>
    </row>
    <row r="19" spans="1:4" ht="13.5" thickBot="1" x14ac:dyDescent="0.25">
      <c r="A19" s="1265" t="s">
        <v>1297</v>
      </c>
      <c r="D19" s="1266">
        <f>SUM(D10:D17)</f>
        <v>1276489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1276489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1276489</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25"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9" t="str">
        <f>'Single Audit Cover'!A7</f>
        <v>Rural Champaign Co SpEd Coop</v>
      </c>
      <c r="B1" s="2459"/>
      <c r="C1" s="2459"/>
      <c r="D1" s="2459"/>
      <c r="E1" s="2459"/>
      <c r="F1" s="2459"/>
    </row>
    <row r="2" spans="1:7" ht="13.5" customHeight="1" x14ac:dyDescent="0.2">
      <c r="A2" s="2460">
        <f>'Single Audit Cover'!E7</f>
        <v>9010801060</v>
      </c>
      <c r="B2" s="2460"/>
      <c r="C2" s="2460"/>
      <c r="D2" s="2460"/>
      <c r="E2" s="2460"/>
      <c r="F2" s="2460"/>
      <c r="G2" s="1275"/>
    </row>
    <row r="3" spans="1:7" ht="15.75" customHeight="1" x14ac:dyDescent="0.2">
      <c r="A3" s="2461" t="s">
        <v>1333</v>
      </c>
      <c r="B3" s="2461"/>
      <c r="C3" s="2461"/>
      <c r="D3" s="2461"/>
      <c r="E3" s="2461"/>
      <c r="F3" s="2461"/>
    </row>
    <row r="4" spans="1:7" ht="13.5" customHeight="1" x14ac:dyDescent="0.2">
      <c r="A4" s="2462" t="str">
        <f>'Single Audit Cover'!A4</f>
        <v>Year Ending June 30, 2018</v>
      </c>
      <c r="B4" s="2462"/>
      <c r="C4" s="2462"/>
      <c r="D4" s="2462"/>
      <c r="E4" s="2462"/>
      <c r="F4" s="2462"/>
    </row>
    <row r="5" spans="1:7" ht="8.25" customHeight="1" x14ac:dyDescent="0.2">
      <c r="C5" s="317"/>
      <c r="D5" s="317"/>
    </row>
    <row r="6" spans="1:7" ht="13.5" customHeight="1" x14ac:dyDescent="0.2">
      <c r="A6" s="1276" t="s">
        <v>1831</v>
      </c>
      <c r="C6" s="317"/>
      <c r="D6" s="317"/>
    </row>
    <row r="7" spans="1:7" ht="60.95" customHeight="1" x14ac:dyDescent="0.2">
      <c r="A7" s="2458" t="s">
        <v>2100</v>
      </c>
      <c r="B7" s="2458"/>
      <c r="C7" s="2458"/>
      <c r="D7" s="2458"/>
      <c r="E7" s="2458"/>
      <c r="F7" s="2458"/>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t="s">
        <v>2092</v>
      </c>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8" t="s">
        <v>2101</v>
      </c>
      <c r="B13" s="2458"/>
      <c r="C13" s="2458"/>
      <c r="D13" s="2458"/>
      <c r="E13" s="2458"/>
      <c r="F13" s="2458"/>
    </row>
    <row r="14" spans="1:7" ht="9.75" customHeight="1" x14ac:dyDescent="0.2">
      <c r="C14" s="1260"/>
      <c r="D14" s="1260"/>
    </row>
    <row r="15" spans="1:7" ht="13.5" customHeight="1" x14ac:dyDescent="0.2">
      <c r="C15" s="1871" t="s">
        <v>1332</v>
      </c>
      <c r="D15" s="2456" t="s">
        <v>1331</v>
      </c>
      <c r="E15" s="2456"/>
      <c r="F15" s="2456"/>
    </row>
    <row r="16" spans="1:7" ht="13.5" customHeight="1" x14ac:dyDescent="0.2">
      <c r="A16" s="1282"/>
      <c r="B16" s="1276" t="s">
        <v>1330</v>
      </c>
      <c r="C16" s="1871" t="s">
        <v>1329</v>
      </c>
      <c r="D16" s="2457" t="s">
        <v>1670</v>
      </c>
      <c r="E16" s="2457"/>
      <c r="F16" s="2457"/>
    </row>
    <row r="17" spans="1:6" ht="20.45" customHeight="1" x14ac:dyDescent="0.2">
      <c r="A17" s="1283"/>
      <c r="B17" s="1284" t="s">
        <v>2102</v>
      </c>
      <c r="C17" s="1285"/>
      <c r="D17" s="2451"/>
      <c r="E17" s="2451"/>
      <c r="F17" s="2451"/>
    </row>
    <row r="18" spans="1:6" ht="20.65" customHeight="1" x14ac:dyDescent="0.2">
      <c r="A18" s="1283"/>
      <c r="B18" s="1284"/>
      <c r="C18" s="1285"/>
      <c r="D18" s="2451"/>
      <c r="E18" s="2451"/>
      <c r="F18" s="2451"/>
    </row>
    <row r="19" spans="1:6" ht="20.65" customHeight="1" x14ac:dyDescent="0.2">
      <c r="A19" s="1283"/>
      <c r="B19" s="1284"/>
      <c r="C19" s="1285"/>
      <c r="D19" s="2451"/>
      <c r="E19" s="2451"/>
      <c r="F19" s="2451"/>
    </row>
    <row r="20" spans="1:6" ht="20.65" customHeight="1" x14ac:dyDescent="0.2">
      <c r="A20" s="1283"/>
      <c r="B20" s="1284"/>
      <c r="C20" s="1285"/>
      <c r="D20" s="2451"/>
      <c r="E20" s="2451"/>
      <c r="F20" s="2451"/>
    </row>
    <row r="21" spans="1:6" ht="20.65" customHeight="1" x14ac:dyDescent="0.2">
      <c r="A21" s="1283"/>
      <c r="B21" s="1284"/>
      <c r="C21" s="1285"/>
      <c r="D21" s="2451"/>
      <c r="E21" s="2451"/>
      <c r="F21" s="2451"/>
    </row>
    <row r="22" spans="1:6" ht="20.65" customHeight="1" x14ac:dyDescent="0.2">
      <c r="A22" s="1283"/>
      <c r="B22" s="1284"/>
      <c r="C22" s="1285"/>
      <c r="D22" s="2451"/>
      <c r="E22" s="2451"/>
      <c r="F22" s="2451"/>
    </row>
    <row r="23" spans="1:6" ht="20.65" customHeight="1" x14ac:dyDescent="0.2">
      <c r="A23" s="1283"/>
      <c r="B23" s="1284"/>
      <c r="C23" s="1285"/>
      <c r="D23" s="2451"/>
      <c r="E23" s="2451"/>
      <c r="F23" s="2451"/>
    </row>
    <row r="24" spans="1:6" ht="20.65" customHeight="1" x14ac:dyDescent="0.2">
      <c r="A24" s="1283"/>
      <c r="B24" s="1284"/>
      <c r="C24" s="1285"/>
      <c r="D24" s="2451"/>
      <c r="E24" s="2451"/>
      <c r="F24" s="2451"/>
    </row>
    <row r="25" spans="1:6" ht="20.65" customHeight="1" x14ac:dyDescent="0.2">
      <c r="A25" s="1283"/>
      <c r="B25" s="1284"/>
      <c r="C25" s="1285"/>
      <c r="D25" s="2451"/>
      <c r="E25" s="2451"/>
      <c r="F25" s="2451"/>
    </row>
    <row r="26" spans="1:6" ht="20.65" customHeight="1" x14ac:dyDescent="0.2">
      <c r="A26" s="1283"/>
      <c r="B26" s="1284"/>
      <c r="C26" s="1285"/>
      <c r="D26" s="2451"/>
      <c r="E26" s="2451"/>
      <c r="F26" s="2451"/>
    </row>
    <row r="27" spans="1:6" ht="20.65" customHeight="1" x14ac:dyDescent="0.2">
      <c r="A27" s="1283"/>
      <c r="B27" s="1284"/>
      <c r="C27" s="1285"/>
      <c r="D27" s="2451"/>
      <c r="E27" s="2451"/>
      <c r="F27" s="2451"/>
    </row>
    <row r="28" spans="1:6" ht="20.65" customHeight="1" x14ac:dyDescent="0.2">
      <c r="A28" s="1283"/>
      <c r="B28" s="1284"/>
      <c r="C28" s="1285"/>
      <c r="D28" s="2451"/>
      <c r="E28" s="2451"/>
      <c r="F28" s="2451"/>
    </row>
    <row r="29" spans="1:6" ht="20.65" customHeight="1" x14ac:dyDescent="0.2">
      <c r="A29" s="1283"/>
      <c r="B29" s="1284"/>
      <c r="C29" s="1285"/>
      <c r="D29" s="2451"/>
      <c r="E29" s="2451"/>
      <c r="F29" s="2451"/>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2" t="s">
        <v>2103</v>
      </c>
      <c r="B32" s="2452"/>
      <c r="C32" s="2452"/>
      <c r="D32" s="2452"/>
      <c r="E32" s="2452"/>
      <c r="F32" s="2452"/>
    </row>
    <row r="33" spans="1:6" ht="13.5" customHeight="1" x14ac:dyDescent="0.2">
      <c r="A33" s="328" t="s">
        <v>1509</v>
      </c>
      <c r="B33" s="328"/>
      <c r="C33" s="1288">
        <v>0</v>
      </c>
      <c r="D33" s="1928"/>
      <c r="E33" s="1286"/>
    </row>
    <row r="34" spans="1:6" ht="13.5" customHeight="1" x14ac:dyDescent="0.2">
      <c r="A34" s="328" t="s">
        <v>1945</v>
      </c>
      <c r="B34" s="328"/>
      <c r="C34" s="1289">
        <v>0</v>
      </c>
      <c r="D34" s="1928" t="s">
        <v>1671</v>
      </c>
      <c r="E34" s="2453">
        <f>+C33+C34</f>
        <v>0</v>
      </c>
      <c r="F34" s="2454"/>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t="s">
        <v>2104</v>
      </c>
      <c r="D38" s="1928"/>
      <c r="E38" s="1286"/>
    </row>
    <row r="39" spans="1:6" ht="14.25" customHeight="1" x14ac:dyDescent="0.2">
      <c r="A39" s="328"/>
      <c r="B39" s="328" t="s">
        <v>1511</v>
      </c>
      <c r="C39" s="1292" t="s">
        <v>2104</v>
      </c>
      <c r="D39" s="1928"/>
      <c r="E39" s="1286"/>
    </row>
    <row r="40" spans="1:6" ht="14.25" customHeight="1" x14ac:dyDescent="0.2">
      <c r="A40" s="328"/>
      <c r="B40" s="328" t="s">
        <v>1512</v>
      </c>
      <c r="C40" s="1292" t="s">
        <v>2104</v>
      </c>
      <c r="D40" s="1928"/>
      <c r="E40" s="1286"/>
    </row>
    <row r="41" spans="1:6" ht="14.25" customHeight="1" x14ac:dyDescent="0.2">
      <c r="A41" s="328"/>
      <c r="B41" s="328" t="s">
        <v>1513</v>
      </c>
      <c r="C41" s="1292" t="s">
        <v>2104</v>
      </c>
      <c r="D41" s="1928"/>
      <c r="E41" s="1286"/>
    </row>
    <row r="42" spans="1:6" ht="14.25" customHeight="1" x14ac:dyDescent="0.2">
      <c r="A42" s="328" t="s">
        <v>1514</v>
      </c>
      <c r="B42" s="328"/>
      <c r="C42" s="1926" t="s">
        <v>2104</v>
      </c>
      <c r="D42" s="1928"/>
      <c r="E42" s="1286"/>
    </row>
    <row r="43" spans="1:6" ht="14.25" customHeight="1" x14ac:dyDescent="0.2">
      <c r="A43" s="328" t="s">
        <v>1515</v>
      </c>
      <c r="B43" s="328"/>
      <c r="C43" s="1293" t="s">
        <v>2104</v>
      </c>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1833</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5" t="s">
        <v>1672</v>
      </c>
      <c r="C49" s="2455"/>
      <c r="D49" s="2455"/>
      <c r="E49" s="1399"/>
    </row>
    <row r="50" spans="1:5" s="1300" customFormat="1" ht="3.75" customHeight="1" x14ac:dyDescent="0.2">
      <c r="A50" s="1299"/>
      <c r="B50" s="1870"/>
      <c r="C50" s="1870"/>
      <c r="D50" s="1870"/>
      <c r="E50" s="1399"/>
    </row>
    <row r="51" spans="1:5" s="1300" customFormat="1" ht="20.25" customHeight="1" x14ac:dyDescent="0.2">
      <c r="A51" s="1301">
        <v>6</v>
      </c>
      <c r="B51" s="2450" t="s">
        <v>1632</v>
      </c>
      <c r="C51" s="2450"/>
      <c r="D51" s="2450"/>
    </row>
    <row r="52" spans="1:5" ht="14.25" customHeight="1" x14ac:dyDescent="0.2">
      <c r="A52" s="1301"/>
      <c r="B52" s="2450"/>
      <c r="C52" s="2450"/>
      <c r="D52" s="245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F28" sqref="F28"/>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Rural Champaign Co SpEd Coop</v>
      </c>
      <c r="C1" s="2463"/>
      <c r="D1" s="2463"/>
      <c r="E1" s="2463"/>
      <c r="F1" s="2463"/>
      <c r="G1" s="2463"/>
      <c r="H1" s="2463"/>
      <c r="I1" s="2463"/>
      <c r="J1" s="2463"/>
      <c r="K1" s="2463"/>
      <c r="L1" s="2463"/>
      <c r="M1" s="2463"/>
    </row>
    <row r="2" spans="2:14" ht="15" x14ac:dyDescent="0.2">
      <c r="B2" s="2460">
        <f>'Single Audit Cover'!E7</f>
        <v>9010801060</v>
      </c>
      <c r="C2" s="2460"/>
      <c r="D2" s="2460"/>
      <c r="E2" s="2460"/>
      <c r="F2" s="2460"/>
      <c r="G2" s="2460"/>
      <c r="H2" s="2460"/>
      <c r="I2" s="2460"/>
      <c r="J2" s="2460"/>
      <c r="K2" s="2460"/>
      <c r="L2" s="2460"/>
      <c r="M2" s="2460"/>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1834</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1946</v>
      </c>
      <c r="K8" s="1319" t="s">
        <v>1323</v>
      </c>
      <c r="L8" s="1320" t="s">
        <v>1319</v>
      </c>
      <c r="M8" s="1321" t="s">
        <v>30</v>
      </c>
    </row>
    <row r="9" spans="2:14" ht="14.25" x14ac:dyDescent="0.2">
      <c r="B9" s="1325" t="s">
        <v>1321</v>
      </c>
      <c r="C9" s="1313" t="s">
        <v>1835</v>
      </c>
      <c r="D9" s="1314" t="s">
        <v>1836</v>
      </c>
      <c r="E9" s="1322" t="s">
        <v>1663</v>
      </c>
      <c r="F9" s="1323" t="s">
        <v>1946</v>
      </c>
      <c r="G9" s="1324" t="s">
        <v>1663</v>
      </c>
      <c r="H9" s="1317" t="s">
        <v>1664</v>
      </c>
      <c r="I9" s="1319" t="s">
        <v>1946</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2105</v>
      </c>
      <c r="C11" s="1338"/>
      <c r="D11" s="1339"/>
      <c r="E11" s="1340"/>
      <c r="F11" s="1340"/>
      <c r="G11" s="1340"/>
      <c r="H11" s="1340"/>
      <c r="I11" s="1340"/>
      <c r="J11" s="1340"/>
      <c r="K11" s="1340"/>
      <c r="L11" s="1340">
        <f>+G11+I11+K11</f>
        <v>0</v>
      </c>
      <c r="M11" s="1340"/>
    </row>
    <row r="12" spans="2:14" ht="20.100000000000001" customHeight="1" x14ac:dyDescent="0.2">
      <c r="B12" s="1337" t="s">
        <v>2106</v>
      </c>
      <c r="C12" s="1341"/>
      <c r="D12" s="1342"/>
      <c r="E12" s="1343"/>
      <c r="F12" s="1343"/>
      <c r="G12" s="1343"/>
      <c r="H12" s="1343"/>
      <c r="I12" s="1343"/>
      <c r="J12" s="1343"/>
      <c r="K12" s="1343"/>
      <c r="L12" s="1340">
        <f t="shared" ref="L12:L26" si="0">+G12+I12+K12</f>
        <v>0</v>
      </c>
      <c r="M12" s="1343"/>
    </row>
    <row r="13" spans="2:14" ht="20.100000000000001" customHeight="1" x14ac:dyDescent="0.2">
      <c r="B13" s="1337" t="s">
        <v>2107</v>
      </c>
      <c r="C13" s="1341" t="s">
        <v>2108</v>
      </c>
      <c r="D13" s="1342" t="s">
        <v>2109</v>
      </c>
      <c r="E13" s="1343">
        <v>24945</v>
      </c>
      <c r="F13" s="1343">
        <v>12449</v>
      </c>
      <c r="G13" s="1343">
        <v>33409</v>
      </c>
      <c r="H13" s="1343"/>
      <c r="I13" s="1343">
        <v>3985</v>
      </c>
      <c r="J13" s="1343"/>
      <c r="K13" s="1343"/>
      <c r="L13" s="1340">
        <v>37394</v>
      </c>
      <c r="M13" s="1343"/>
    </row>
    <row r="14" spans="2:14" ht="20.100000000000001" customHeight="1" x14ac:dyDescent="0.2">
      <c r="B14" s="1337" t="s">
        <v>2107</v>
      </c>
      <c r="C14" s="1341" t="s">
        <v>2108</v>
      </c>
      <c r="D14" s="1342" t="s">
        <v>2110</v>
      </c>
      <c r="E14" s="1343"/>
      <c r="F14" s="1343">
        <v>6887</v>
      </c>
      <c r="G14" s="1343"/>
      <c r="H14" s="1343"/>
      <c r="I14" s="1343">
        <v>34430</v>
      </c>
      <c r="J14" s="1343"/>
      <c r="K14" s="1343">
        <v>13586</v>
      </c>
      <c r="L14" s="1340">
        <v>48016</v>
      </c>
      <c r="M14" s="1343">
        <v>52100</v>
      </c>
    </row>
    <row r="15" spans="2:14" ht="20.100000000000001" customHeight="1" x14ac:dyDescent="0.2">
      <c r="B15" s="1337" t="s">
        <v>2111</v>
      </c>
      <c r="C15" s="1341" t="s">
        <v>2112</v>
      </c>
      <c r="D15" s="1342" t="s">
        <v>2113</v>
      </c>
      <c r="E15" s="1343">
        <v>616956</v>
      </c>
      <c r="F15" s="1343">
        <v>321941</v>
      </c>
      <c r="G15" s="1343">
        <v>890157</v>
      </c>
      <c r="H15" s="1343"/>
      <c r="I15" s="1343">
        <v>48740</v>
      </c>
      <c r="J15" s="1343"/>
      <c r="K15" s="1343"/>
      <c r="L15" s="1340">
        <v>938897</v>
      </c>
      <c r="M15" s="1343"/>
    </row>
    <row r="16" spans="2:14" ht="20.100000000000001" customHeight="1" x14ac:dyDescent="0.2">
      <c r="B16" s="1337" t="s">
        <v>2111</v>
      </c>
      <c r="C16" s="1341" t="s">
        <v>2112</v>
      </c>
      <c r="D16" s="1342" t="s">
        <v>2114</v>
      </c>
      <c r="E16" s="1343"/>
      <c r="F16" s="1343">
        <v>809110</v>
      </c>
      <c r="G16" s="1343"/>
      <c r="H16" s="1343"/>
      <c r="I16" s="1343">
        <v>954664</v>
      </c>
      <c r="J16" s="1343"/>
      <c r="K16" s="1343">
        <v>61200</v>
      </c>
      <c r="L16" s="1340">
        <v>1015864</v>
      </c>
      <c r="M16" s="1343">
        <v>1121000</v>
      </c>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t="s">
        <v>2115</v>
      </c>
      <c r="C18" s="1341"/>
      <c r="D18" s="1342"/>
      <c r="E18" s="1343">
        <v>641901</v>
      </c>
      <c r="F18" s="1343">
        <v>1150387</v>
      </c>
      <c r="G18" s="1343">
        <v>923566</v>
      </c>
      <c r="H18" s="1343"/>
      <c r="I18" s="1343">
        <v>1041819</v>
      </c>
      <c r="J18" s="1343"/>
      <c r="K18" s="1343">
        <v>74786</v>
      </c>
      <c r="L18" s="1340">
        <v>2040171</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t="s">
        <v>2116</v>
      </c>
      <c r="C20" s="1341"/>
      <c r="D20" s="1342"/>
      <c r="E20" s="1343"/>
      <c r="F20" s="1343"/>
      <c r="G20" s="1343"/>
      <c r="H20" s="1343"/>
      <c r="I20" s="1343"/>
      <c r="J20" s="1343"/>
      <c r="K20" s="1343"/>
      <c r="L20" s="1340">
        <f t="shared" si="0"/>
        <v>0</v>
      </c>
      <c r="M20" s="1343"/>
    </row>
    <row r="21" spans="2:14" ht="20.100000000000001" customHeight="1" x14ac:dyDescent="0.2">
      <c r="B21" s="1337" t="s">
        <v>2117</v>
      </c>
      <c r="C21" s="1341"/>
      <c r="D21" s="1342"/>
      <c r="E21" s="1343"/>
      <c r="F21" s="1343"/>
      <c r="G21" s="1343"/>
      <c r="H21" s="1343"/>
      <c r="I21" s="1343"/>
      <c r="J21" s="1343"/>
      <c r="K21" s="1343"/>
      <c r="L21" s="1340">
        <f t="shared" si="0"/>
        <v>0</v>
      </c>
      <c r="M21" s="1343"/>
    </row>
    <row r="22" spans="2:14" ht="20.100000000000001" customHeight="1" x14ac:dyDescent="0.2">
      <c r="B22" s="1337" t="s">
        <v>2118</v>
      </c>
      <c r="C22" s="1341">
        <v>84.126000000000005</v>
      </c>
      <c r="D22" s="1342" t="s">
        <v>2119</v>
      </c>
      <c r="E22" s="1343"/>
      <c r="F22" s="1343">
        <v>110607</v>
      </c>
      <c r="G22" s="1343"/>
      <c r="H22" s="1343"/>
      <c r="I22" s="1343">
        <v>110602</v>
      </c>
      <c r="J22" s="1343"/>
      <c r="K22" s="1343"/>
      <c r="L22" s="1340">
        <v>110602</v>
      </c>
      <c r="M22" s="1343"/>
    </row>
    <row r="23" spans="2:14" ht="20.100000000000001" customHeight="1" x14ac:dyDescent="0.2">
      <c r="B23" s="1337" t="s">
        <v>2120</v>
      </c>
      <c r="C23" s="1341">
        <v>93.772999999999996</v>
      </c>
      <c r="D23" s="1342" t="s">
        <v>2121</v>
      </c>
      <c r="E23" s="1343"/>
      <c r="F23" s="1343">
        <v>15495</v>
      </c>
      <c r="G23" s="1343"/>
      <c r="H23" s="1343"/>
      <c r="I23" s="1343">
        <v>15495</v>
      </c>
      <c r="J23" s="1343"/>
      <c r="K23" s="1343"/>
      <c r="L23" s="1340">
        <v>15495</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t="s">
        <v>2122</v>
      </c>
      <c r="C25" s="1341"/>
      <c r="D25" s="1342"/>
      <c r="E25" s="1343"/>
      <c r="F25" s="1343">
        <v>126102</v>
      </c>
      <c r="G25" s="1343"/>
      <c r="H25" s="1343"/>
      <c r="I25" s="1343">
        <v>113714</v>
      </c>
      <c r="J25" s="1343"/>
      <c r="K25" s="1343"/>
      <c r="L25" s="1340">
        <v>113714</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t="s">
        <v>2123</v>
      </c>
      <c r="C27" s="1341"/>
      <c r="D27" s="1342"/>
      <c r="E27" s="1343">
        <v>641901</v>
      </c>
      <c r="F27" s="1343">
        <v>1276489</v>
      </c>
      <c r="G27" s="1343">
        <v>923566</v>
      </c>
      <c r="H27" s="1343"/>
      <c r="I27" s="1343">
        <v>1155533</v>
      </c>
      <c r="J27" s="1343"/>
      <c r="K27" s="1343">
        <v>74786</v>
      </c>
      <c r="L27" s="1340">
        <v>2153885</v>
      </c>
      <c r="M27" s="1343"/>
      <c r="N27" s="1344"/>
    </row>
    <row r="28" spans="2:14" ht="12.75" customHeight="1" x14ac:dyDescent="0.2">
      <c r="B28" s="1345"/>
      <c r="C28" s="1346"/>
      <c r="D28" s="1347"/>
      <c r="E28" s="1348"/>
      <c r="F28" s="1348"/>
      <c r="G28" s="1348"/>
      <c r="H28" s="1348"/>
      <c r="I28" s="1348"/>
      <c r="J28" s="1348"/>
      <c r="K28" s="1348"/>
      <c r="L28" s="1348">
        <v>3</v>
      </c>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1837</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1947</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1838</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1839</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1840</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1841</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1893</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2066</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2017</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2065</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2090</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2018</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37" zoomScale="110" zoomScaleNormal="110" workbookViewId="0">
      <selection activeCell="D47" sqref="D47"/>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Rural Champaign Co SpEd Coop</v>
      </c>
      <c r="C1" s="2478"/>
      <c r="D1" s="2478"/>
      <c r="E1" s="2478"/>
      <c r="F1" s="2478"/>
      <c r="G1" s="2478"/>
      <c r="H1" s="2478"/>
      <c r="I1" s="2478"/>
      <c r="J1" s="1422"/>
    </row>
    <row r="2" spans="2:10" s="317" customFormat="1" ht="12.75" customHeight="1" x14ac:dyDescent="0.2">
      <c r="B2" s="2479">
        <f>'Single Audit Cover'!E7</f>
        <v>9010801060</v>
      </c>
      <c r="C2" s="2480"/>
      <c r="D2" s="2480"/>
      <c r="E2" s="2480"/>
      <c r="F2" s="2480"/>
      <c r="G2" s="2480"/>
      <c r="H2" s="2480"/>
      <c r="I2" s="2480"/>
      <c r="J2" s="1422"/>
    </row>
    <row r="3" spans="2:10" s="317" customFormat="1" ht="12.75" customHeight="1" x14ac:dyDescent="0.2">
      <c r="B3" s="2481" t="s">
        <v>1347</v>
      </c>
      <c r="C3" s="2482"/>
      <c r="D3" s="2482"/>
      <c r="E3" s="2482"/>
      <c r="F3" s="2482"/>
      <c r="G3" s="2482"/>
      <c r="H3" s="2482"/>
      <c r="I3" s="2482"/>
      <c r="J3" s="1423"/>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1" t="s">
        <v>1346</v>
      </c>
      <c r="C7" s="2482"/>
      <c r="D7" s="2482"/>
      <c r="E7" s="2482"/>
      <c r="F7" s="2482"/>
      <c r="G7" s="2482"/>
      <c r="H7" s="2482"/>
      <c r="I7" s="248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3" t="s">
        <v>2124</v>
      </c>
      <c r="D11" s="248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2125</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2092</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2092</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2092</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2092</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4" t="s">
        <v>2126</v>
      </c>
      <c r="E29" s="2484"/>
      <c r="F29" s="2484"/>
      <c r="G29" s="2484"/>
      <c r="H29" s="2484"/>
      <c r="I29" s="2484"/>
    </row>
    <row r="30" spans="2:9" s="317" customFormat="1" x14ac:dyDescent="0.2">
      <c r="B30" s="1368"/>
      <c r="C30" s="322"/>
      <c r="D30" s="1433" t="s">
        <v>1848</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2092</v>
      </c>
      <c r="H33" s="1300" t="s">
        <v>101</v>
      </c>
    </row>
    <row r="35" spans="2:9" x14ac:dyDescent="0.2">
      <c r="B35" s="1441" t="s">
        <v>1849</v>
      </c>
      <c r="C35" s="1442"/>
      <c r="D35" s="1267"/>
    </row>
    <row r="36" spans="2:9" ht="6" customHeight="1" x14ac:dyDescent="0.2">
      <c r="B36" s="1441"/>
      <c r="C36" s="1442"/>
      <c r="D36" s="1267"/>
    </row>
    <row r="37" spans="2:9" ht="17.25" customHeight="1" x14ac:dyDescent="0.2">
      <c r="B37" s="1443" t="s">
        <v>1850</v>
      </c>
      <c r="C37" s="2485" t="s">
        <v>1851</v>
      </c>
      <c r="D37" s="2486"/>
      <c r="E37" s="2486"/>
      <c r="F37" s="2487"/>
      <c r="G37" s="2485" t="s">
        <v>1674</v>
      </c>
      <c r="H37" s="2486"/>
      <c r="I37" s="2487"/>
    </row>
    <row r="38" spans="2:9" ht="16.5" customHeight="1" x14ac:dyDescent="0.2">
      <c r="B38" s="1444" t="s">
        <v>2112</v>
      </c>
      <c r="C38" s="2473" t="s">
        <v>2127</v>
      </c>
      <c r="D38" s="2474"/>
      <c r="E38" s="2474"/>
      <c r="F38" s="2475"/>
      <c r="G38" s="2488">
        <v>954664</v>
      </c>
      <c r="H38" s="2489"/>
      <c r="I38" s="2490"/>
    </row>
    <row r="39" spans="2:9" ht="16.5" customHeight="1" x14ac:dyDescent="0.2">
      <c r="B39" s="1444"/>
      <c r="C39" s="2473"/>
      <c r="D39" s="2474"/>
      <c r="E39" s="2474"/>
      <c r="F39" s="2475"/>
      <c r="G39" s="2476"/>
      <c r="H39" s="2476"/>
      <c r="I39" s="2476"/>
    </row>
    <row r="40" spans="2:9" ht="16.5" customHeight="1" x14ac:dyDescent="0.2">
      <c r="B40" s="1444"/>
      <c r="C40" s="2473"/>
      <c r="D40" s="2474"/>
      <c r="E40" s="2474"/>
      <c r="F40" s="2475"/>
      <c r="G40" s="2476"/>
      <c r="H40" s="2476"/>
      <c r="I40" s="2476"/>
    </row>
    <row r="41" spans="2:9" ht="16.5" customHeight="1" x14ac:dyDescent="0.2">
      <c r="B41" s="1444"/>
      <c r="C41" s="2473"/>
      <c r="D41" s="2474"/>
      <c r="E41" s="2474"/>
      <c r="F41" s="2475"/>
      <c r="G41" s="2476"/>
      <c r="H41" s="2476"/>
      <c r="I41" s="2476"/>
    </row>
    <row r="42" spans="2:9" ht="16.5" customHeight="1" x14ac:dyDescent="0.2">
      <c r="B42" s="1444"/>
      <c r="C42" s="2473"/>
      <c r="D42" s="2474"/>
      <c r="E42" s="2474"/>
      <c r="F42" s="2475"/>
      <c r="G42" s="2476"/>
      <c r="H42" s="2476"/>
      <c r="I42" s="2476"/>
    </row>
    <row r="43" spans="2:9" ht="16.5" customHeight="1" x14ac:dyDescent="0.2">
      <c r="B43" s="1444"/>
      <c r="C43" s="2466" t="s">
        <v>1675</v>
      </c>
      <c r="D43" s="2467"/>
      <c r="E43" s="2467"/>
      <c r="F43" s="2468"/>
      <c r="G43" s="2469">
        <f>SUM(G38:I42)</f>
        <v>954664</v>
      </c>
      <c r="H43" s="2469"/>
      <c r="I43" s="2469"/>
    </row>
    <row r="44" spans="2:9" ht="12.75" customHeight="1" x14ac:dyDescent="0.2"/>
    <row r="45" spans="2:9" ht="12.75" customHeight="1" x14ac:dyDescent="0.2">
      <c r="B45" s="1435" t="s">
        <v>1948</v>
      </c>
      <c r="D45" s="2470">
        <v>1155533</v>
      </c>
      <c r="E45" s="2471"/>
    </row>
    <row r="46" spans="2:9" ht="5.25" customHeight="1" x14ac:dyDescent="0.2">
      <c r="B46" s="1445"/>
      <c r="D46" s="1446"/>
      <c r="E46" s="1447"/>
    </row>
    <row r="47" spans="2:9" ht="12.75" customHeight="1" x14ac:dyDescent="0.2">
      <c r="B47" s="1300" t="s">
        <v>1676</v>
      </c>
      <c r="C47" s="1300"/>
      <c r="D47" s="1448">
        <f>+G43/D45</f>
        <v>0.82616766461883828</v>
      </c>
      <c r="E47" s="1449"/>
      <c r="F47" s="1450"/>
      <c r="I47" s="1451"/>
    </row>
    <row r="48" spans="2:9" ht="9.9499999999999993" customHeight="1" x14ac:dyDescent="0.2"/>
    <row r="49" spans="1:9" x14ac:dyDescent="0.2">
      <c r="B49" s="1368" t="s">
        <v>1335</v>
      </c>
      <c r="C49" s="1282"/>
      <c r="D49" s="1282"/>
      <c r="E49" s="2472">
        <v>750000</v>
      </c>
      <c r="F49" s="2472"/>
      <c r="G49" s="2472"/>
      <c r="H49" s="322"/>
    </row>
    <row r="51" spans="1:9" ht="13.5" customHeight="1" x14ac:dyDescent="0.2">
      <c r="B51" s="1368" t="s">
        <v>1334</v>
      </c>
      <c r="C51" s="1282"/>
      <c r="E51" s="1438"/>
      <c r="F51" s="1300" t="s">
        <v>940</v>
      </c>
      <c r="G51" s="1438" t="s">
        <v>2092</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1852</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1853</v>
      </c>
      <c r="C58" s="1464"/>
      <c r="D58" s="1464"/>
    </row>
    <row r="59" spans="1:9" s="1461" customFormat="1" ht="3.95" customHeight="1" x14ac:dyDescent="0.2">
      <c r="A59" s="1458"/>
      <c r="B59" s="1463"/>
      <c r="C59" s="1464"/>
      <c r="D59" s="1464"/>
    </row>
    <row r="60" spans="1:9" s="1461" customFormat="1" ht="13.5" customHeight="1" x14ac:dyDescent="0.2">
      <c r="A60" s="1458"/>
      <c r="B60" s="1463" t="s">
        <v>1854</v>
      </c>
      <c r="C60" s="1464"/>
      <c r="D60" s="1464"/>
    </row>
    <row r="61" spans="1:9" s="1461" customFormat="1" ht="3.95" customHeight="1" x14ac:dyDescent="0.2">
      <c r="A61" s="1458"/>
      <c r="B61" s="1463"/>
      <c r="C61" s="1464"/>
      <c r="D61" s="1464"/>
    </row>
    <row r="62" spans="1:9" s="1461" customFormat="1" ht="12.75" customHeight="1" x14ac:dyDescent="0.2">
      <c r="A62" s="1458"/>
      <c r="B62" s="1463" t="s">
        <v>1855</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Rural Champaign Co SpEd Coop</v>
      </c>
      <c r="C1" s="2477"/>
      <c r="D1" s="2477"/>
      <c r="E1" s="2477"/>
      <c r="F1" s="2477"/>
      <c r="G1" s="2477"/>
      <c r="H1" s="2477"/>
      <c r="I1" s="2477"/>
      <c r="J1" s="2477"/>
      <c r="K1" s="2477"/>
      <c r="L1" s="1374"/>
      <c r="M1" s="1374"/>
    </row>
    <row r="2" spans="1:13" ht="12" customHeight="1" x14ac:dyDescent="0.2">
      <c r="B2" s="2479">
        <f>'Single Audit Cover'!E7</f>
        <v>9010801060</v>
      </c>
      <c r="C2" s="2479"/>
      <c r="D2" s="2479"/>
      <c r="E2" s="2479"/>
      <c r="F2" s="2479"/>
      <c r="G2" s="2479"/>
      <c r="H2" s="2479"/>
      <c r="I2" s="2479"/>
      <c r="J2" s="2479"/>
      <c r="K2" s="2479"/>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1842</v>
      </c>
      <c r="C10" s="1385" t="s">
        <v>1949</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t="s">
        <v>2102</v>
      </c>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1843</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1844</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1845</v>
      </c>
      <c r="C35" s="1419"/>
      <c r="D35" s="322"/>
      <c r="E35" s="322"/>
      <c r="F35" s="322"/>
      <c r="L35" s="1381"/>
    </row>
    <row r="36" spans="1:13" ht="9.6" customHeight="1" x14ac:dyDescent="0.2">
      <c r="B36" s="1300" t="s">
        <v>1950</v>
      </c>
      <c r="C36" s="1300"/>
      <c r="L36" s="1381"/>
    </row>
    <row r="37" spans="1:13" ht="9.6" customHeight="1" x14ac:dyDescent="0.2">
      <c r="B37" s="1300" t="s">
        <v>1951</v>
      </c>
      <c r="C37" s="1300"/>
    </row>
    <row r="38" spans="1:13" ht="11.85" customHeight="1" x14ac:dyDescent="0.2">
      <c r="B38" s="1420" t="s">
        <v>1846</v>
      </c>
      <c r="C38" s="1420"/>
    </row>
    <row r="39" spans="1:13" ht="9.6" customHeight="1" x14ac:dyDescent="0.2">
      <c r="B39" s="1300" t="s">
        <v>1348</v>
      </c>
      <c r="C39" s="1300"/>
      <c r="M39" s="1421"/>
    </row>
    <row r="40" spans="1:13" ht="12.6" customHeight="1" x14ac:dyDescent="0.2">
      <c r="B40" s="1420" t="s">
        <v>1847</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Rural Champaign Co SpEd Coop</v>
      </c>
      <c r="C1" s="2500"/>
      <c r="D1" s="2500"/>
      <c r="E1" s="2500"/>
      <c r="F1" s="2500"/>
      <c r="G1" s="2500"/>
      <c r="H1" s="2500"/>
      <c r="I1" s="2500"/>
      <c r="J1" s="2500"/>
      <c r="K1" s="2500"/>
      <c r="L1" s="1465"/>
    </row>
    <row r="2" spans="1:12" ht="12.75" customHeight="1" x14ac:dyDescent="0.2">
      <c r="B2" s="2501">
        <f>'Single Audit Cover'!E7</f>
        <v>9010801060</v>
      </c>
      <c r="C2" s="2501"/>
      <c r="D2" s="2501"/>
      <c r="E2" s="2501"/>
      <c r="F2" s="2501"/>
      <c r="G2" s="2501"/>
      <c r="H2" s="2501"/>
      <c r="I2" s="2501"/>
      <c r="J2" s="2501"/>
      <c r="K2" s="2501"/>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1856</v>
      </c>
      <c r="C8" s="1467" t="s">
        <v>1949</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4"/>
      <c r="G12" s="2484"/>
      <c r="H12" s="2484"/>
      <c r="I12" s="2484"/>
      <c r="J12" s="2484"/>
      <c r="K12" s="248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t="s">
        <v>2102</v>
      </c>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1857</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1858</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1859</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1860</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1861</v>
      </c>
      <c r="C48" s="1419"/>
      <c r="D48" s="322"/>
      <c r="E48" s="322"/>
      <c r="F48" s="322"/>
    </row>
    <row r="49" spans="2:3" s="317" customFormat="1" ht="10.5" customHeight="1" x14ac:dyDescent="0.2">
      <c r="B49" s="1420" t="s">
        <v>1862</v>
      </c>
      <c r="C49" s="1420"/>
    </row>
    <row r="50" spans="2:3" s="317" customFormat="1" ht="11.1" customHeight="1" x14ac:dyDescent="0.2">
      <c r="B50" s="1420" t="s">
        <v>1863</v>
      </c>
      <c r="C50" s="1420"/>
    </row>
    <row r="51" spans="2:3" s="317" customFormat="1" ht="11.1" customHeight="1" x14ac:dyDescent="0.2">
      <c r="B51" s="1420" t="s">
        <v>1864</v>
      </c>
      <c r="C51" s="1420"/>
    </row>
    <row r="52" spans="2:3" s="317" customFormat="1" ht="11.1" customHeight="1" x14ac:dyDescent="0.2">
      <c r="B52" s="1420" t="s">
        <v>1865</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9" sqref="B9"/>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7" t="str">
        <f>'Single Audit Cover'!A7</f>
        <v>Rural Champaign Co SpEd Coop</v>
      </c>
      <c r="C1" s="2477"/>
      <c r="D1" s="2477"/>
      <c r="E1" s="1491"/>
    </row>
    <row r="2" spans="2:5" s="1282" customFormat="1" ht="12.75" customHeight="1" x14ac:dyDescent="0.2">
      <c r="B2" s="2479">
        <f>'Single Audit Cover'!E7</f>
        <v>9010801060</v>
      </c>
      <c r="C2" s="2479"/>
      <c r="D2" s="2479"/>
      <c r="E2" s="1492"/>
    </row>
    <row r="3" spans="2:5" ht="12.75" customHeight="1" x14ac:dyDescent="0.2">
      <c r="B3" s="2493" t="s">
        <v>1866</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1867</v>
      </c>
      <c r="C5" s="328"/>
      <c r="D5" s="328"/>
      <c r="E5" s="328"/>
    </row>
    <row r="6" spans="2:5" s="1282" customFormat="1" ht="13.5" customHeight="1" x14ac:dyDescent="0.2">
      <c r="B6" s="1495" t="s">
        <v>1382</v>
      </c>
      <c r="C6" s="1495" t="s">
        <v>1381</v>
      </c>
      <c r="D6" s="1495" t="s">
        <v>1868</v>
      </c>
    </row>
    <row r="7" spans="2:5" ht="13.5" customHeight="1" x14ac:dyDescent="0.2">
      <c r="B7" s="1496"/>
      <c r="C7" s="324"/>
      <c r="D7" s="324"/>
      <c r="E7" s="324"/>
    </row>
    <row r="8" spans="2:5" ht="13.5" customHeight="1" x14ac:dyDescent="0.2">
      <c r="B8" s="1496" t="s">
        <v>2102</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1869</v>
      </c>
    </row>
    <row r="46" spans="2:5" ht="12.2" customHeight="1" x14ac:dyDescent="0.2">
      <c r="B46" s="1505" t="s">
        <v>1870</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3274339</v>
      </c>
      <c r="E16" s="356"/>
      <c r="F16" s="1755">
        <f>SUM('Acct Summary 7-8'!C17,'Acct Summary 7-8'!D17,'Acct Summary 7-8'!F17)</f>
        <v>3193118</v>
      </c>
      <c r="G16" s="356"/>
      <c r="H16" s="1755">
        <f>SUM(D16-F16)</f>
        <v>81221</v>
      </c>
      <c r="I16" s="222"/>
      <c r="J16" s="1755">
        <f>SUM('Acct Summary 7-8'!C81,'Acct Summary 7-8'!D81,'Acct Summary 7-8'!F81,'Acct Summary 7-8'!I81)</f>
        <v>1343988</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Rural Champaign Co SpEd Coop</v>
      </c>
      <c r="E7" s="391"/>
      <c r="G7" s="252"/>
      <c r="H7" s="387"/>
      <c r="I7" s="387"/>
      <c r="J7" s="387"/>
      <c r="K7" s="387"/>
      <c r="L7" s="329"/>
      <c r="M7" s="329"/>
      <c r="N7" s="329"/>
      <c r="O7" s="329"/>
      <c r="P7" s="329"/>
    </row>
    <row r="8" spans="1:18" ht="12.75" x14ac:dyDescent="0.2">
      <c r="A8" s="329"/>
      <c r="B8" s="329"/>
      <c r="C8" s="389" t="s">
        <v>1187</v>
      </c>
      <c r="D8" s="392">
        <f>COVER!A13</f>
        <v>9010801060</v>
      </c>
      <c r="E8" s="393"/>
      <c r="G8" s="329"/>
      <c r="H8" s="329"/>
      <c r="I8" s="329"/>
      <c r="J8" s="329"/>
      <c r="K8" s="329"/>
      <c r="L8" s="329"/>
      <c r="M8" s="329"/>
      <c r="N8" s="329"/>
      <c r="O8" s="329"/>
      <c r="P8" s="329"/>
    </row>
    <row r="9" spans="1:18" ht="12.75" x14ac:dyDescent="0.2">
      <c r="A9" s="329"/>
      <c r="B9" s="329"/>
      <c r="C9" s="389" t="s">
        <v>737</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1343988</v>
      </c>
      <c r="I12" s="404"/>
      <c r="J12" s="404"/>
      <c r="K12" s="405">
        <f>TRUNC((H12/H13*100000),5)/100000</f>
        <v>0.41046085939999999</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3274339</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3193118</v>
      </c>
      <c r="I17" s="404"/>
      <c r="J17" s="416"/>
      <c r="K17" s="405">
        <f>TRUNC((H17/H18*100000),5)/100000</f>
        <v>0.9751946881000001</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3274339</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1343988</v>
      </c>
      <c r="I24" s="422"/>
      <c r="J24" s="422"/>
      <c r="K24" s="423">
        <f>TRUNC(((H24/H25*100000)/100000),2)</f>
        <v>151.52000000000001</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8869.7722200000007</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2067</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3" activePane="bottomLeft" state="frozen"/>
      <selection pane="bottomLeft"/>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443988</v>
      </c>
      <c r="D4" s="466"/>
      <c r="E4" s="466"/>
      <c r="F4" s="466"/>
      <c r="G4" s="466"/>
      <c r="H4" s="466"/>
      <c r="I4" s="466"/>
      <c r="J4" s="467"/>
      <c r="K4" s="466"/>
      <c r="L4" s="466"/>
      <c r="M4" s="468"/>
      <c r="N4" s="469"/>
    </row>
    <row r="5" spans="1:14" x14ac:dyDescent="0.2">
      <c r="A5" s="463" t="s">
        <v>1049</v>
      </c>
      <c r="B5" s="470">
        <v>120</v>
      </c>
      <c r="C5" s="465">
        <v>900000</v>
      </c>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1343988</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v>591886</v>
      </c>
      <c r="N17" s="484"/>
    </row>
    <row r="18" spans="1:14" s="485" customFormat="1" ht="12.75" customHeight="1" x14ac:dyDescent="0.2">
      <c r="A18" s="482" t="s">
        <v>1471</v>
      </c>
      <c r="B18" s="483">
        <v>240</v>
      </c>
      <c r="C18" s="477"/>
      <c r="D18" s="477"/>
      <c r="E18" s="477"/>
      <c r="F18" s="477"/>
      <c r="G18" s="477"/>
      <c r="H18" s="477"/>
      <c r="I18" s="477"/>
      <c r="J18" s="477"/>
      <c r="K18" s="477"/>
      <c r="L18" s="477"/>
      <c r="M18" s="467">
        <v>42863</v>
      </c>
      <c r="N18" s="484"/>
    </row>
    <row r="19" spans="1:14" s="485" customFormat="1" ht="12.75" customHeight="1" x14ac:dyDescent="0.2">
      <c r="A19" s="482" t="s">
        <v>1472</v>
      </c>
      <c r="B19" s="483">
        <v>250</v>
      </c>
      <c r="C19" s="477"/>
      <c r="D19" s="477"/>
      <c r="E19" s="477"/>
      <c r="F19" s="477"/>
      <c r="G19" s="477"/>
      <c r="H19" s="477"/>
      <c r="I19" s="477"/>
      <c r="J19" s="477"/>
      <c r="K19" s="477"/>
      <c r="L19" s="477"/>
      <c r="M19" s="467">
        <v>1150014</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1784763</v>
      </c>
      <c r="N23" s="1710">
        <f>SUM(N21:N22)</f>
        <v>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1343988</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1784763</v>
      </c>
      <c r="N40" s="497"/>
    </row>
    <row r="41" spans="1:14" ht="13.5" customHeight="1" thickBot="1" x14ac:dyDescent="0.25">
      <c r="A41" s="1758" t="s">
        <v>676</v>
      </c>
      <c r="B41" s="1728"/>
      <c r="C41" s="1710">
        <f>(SUM(C34,C37,C38,C39))</f>
        <v>1343988</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1784763</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7" activePane="bottomLeft" state="frozenSplit"/>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4" t="s">
        <v>1579</v>
      </c>
      <c r="B4" s="1955">
        <v>1000</v>
      </c>
      <c r="C4" s="1764">
        <f>'Revenues 9-14'!C109</f>
        <v>645743</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1271797</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1356799</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3274339</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855399</v>
      </c>
      <c r="D9" s="516"/>
      <c r="E9" s="481"/>
      <c r="F9" s="481"/>
      <c r="G9" s="517"/>
      <c r="H9" s="481"/>
      <c r="I9" s="509" t="s">
        <v>1231</v>
      </c>
      <c r="J9" s="478"/>
      <c r="K9" s="481"/>
      <c r="L9" s="347"/>
    </row>
    <row r="10" spans="1:13" s="519" customFormat="1" ht="13.5" thickBot="1" x14ac:dyDescent="0.25">
      <c r="A10" s="1758" t="s">
        <v>1235</v>
      </c>
      <c r="B10" s="1731"/>
      <c r="C10" s="1710">
        <f>SUM(C8:C9)</f>
        <v>4129738</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986134</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2142301</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45424</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19259</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3193118</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855399</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4048517</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3" t="s">
        <v>1754</v>
      </c>
      <c r="B20" s="2144"/>
      <c r="C20" s="1768">
        <f>C8-C17</f>
        <v>81221</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1894</v>
      </c>
      <c r="B30" s="527">
        <v>7160</v>
      </c>
      <c r="C30" s="477"/>
      <c r="D30" s="467"/>
      <c r="E30" s="477"/>
      <c r="F30" s="477"/>
      <c r="G30" s="477"/>
      <c r="H30" s="477"/>
      <c r="I30" s="477"/>
      <c r="J30" s="477"/>
      <c r="K30" s="477"/>
      <c r="L30" s="524"/>
    </row>
    <row r="31" spans="1:12" s="485" customFormat="1" ht="26.25" x14ac:dyDescent="0.2">
      <c r="A31" s="1511" t="s">
        <v>1898</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1897</v>
      </c>
      <c r="B52" s="483">
        <v>8160</v>
      </c>
      <c r="C52" s="477"/>
      <c r="D52" s="477"/>
      <c r="E52" s="477"/>
      <c r="F52" s="477"/>
      <c r="G52" s="477"/>
      <c r="H52" s="477"/>
      <c r="I52" s="477"/>
      <c r="J52" s="477"/>
      <c r="K52" s="1765">
        <f>D30</f>
        <v>0</v>
      </c>
      <c r="L52" s="524"/>
    </row>
    <row r="53" spans="1:12" s="485" customFormat="1" ht="26.25" x14ac:dyDescent="0.2">
      <c r="A53" s="1512" t="s">
        <v>1896</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5" t="s">
        <v>1239</v>
      </c>
      <c r="B77" s="2136"/>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9" t="s">
        <v>618</v>
      </c>
      <c r="B78" s="2140"/>
      <c r="C78" s="1724">
        <f t="shared" ref="C78:K78" si="9">C20+C77</f>
        <v>81221</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2068</v>
      </c>
      <c r="B79" s="534"/>
      <c r="C79" s="478">
        <v>1262767</v>
      </c>
      <c r="D79" s="535"/>
      <c r="E79" s="535"/>
      <c r="F79" s="535"/>
      <c r="G79" s="535"/>
      <c r="H79" s="535"/>
      <c r="I79" s="535"/>
      <c r="J79" s="535"/>
      <c r="K79" s="535"/>
      <c r="L79" s="347"/>
    </row>
    <row r="80" spans="1:12" x14ac:dyDescent="0.2">
      <c r="A80" s="2145" t="s">
        <v>1895</v>
      </c>
      <c r="B80" s="2146"/>
      <c r="C80" s="467"/>
      <c r="D80" s="467"/>
      <c r="E80" s="467"/>
      <c r="F80" s="467"/>
      <c r="G80" s="467"/>
      <c r="H80" s="467"/>
      <c r="I80" s="467"/>
      <c r="J80" s="467"/>
      <c r="K80" s="467"/>
      <c r="L80" s="347"/>
    </row>
    <row r="81" spans="1:12" ht="13.5" thickBot="1" x14ac:dyDescent="0.25">
      <c r="A81" s="2137" t="s">
        <v>2069</v>
      </c>
      <c r="B81" s="2138"/>
      <c r="C81" s="1710">
        <f>(SUM(C78:C80))</f>
        <v>1343988</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81221</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6.0432831245517071E-2</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1902</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623948</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623948</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4414</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4414</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3598</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13783</v>
      </c>
      <c r="D107" s="466"/>
      <c r="E107" s="466"/>
      <c r="F107" s="466"/>
      <c r="G107" s="466"/>
      <c r="H107" s="466"/>
      <c r="I107" s="466"/>
      <c r="J107" s="467"/>
      <c r="K107" s="466"/>
    </row>
    <row r="108" spans="1:12" ht="12.75" customHeight="1" thickBot="1" x14ac:dyDescent="0.25">
      <c r="A108" s="1730" t="s">
        <v>508</v>
      </c>
      <c r="B108" s="1734"/>
      <c r="C108" s="1729">
        <f>SUM(C95:C107)</f>
        <v>17381</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645743</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150524</v>
      </c>
      <c r="D117" s="481"/>
      <c r="E117" s="466"/>
      <c r="F117" s="481"/>
      <c r="G117" s="481"/>
      <c r="H117" s="466"/>
      <c r="I117" s="468"/>
      <c r="J117" s="467"/>
      <c r="K117" s="466"/>
    </row>
    <row r="118" spans="1:11" ht="12.75" customHeight="1" x14ac:dyDescent="0.2">
      <c r="A118" s="463" t="s">
        <v>1899</v>
      </c>
      <c r="B118" s="562">
        <v>3002</v>
      </c>
      <c r="C118" s="551"/>
      <c r="D118" s="466"/>
      <c r="E118" s="466"/>
      <c r="F118" s="466"/>
      <c r="G118" s="466"/>
      <c r="H118" s="466"/>
      <c r="I118" s="468"/>
      <c r="J118" s="467"/>
      <c r="K118" s="466"/>
    </row>
    <row r="119" spans="1:11" ht="12.75" customHeight="1" x14ac:dyDescent="0.2">
      <c r="A119" s="463" t="s">
        <v>1900</v>
      </c>
      <c r="B119" s="562">
        <v>3005</v>
      </c>
      <c r="C119" s="551"/>
      <c r="D119" s="466"/>
      <c r="E119" s="466"/>
      <c r="F119" s="466"/>
      <c r="G119" s="466"/>
      <c r="H119" s="466"/>
      <c r="I119" s="468"/>
      <c r="J119" s="467"/>
      <c r="K119" s="466"/>
    </row>
    <row r="120" spans="1:11" x14ac:dyDescent="0.2">
      <c r="A120" s="1518" t="s">
        <v>1901</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150524</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v>76184</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76184</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1045089</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1121273</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1271797</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1903</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19336</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v>1131051</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1150387</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15495</v>
      </c>
      <c r="D270" s="576"/>
      <c r="E270" s="468"/>
      <c r="F270" s="576"/>
      <c r="G270" s="576"/>
      <c r="H270" s="468"/>
      <c r="I270" s="468"/>
      <c r="J270" s="468"/>
      <c r="K270" s="468"/>
    </row>
    <row r="271" spans="1:11" ht="12.75" customHeight="1" thickTop="1" thickBot="1" x14ac:dyDescent="0.25">
      <c r="A271" s="463" t="s">
        <v>395</v>
      </c>
      <c r="B271" s="470">
        <v>4992</v>
      </c>
      <c r="C271" s="575">
        <v>80310</v>
      </c>
      <c r="D271" s="576"/>
      <c r="E271" s="468"/>
      <c r="F271" s="576"/>
      <c r="G271" s="576"/>
      <c r="H271" s="468"/>
      <c r="I271" s="468"/>
      <c r="J271" s="468"/>
      <c r="K271" s="468"/>
    </row>
    <row r="272" spans="1:11" s="594" customFormat="1" ht="12.75" customHeight="1" thickTop="1" thickBot="1" x14ac:dyDescent="0.25">
      <c r="A272" s="563" t="s">
        <v>77</v>
      </c>
      <c r="B272" s="557">
        <v>4999</v>
      </c>
      <c r="C272" s="575">
        <v>110607</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1356799</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1356799</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3274339</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96" activePane="bottomLeft" state="frozen"/>
      <selection pane="bottomLeft"/>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1902</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576968</v>
      </c>
      <c r="D5" s="466">
        <v>207263</v>
      </c>
      <c r="E5" s="466">
        <v>37978</v>
      </c>
      <c r="F5" s="466">
        <v>127209</v>
      </c>
      <c r="G5" s="466">
        <v>36716</v>
      </c>
      <c r="H5" s="466"/>
      <c r="I5" s="467"/>
      <c r="J5" s="467"/>
      <c r="K5" s="1693">
        <f>SUM(C5:J5)</f>
        <v>986134</v>
      </c>
      <c r="L5" s="466">
        <v>1309281</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v>5102</v>
      </c>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576968</v>
      </c>
      <c r="D33" s="1692">
        <f t="shared" ref="D33:L33" si="1">SUM(D5:D32)</f>
        <v>207263</v>
      </c>
      <c r="E33" s="1692">
        <f t="shared" si="1"/>
        <v>37978</v>
      </c>
      <c r="F33" s="1692">
        <f t="shared" si="1"/>
        <v>127209</v>
      </c>
      <c r="G33" s="1692">
        <f t="shared" si="1"/>
        <v>36716</v>
      </c>
      <c r="H33" s="1692">
        <f t="shared" si="1"/>
        <v>0</v>
      </c>
      <c r="I33" s="1692">
        <f t="shared" si="1"/>
        <v>0</v>
      </c>
      <c r="J33" s="1692">
        <f t="shared" si="1"/>
        <v>0</v>
      </c>
      <c r="K33" s="1692">
        <f t="shared" si="1"/>
        <v>986134</v>
      </c>
      <c r="L33" s="1692">
        <f t="shared" si="1"/>
        <v>1314383</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386148</v>
      </c>
      <c r="D36" s="481">
        <v>101518</v>
      </c>
      <c r="E36" s="481">
        <v>6720</v>
      </c>
      <c r="F36" s="481">
        <v>4020</v>
      </c>
      <c r="G36" s="481"/>
      <c r="H36" s="481"/>
      <c r="I36" s="467"/>
      <c r="J36" s="467"/>
      <c r="K36" s="1693">
        <f t="shared" ref="K36:K41" si="2">SUM(C36:J36)</f>
        <v>498406</v>
      </c>
      <c r="L36" s="466">
        <v>506607</v>
      </c>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v>213482</v>
      </c>
      <c r="D38" s="466">
        <v>76341</v>
      </c>
      <c r="E38" s="466">
        <v>8518</v>
      </c>
      <c r="F38" s="466">
        <v>1391</v>
      </c>
      <c r="G38" s="466"/>
      <c r="H38" s="466"/>
      <c r="I38" s="467"/>
      <c r="J38" s="467"/>
      <c r="K38" s="1693">
        <f t="shared" si="2"/>
        <v>299732</v>
      </c>
      <c r="L38" s="466">
        <v>332372</v>
      </c>
    </row>
    <row r="39" spans="1:14" x14ac:dyDescent="0.2">
      <c r="A39" s="1526" t="s">
        <v>208</v>
      </c>
      <c r="B39" s="615">
        <v>2140</v>
      </c>
      <c r="C39" s="466">
        <v>237680</v>
      </c>
      <c r="D39" s="466">
        <v>62806</v>
      </c>
      <c r="E39" s="466">
        <v>3849</v>
      </c>
      <c r="F39" s="466">
        <v>1291</v>
      </c>
      <c r="G39" s="466"/>
      <c r="H39" s="466"/>
      <c r="I39" s="467"/>
      <c r="J39" s="467"/>
      <c r="K39" s="1693">
        <f t="shared" si="2"/>
        <v>305626</v>
      </c>
      <c r="L39" s="466">
        <v>318835</v>
      </c>
    </row>
    <row r="40" spans="1:14" x14ac:dyDescent="0.2">
      <c r="A40" s="1526" t="s">
        <v>209</v>
      </c>
      <c r="B40" s="615">
        <v>2150</v>
      </c>
      <c r="C40" s="466"/>
      <c r="D40" s="466"/>
      <c r="E40" s="466">
        <v>12987</v>
      </c>
      <c r="F40" s="466"/>
      <c r="G40" s="466"/>
      <c r="H40" s="466"/>
      <c r="I40" s="467"/>
      <c r="J40" s="467"/>
      <c r="K40" s="1693">
        <f t="shared" si="2"/>
        <v>12987</v>
      </c>
      <c r="L40" s="466">
        <v>25000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837310</v>
      </c>
      <c r="D42" s="1692">
        <f t="shared" ref="D42:L42" si="3">SUM(D36:D41)</f>
        <v>240665</v>
      </c>
      <c r="E42" s="1692">
        <f t="shared" si="3"/>
        <v>32074</v>
      </c>
      <c r="F42" s="1692">
        <f t="shared" si="3"/>
        <v>6702</v>
      </c>
      <c r="G42" s="1692">
        <f t="shared" si="3"/>
        <v>0</v>
      </c>
      <c r="H42" s="1692">
        <f t="shared" si="3"/>
        <v>0</v>
      </c>
      <c r="I42" s="1692">
        <f t="shared" si="3"/>
        <v>0</v>
      </c>
      <c r="J42" s="1692">
        <f t="shared" si="3"/>
        <v>0</v>
      </c>
      <c r="K42" s="1692">
        <f t="shared" si="3"/>
        <v>1116751</v>
      </c>
      <c r="L42" s="1692">
        <f t="shared" si="3"/>
        <v>1182814</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80</v>
      </c>
      <c r="D44" s="481"/>
      <c r="E44" s="481">
        <v>57771</v>
      </c>
      <c r="F44" s="481">
        <v>15835</v>
      </c>
      <c r="G44" s="481">
        <v>2608</v>
      </c>
      <c r="H44" s="481"/>
      <c r="I44" s="467"/>
      <c r="J44" s="467"/>
      <c r="K44" s="1694">
        <f>SUM(C44:J44)</f>
        <v>76294</v>
      </c>
      <c r="L44" s="481">
        <v>84675</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80</v>
      </c>
      <c r="D47" s="1692">
        <f t="shared" ref="D47:K47" si="4">SUM(D44:D46)</f>
        <v>0</v>
      </c>
      <c r="E47" s="1692">
        <f t="shared" si="4"/>
        <v>57771</v>
      </c>
      <c r="F47" s="1692">
        <f t="shared" si="4"/>
        <v>15835</v>
      </c>
      <c r="G47" s="1692">
        <f t="shared" si="4"/>
        <v>2608</v>
      </c>
      <c r="H47" s="1692">
        <f t="shared" si="4"/>
        <v>0</v>
      </c>
      <c r="I47" s="1692">
        <f t="shared" si="4"/>
        <v>0</v>
      </c>
      <c r="J47" s="1692">
        <f t="shared" si="4"/>
        <v>0</v>
      </c>
      <c r="K47" s="1692">
        <f t="shared" si="4"/>
        <v>76294</v>
      </c>
      <c r="L47" s="1692">
        <f>SUM(L44:L46)</f>
        <v>84675</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v>422912</v>
      </c>
      <c r="D50" s="466">
        <v>108380</v>
      </c>
      <c r="E50" s="466">
        <v>79264</v>
      </c>
      <c r="F50" s="466">
        <v>38371</v>
      </c>
      <c r="G50" s="466">
        <v>9767</v>
      </c>
      <c r="H50" s="466">
        <v>832</v>
      </c>
      <c r="I50" s="467"/>
      <c r="J50" s="467"/>
      <c r="K50" s="1694">
        <f>SUM(C50:J50)</f>
        <v>659526</v>
      </c>
      <c r="L50" s="466">
        <v>825835</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422912</v>
      </c>
      <c r="D53" s="1692">
        <f t="shared" ref="D53:L53" si="5">SUM(D49:D52)</f>
        <v>108380</v>
      </c>
      <c r="E53" s="1692">
        <f t="shared" si="5"/>
        <v>79264</v>
      </c>
      <c r="F53" s="1692">
        <f t="shared" si="5"/>
        <v>38371</v>
      </c>
      <c r="G53" s="1692">
        <f t="shared" si="5"/>
        <v>9767</v>
      </c>
      <c r="H53" s="1692">
        <f t="shared" si="5"/>
        <v>832</v>
      </c>
      <c r="I53" s="1692">
        <f t="shared" si="5"/>
        <v>0</v>
      </c>
      <c r="J53" s="1692">
        <f t="shared" si="5"/>
        <v>0</v>
      </c>
      <c r="K53" s="1692">
        <f t="shared" si="5"/>
        <v>659526</v>
      </c>
      <c r="L53" s="1692">
        <f t="shared" si="5"/>
        <v>825835</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c r="G55" s="481"/>
      <c r="H55" s="481"/>
      <c r="I55" s="467"/>
      <c r="J55" s="467"/>
      <c r="K55" s="1694">
        <f>SUM(C55:J55)</f>
        <v>0</v>
      </c>
      <c r="L55" s="481"/>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c r="F60" s="466"/>
      <c r="G60" s="466"/>
      <c r="H60" s="466"/>
      <c r="I60" s="467"/>
      <c r="J60" s="467"/>
      <c r="K60" s="1694">
        <f t="shared" si="7"/>
        <v>0</v>
      </c>
      <c r="L60" s="466">
        <v>19000</v>
      </c>
      <c r="M60" s="610"/>
      <c r="N60" s="610"/>
    </row>
    <row r="61" spans="1:14" s="343" customFormat="1" x14ac:dyDescent="0.2">
      <c r="A61" s="1526" t="s">
        <v>206</v>
      </c>
      <c r="B61" s="615">
        <v>2540</v>
      </c>
      <c r="C61" s="466"/>
      <c r="D61" s="466"/>
      <c r="E61" s="466">
        <v>61074</v>
      </c>
      <c r="F61" s="466"/>
      <c r="G61" s="466"/>
      <c r="H61" s="466"/>
      <c r="I61" s="467"/>
      <c r="J61" s="467"/>
      <c r="K61" s="1694">
        <f t="shared" si="7"/>
        <v>61074</v>
      </c>
      <c r="L61" s="466">
        <v>98622</v>
      </c>
      <c r="M61" s="610"/>
      <c r="N61" s="610"/>
    </row>
    <row r="62" spans="1:14" s="343" customFormat="1" x14ac:dyDescent="0.2">
      <c r="A62" s="1526" t="s">
        <v>1010</v>
      </c>
      <c r="B62" s="615">
        <v>2550</v>
      </c>
      <c r="C62" s="466"/>
      <c r="D62" s="466"/>
      <c r="E62" s="466">
        <v>220223</v>
      </c>
      <c r="F62" s="466"/>
      <c r="G62" s="466"/>
      <c r="H62" s="466"/>
      <c r="I62" s="467"/>
      <c r="J62" s="467"/>
      <c r="K62" s="1694">
        <f t="shared" si="7"/>
        <v>220223</v>
      </c>
      <c r="L62" s="466">
        <v>134385</v>
      </c>
      <c r="M62" s="610"/>
      <c r="N62" s="610"/>
    </row>
    <row r="63" spans="1:14" s="610" customFormat="1" x14ac:dyDescent="0.2">
      <c r="A63" s="1526" t="s">
        <v>102</v>
      </c>
      <c r="B63" s="615">
        <v>2560</v>
      </c>
      <c r="C63" s="466"/>
      <c r="D63" s="466"/>
      <c r="E63" s="466"/>
      <c r="F63" s="466">
        <v>8433</v>
      </c>
      <c r="G63" s="466"/>
      <c r="H63" s="466"/>
      <c r="I63" s="467"/>
      <c r="J63" s="467"/>
      <c r="K63" s="1694">
        <f t="shared" si="7"/>
        <v>8433</v>
      </c>
      <c r="L63" s="466">
        <v>11000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0</v>
      </c>
      <c r="D65" s="1692">
        <f t="shared" ref="D65:L65" si="8">SUM(D59:D64)</f>
        <v>0</v>
      </c>
      <c r="E65" s="1692">
        <f t="shared" si="8"/>
        <v>281297</v>
      </c>
      <c r="F65" s="1692">
        <f t="shared" si="8"/>
        <v>8433</v>
      </c>
      <c r="G65" s="1692">
        <f t="shared" si="8"/>
        <v>0</v>
      </c>
      <c r="H65" s="1692">
        <f t="shared" si="8"/>
        <v>0</v>
      </c>
      <c r="I65" s="1692">
        <f t="shared" si="8"/>
        <v>0</v>
      </c>
      <c r="J65" s="1692">
        <f t="shared" si="8"/>
        <v>0</v>
      </c>
      <c r="K65" s="1692">
        <f t="shared" si="8"/>
        <v>289730</v>
      </c>
      <c r="L65" s="1692">
        <f t="shared" si="8"/>
        <v>263007</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1260302</v>
      </c>
      <c r="D74" s="1699">
        <f t="shared" ref="D74:K74" si="10">SUM(D42,D47,D53,D57,D65,D72,D73)</f>
        <v>349045</v>
      </c>
      <c r="E74" s="1699">
        <f t="shared" si="10"/>
        <v>450406</v>
      </c>
      <c r="F74" s="1699">
        <f t="shared" si="10"/>
        <v>69341</v>
      </c>
      <c r="G74" s="1699">
        <f t="shared" si="10"/>
        <v>12375</v>
      </c>
      <c r="H74" s="1699">
        <f t="shared" si="10"/>
        <v>832</v>
      </c>
      <c r="I74" s="1699">
        <f t="shared" si="10"/>
        <v>0</v>
      </c>
      <c r="J74" s="1699">
        <f t="shared" si="10"/>
        <v>0</v>
      </c>
      <c r="K74" s="1699">
        <f t="shared" si="10"/>
        <v>2142301</v>
      </c>
      <c r="L74" s="1699">
        <f>SUM(L42,L47,L53,L57,L65,L72,L73)</f>
        <v>2356331</v>
      </c>
    </row>
    <row r="75" spans="1:14" s="259" customFormat="1" ht="15.75" customHeight="1" thickTop="1" thickBot="1" x14ac:dyDescent="0.25">
      <c r="A75" s="1632" t="s">
        <v>49</v>
      </c>
      <c r="B75" s="1633" t="s">
        <v>596</v>
      </c>
      <c r="C75" s="573">
        <v>22855</v>
      </c>
      <c r="D75" s="573">
        <v>6844</v>
      </c>
      <c r="E75" s="573">
        <v>15463</v>
      </c>
      <c r="F75" s="573">
        <v>262</v>
      </c>
      <c r="G75" s="573"/>
      <c r="H75" s="573"/>
      <c r="I75" s="531"/>
      <c r="J75" s="531"/>
      <c r="K75" s="1692">
        <f>SUM(C75:J75)</f>
        <v>45424</v>
      </c>
      <c r="L75" s="576">
        <v>45750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v>19259</v>
      </c>
      <c r="I79" s="477"/>
      <c r="J79" s="477"/>
      <c r="K79" s="1693">
        <f t="shared" si="11"/>
        <v>19259</v>
      </c>
      <c r="L79" s="466">
        <v>123936</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19259</v>
      </c>
      <c r="I84" s="477"/>
      <c r="J84" s="477"/>
      <c r="K84" s="1692">
        <f>SUM(K78:K83)</f>
        <v>19259</v>
      </c>
      <c r="L84" s="1692">
        <f>SUM(L78:L83)</f>
        <v>123936</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19259</v>
      </c>
      <c r="I102" s="477"/>
      <c r="J102" s="477"/>
      <c r="K102" s="1699">
        <f>SUM(K84,K92,K100,K101)</f>
        <v>19259</v>
      </c>
      <c r="L102" s="1699">
        <f>SUM(L84,L92,L100,L101)</f>
        <v>123936</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10000</v>
      </c>
      <c r="M113" s="614"/>
      <c r="N113" s="614"/>
    </row>
    <row r="114" spans="1:14" ht="12.75" customHeight="1" thickTop="1" thickBot="1" x14ac:dyDescent="0.25">
      <c r="A114" s="1690" t="s">
        <v>50</v>
      </c>
      <c r="B114" s="1704"/>
      <c r="C114" s="1692">
        <f>SUM(C33,C74,C75,C102,C112,C113)</f>
        <v>1860125</v>
      </c>
      <c r="D114" s="1692">
        <f t="shared" ref="D114:K114" si="13">SUM(D33,D74,D75,D102,D112,D113)</f>
        <v>563152</v>
      </c>
      <c r="E114" s="1692">
        <f t="shared" si="13"/>
        <v>503847</v>
      </c>
      <c r="F114" s="1692">
        <f t="shared" si="13"/>
        <v>196812</v>
      </c>
      <c r="G114" s="1692">
        <f t="shared" si="13"/>
        <v>49091</v>
      </c>
      <c r="H114" s="1692">
        <f>SUM(H33,H74,H75,H102,H112,H113)</f>
        <v>20091</v>
      </c>
      <c r="I114" s="1692">
        <f t="shared" si="13"/>
        <v>0</v>
      </c>
      <c r="J114" s="1692">
        <f t="shared" si="13"/>
        <v>0</v>
      </c>
      <c r="K114" s="1692">
        <f t="shared" si="13"/>
        <v>3193118</v>
      </c>
      <c r="L114" s="1692">
        <f>SUM(L33,L74,L75,L102,L112,L113)</f>
        <v>3850400</v>
      </c>
    </row>
    <row r="115" spans="1:14" ht="13.5" thickTop="1" x14ac:dyDescent="0.2">
      <c r="A115" s="2198" t="s">
        <v>1053</v>
      </c>
      <c r="B115" s="2199"/>
      <c r="C115" s="619"/>
      <c r="D115" s="619"/>
      <c r="E115" s="619"/>
      <c r="F115" s="619"/>
      <c r="G115" s="619"/>
      <c r="H115" s="619"/>
      <c r="I115" s="619"/>
      <c r="J115" s="619"/>
      <c r="K115" s="1706">
        <f>'Revenues 9-14'!C275-'Expenditures 15-22'!K114</f>
        <v>81221</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314</v>
      </c>
      <c r="B117" s="2177"/>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c r="H124" s="466"/>
      <c r="I124" s="467"/>
      <c r="J124" s="467"/>
      <c r="K124" s="1692">
        <f>SUM(C124:J124)</f>
        <v>0</v>
      </c>
      <c r="L124" s="466"/>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1953</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8" t="s">
        <v>641</v>
      </c>
      <c r="B151" s="2170"/>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1" t="s">
        <v>1240</v>
      </c>
      <c r="B152" s="2192"/>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642</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1954</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1953</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1955</v>
      </c>
      <c r="C158" s="617"/>
      <c r="D158" s="617"/>
      <c r="E158" s="617"/>
      <c r="F158" s="617"/>
      <c r="G158" s="617"/>
      <c r="H158" s="467"/>
      <c r="I158" s="617"/>
      <c r="J158" s="617"/>
      <c r="K158" s="1693">
        <f>H158</f>
        <v>0</v>
      </c>
      <c r="L158" s="467"/>
      <c r="M158" s="620"/>
      <c r="N158" s="620"/>
    </row>
    <row r="159" spans="1:14" s="621" customFormat="1" ht="12" x14ac:dyDescent="0.2">
      <c r="A159" s="1849" t="s">
        <v>1956</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1957</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98" t="s">
        <v>1053</v>
      </c>
      <c r="B175" s="2199"/>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98" t="s">
        <v>1053</v>
      </c>
      <c r="B211" s="2199"/>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1022</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1905</v>
      </c>
      <c r="B249" s="684" t="s">
        <v>300</v>
      </c>
      <c r="C249" s="617"/>
      <c r="D249" s="474"/>
      <c r="E249" s="617"/>
      <c r="F249" s="617"/>
      <c r="G249" s="617"/>
      <c r="H249" s="617"/>
      <c r="I249" s="617"/>
      <c r="J249" s="617"/>
      <c r="K249" s="1694">
        <f t="shared" si="21"/>
        <v>0</v>
      </c>
      <c r="L249" s="466"/>
    </row>
    <row r="250" spans="1:12" x14ac:dyDescent="0.2">
      <c r="A250" s="1527" t="s">
        <v>1906</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1904</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1953</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9" t="s">
        <v>526</v>
      </c>
      <c r="B295" s="2190"/>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98" t="s">
        <v>1053</v>
      </c>
      <c r="B296" s="2199"/>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1958</v>
      </c>
      <c r="B306" s="691" t="s">
        <v>1953</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6" t="s">
        <v>295</v>
      </c>
      <c r="B312" s="2187"/>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2" t="s">
        <v>1053</v>
      </c>
      <c r="B313" s="2183"/>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954</v>
      </c>
      <c r="B317" s="2196"/>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1905</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1959</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1953</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1955</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1960</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4" t="s">
        <v>1053</v>
      </c>
      <c r="B343" s="2185"/>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1023</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1961</v>
      </c>
      <c r="B354" s="684" t="s">
        <v>1953</v>
      </c>
      <c r="C354" s="617"/>
      <c r="D354" s="617"/>
      <c r="E354" s="617"/>
      <c r="F354" s="617"/>
      <c r="G354" s="617"/>
      <c r="H354" s="474"/>
      <c r="I354" s="702"/>
      <c r="J354" s="617"/>
      <c r="K354" s="1721">
        <f>H354</f>
        <v>0</v>
      </c>
      <c r="L354" s="471"/>
    </row>
    <row r="355" spans="1:14" ht="12.75" customHeight="1" x14ac:dyDescent="0.2">
      <c r="A355" s="1535" t="s">
        <v>1962</v>
      </c>
      <c r="B355" s="691" t="s">
        <v>1955</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98" t="s">
        <v>1053</v>
      </c>
      <c r="B368" s="2199"/>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purl.org/dc/elements/1.1/"/>
    <ds:schemaRef ds:uri="http://purl.org/dc/terms/"/>
    <ds:schemaRef ds:uri="http://schemas.microsoft.com/sharepoint/v3"/>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4d435f69-8686-490b-bd6d-b153bf22ab50"/>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2018-10-01T13:01:35Z</cp:lastPrinted>
  <dcterms:created xsi:type="dcterms:W3CDTF">2003-10-29T19:06:34Z</dcterms:created>
  <dcterms:modified xsi:type="dcterms:W3CDTF">2018-11-26T17:19:42Z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