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904"/>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calcMode="autoNoTable" iterate="1" iterateCount="1" iterateDelta="0"/>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s="1"/>
  <c r="B5117" i="106"/>
  <c r="D5117" i="106" s="1"/>
  <c r="B5118" i="106"/>
  <c r="D5118" i="106" s="1"/>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B5334" i="106"/>
  <c r="D5334" i="106" s="1"/>
  <c r="E12" i="5"/>
  <c r="B5513" i="106"/>
  <c r="D5513" i="106" s="1"/>
  <c r="F12" i="5"/>
  <c r="B5557" i="106" s="1"/>
  <c r="D5557" i="106" s="1"/>
  <c r="G12" i="5"/>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E4" i="4"/>
  <c r="B2630" i="106" s="1"/>
  <c r="D2630" i="106" s="1"/>
  <c r="D5" i="4"/>
  <c r="B3406" i="106" s="1"/>
  <c r="D3406" i="106" s="1"/>
  <c r="G5" i="4"/>
  <c r="B3409" i="106" s="1"/>
  <c r="D3409" i="106" s="1"/>
  <c r="G14" i="4"/>
  <c r="B2609" i="106" s="1"/>
  <c r="D2609"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6" i="34"/>
  <c r="F131" i="34"/>
  <c r="F130" i="34"/>
  <c r="F128" i="34"/>
  <c r="F127" i="34"/>
  <c r="F111" i="34"/>
  <c r="B5847" i="106"/>
  <c r="D5847" i="106" s="1"/>
  <c r="B5752" i="106"/>
  <c r="D5752" i="106" s="1"/>
  <c r="B5599" i="106"/>
  <c r="D5599" i="106" s="1"/>
  <c r="K274" i="5"/>
  <c r="H173" i="5"/>
  <c r="B5906" i="106" s="1"/>
  <c r="D5906" i="106" s="1"/>
  <c r="C172" i="5"/>
  <c r="B5214" i="106" s="1"/>
  <c r="D5214" i="106" s="1"/>
  <c r="H109" i="5"/>
  <c r="B6025" i="106" s="1"/>
  <c r="D6025" i="106" s="1"/>
  <c r="D109" i="5"/>
  <c r="B5356" i="106" s="1"/>
  <c r="D5356" i="106" s="1"/>
  <c r="F106" i="34"/>
  <c r="D7" i="7"/>
  <c r="B1763" i="106" s="1"/>
  <c r="D1763" i="106" s="1"/>
  <c r="H4" i="4"/>
  <c r="H6" i="4"/>
  <c r="B2656" i="106" s="1"/>
  <c r="D2656" i="106" s="1"/>
  <c r="B2655" i="106"/>
  <c r="D2655"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B5725" i="106"/>
  <c r="D5725" i="106" s="1"/>
  <c r="G109" i="5"/>
  <c r="F172" i="5"/>
  <c r="B5644" i="106" s="1"/>
  <c r="D5644" i="106" s="1"/>
  <c r="L367" i="29"/>
  <c r="D7245" i="106"/>
  <c r="I342" i="29"/>
  <c r="B7222" i="106" s="1"/>
  <c r="D7222" i="106" s="1"/>
  <c r="G352" i="29"/>
  <c r="C352" i="29"/>
  <c r="K41" i="3"/>
  <c r="L15" i="11"/>
  <c r="B3459" i="106" s="1"/>
  <c r="D3459" i="106" s="1"/>
  <c r="H76" i="4"/>
  <c r="B3298" i="106" s="1"/>
  <c r="D3298" i="106" s="1"/>
  <c r="K285" i="29"/>
  <c r="B1410" i="106"/>
  <c r="D1410" i="106" s="1"/>
  <c r="B1329" i="106"/>
  <c r="D1329" i="106" s="1"/>
  <c r="F61" i="34"/>
  <c r="G15" i="145"/>
  <c r="K24" i="12"/>
  <c r="K184" i="29"/>
  <c r="F13" i="4" s="1"/>
  <c r="B2596" i="106" s="1"/>
  <c r="D2596" i="106" s="1"/>
  <c r="D4" i="4"/>
  <c r="B2564" i="106" s="1"/>
  <c r="D2564" i="106" s="1"/>
  <c r="C173" i="5"/>
  <c r="B5223" i="106" s="1"/>
  <c r="D5223" i="106" s="1"/>
  <c r="C109" i="5"/>
  <c r="B5121" i="106" s="1"/>
  <c r="D5121" i="106" s="1"/>
  <c r="L13" i="11"/>
  <c r="B2060" i="106" s="1"/>
  <c r="D2060"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L114" i="29" s="1"/>
  <c r="K33" i="29"/>
  <c r="B720" i="106"/>
  <c r="D720"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2657" i="106"/>
  <c r="D2657" i="106" s="1"/>
  <c r="H8" i="4"/>
  <c r="D274" i="5"/>
  <c r="B3447" i="106"/>
  <c r="D3447" i="106" s="1"/>
  <c r="D19" i="7"/>
  <c r="B1775" i="106" s="1"/>
  <c r="D1775" i="106" s="1"/>
  <c r="B7270" i="106"/>
  <c r="D7253" i="106" l="1"/>
  <c r="D7252" i="106"/>
  <c r="F274" i="5"/>
  <c r="F275" i="5" s="1"/>
  <c r="B7733" i="106"/>
  <c r="D7733" i="106" s="1"/>
  <c r="K26" i="12"/>
  <c r="B7743" i="106" s="1"/>
  <c r="D7743" i="106" s="1"/>
  <c r="F73" i="34"/>
  <c r="G15" i="4"/>
  <c r="B6032" i="106" s="1"/>
  <c r="D6032" i="106" s="1"/>
  <c r="B3621" i="106"/>
  <c r="D3621" i="106" s="1"/>
  <c r="C367" i="29"/>
  <c r="B3622" i="106" s="1"/>
  <c r="D3622" i="106" s="1"/>
  <c r="B6024" i="106"/>
  <c r="D6024" i="106" s="1"/>
  <c r="G4" i="4"/>
  <c r="B2603" i="106" s="1"/>
  <c r="D2603" i="106" s="1"/>
  <c r="H367" i="29"/>
  <c r="B3660" i="106" s="1"/>
  <c r="D3660" i="106" s="1"/>
  <c r="B3568" i="106"/>
  <c r="D3568" i="106" s="1"/>
  <c r="D52" i="36"/>
  <c r="B3649" i="106"/>
  <c r="D3649" i="106" s="1"/>
  <c r="G367" i="29"/>
  <c r="B3650" i="106" s="1"/>
  <c r="D3650" i="106" s="1"/>
  <c r="C6" i="4"/>
  <c r="B2553" i="106" s="1"/>
  <c r="D2553" i="106" s="1"/>
  <c r="F6" i="4"/>
  <c r="B2593" i="106" s="1"/>
  <c r="D2593" i="106" s="1"/>
  <c r="C114" i="29"/>
  <c r="B757" i="106" s="1"/>
  <c r="D757" i="106" s="1"/>
  <c r="C4" i="4"/>
  <c r="B2551" i="106" s="1"/>
  <c r="D2551" i="106"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D275" i="5"/>
  <c r="B5507" i="106"/>
  <c r="D5507" i="106" s="1"/>
  <c r="B7298" i="106"/>
  <c r="B7299" i="106"/>
  <c r="B1145" i="106" l="1"/>
  <c r="D1145"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4" l="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<sst xmlns="http://schemas.openxmlformats.org/spreadsheetml/2006/main" count="5030" uniqueCount="2104">
  <si>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</si>
  <si>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</si>
  <si>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</si>
  <si>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</si>
  <si>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</si>
  <si>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</si>
  <si>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</si>
  <si>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</si>
  <si>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</si>
  <si>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</si>
  <si>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</si>
  <si>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</si>
  <si>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</si>
  <si>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</si>
  <si>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</si>
  <si>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</si>
  <si>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</si>
  <si>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</si>
  <si>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</si>
  <si>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</si>
  <si>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</si>
  <si>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</si>
  <si>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</si>
  <si>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</si>
  <si>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</si>
  <si>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</si>
  <si>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</si>
  <si>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</si>
  <si>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</si>
  <si>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</si>
  <si>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</si>
  <si>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</si>
  <si>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</si>
  <si>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</si>
  <si>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</si>
  <si>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</si>
  <si>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</si>
  <si>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</si>
  <si>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</si>
  <si>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</si>
  <si>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</si>
  <si>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</si>
  <si>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</si>
  <si>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</si>
  <si>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</si>
  <si>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</si>
  <si>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</si>
  <si>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</si>
  <si>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</si>
  <si>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</si>
  <si>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</si>
  <si>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</si>
  <si>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</si>
  <si>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</si>
  <si>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</si>
  <si>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</si>
  <si>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</si>
  <si>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</si>
  <si>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</si>
  <si>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</si>
  <si>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</si>
  <si>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</si>
  <si>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</si>
  <si>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</si>
  <si>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</si>
  <si>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</si>
  <si>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</si>
  <si>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</si>
  <si>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</si>
  <si>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</si>
  <si>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</si>
  <si>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</si>
  <si>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</si>
  <si>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</si>
  <si>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</si>
  <si>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</si>
  <si>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</si>
  <si>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</si>
  <si>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</si>
  <si>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</si>
  <si>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</si>
  <si>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</si>
  <si>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</si>
  <si>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</si>
  <si>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</si>
  <si>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</si>
  <si>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</si>
  <si>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</si>
  <si>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</si>
  <si>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</si>
  <si>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</si>
  <si>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</si>
  <si>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</si>
  <si>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</si>
  <si>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</si>
  <si>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</si>
  <si>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</si>
  <si>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</si>
  <si>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</si>
  <si>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</si>
  <si>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</si>
  <si>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</si>
  <si>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</si>
  <si>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</si>
  <si>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</si>
  <si>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</si>
  <si>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</si>
  <si>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</si>
  <si>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</si>
  <si>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</si>
  <si>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</si>
  <si>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</si>
  <si>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</si>
  <si>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</si>
  <si>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</si>
  <si>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</si>
  <si>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</si>
  <si>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</si>
  <si>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</si>
  <si>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</si>
  <si>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</si>
  <si>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</si>
  <si>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</si>
  <si>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</si>
  <si>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</si>
  <si>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</si>
  <si>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</si>
  <si>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</si>
  <si>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</si>
  <si>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</si>
  <si>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</si>
  <si>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</si>
  <si>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</si>
  <si>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</si>
  <si>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</si>
  <si>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</si>
  <si>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</si>
  <si>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</si>
  <si>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</si>
  <si>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</si>
  <si>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</si>
  <si>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</si>
  <si>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</si>
  <si>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</si>
  <si>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</si>
  <si>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</si>
  <si>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</si>
  <si>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</si>
  <si>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</si>
  <si>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</si>
  <si>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</si>
  <si>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</si>
  <si>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</si>
  <si>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</si>
  <si>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</si>
  <si>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</si>
  <si>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</si>
  <si>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</si>
  <si>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</si>
  <si>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</si>
  <si>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</si>
  <si>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</si>
  <si>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</si>
  <si>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</si>
  <si>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</si>
  <si>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</si>
  <si>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</si>
  <si>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</si>
  <si>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</si>
  <si>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</si>
  <si>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</si>
  <si>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</si>
  <si>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</si>
  <si>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</si>
  <si>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</si>
  <si>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</si>
  <si>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</si>
  <si>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</si>
  <si>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</si>
  <si>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</si>
  <si>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</si>
  <si>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</si>
  <si>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</si>
  <si>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</si>
  <si>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</si>
  <si>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</si>
  <si>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</si>
  <si>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</si>
  <si>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</si>
  <si>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</si>
  <si>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</si>
  <si>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</si>
  <si>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</si>
  <si>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</si>
  <si>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</si>
  <si>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</si>
  <si>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</si>
  <si>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</si>
  <si>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</si>
  <si>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</si>
  <si>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</si>
  <si>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</si>
  <si>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</si>
  <si>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</si>
  <si>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</si>
  <si>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</si>
  <si>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</si>
  <si>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</si>
  <si>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</si>
  <si>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</si>
  <si>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</si>
  <si>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</si>
  <si>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</si>
  <si>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</si>
  <si>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</si>
  <si>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</si>
  <si>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</si>
  <si>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</si>
  <si>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</si>
  <si>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</si>
  <si>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</si>
  <si>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</si>
  <si>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</si>
  <si>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</si>
  <si>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</si>
  <si>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</si>
  <si>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</si>
  <si>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</si>
  <si>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</si>
  <si>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</si>
  <si>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</si>
  <si>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</si>
  <si>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</si>
  <si>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</si>
  <si>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</si>
  <si>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</si>
  <si>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</si>
  <si>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</si>
  <si>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</si>
  <si>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</si>
  <si>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</si>
  <si>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</si>
  <si>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</si>
  <si>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</si>
  <si>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</si>
  <si>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</si>
  <si>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</si>
  <si>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</si>
  <si>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</si>
  <si>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</si>
  <si>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</si>
  <si>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</si>
  <si>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</si>
  <si>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</si>
  <si>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</si>
  <si>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</si>
  <si>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</si>
  <si>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</si>
  <si>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</si>
  <si>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</si>
  <si>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</si>
  <si>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</si>
  <si>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</si>
  <si>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</si>
  <si>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</si>
  <si>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</si>
  <si>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</si>
  <si>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</si>
  <si>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</si>
  <si>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</si>
  <si>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</si>
  <si>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</si>
  <si>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</si>
  <si>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</si>
  <si>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</si>
  <si>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</si>
  <si>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</si>
  <si>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</si>
  <si>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</si>
  <si>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</si>
  <si>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</si>
  <si>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</si>
  <si>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</si>
  <si>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</si>
  <si>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</si>
  <si>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</si>
  <si>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</si>
  <si>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</si>
  <si>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</si>
  <si>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</si>
  <si>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</si>
  <si>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</si>
  <si>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</si>
  <si>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</si>
  <si>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</si>
  <si>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</si>
  <si>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</si>
  <si>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</si>
  <si>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</si>
  <si>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</si>
  <si>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</si>
  <si>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</si>
  <si>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</si>
  <si>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</si>
  <si>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</si>
  <si>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</si>
  <si>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</si>
  <si>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</si>
  <si>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</si>
  <si>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</si>
  <si>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</si>
  <si>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</si>
  <si>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</si>
  <si>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</si>
  <si>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</si>
  <si>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</si>
  <si>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</si>
  <si>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</si>
  <si>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</si>
  <si>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</si>
  <si>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</si>
  <si>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</si>
  <si>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</si>
  <si>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</si>
  <si>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</si>
  <si>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</si>
  <si>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</si>
  <si>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</si>
  <si>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</si>
  <si>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</si>
  <si>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</si>
  <si>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</si>
  <si>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</si>
  <si>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</si>
  <si>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</si>
  <si>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</si>
  <si>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</si>
  <si>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</si>
  <si>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</si>
  <si>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</si>
  <si>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</si>
  <si>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</si>
  <si>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</si>
  <si>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</si>
  <si>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</si>
  <si>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</si>
  <si>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</si>
  <si>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</si>
  <si>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</si>
  <si>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</si>
  <si>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</si>
  <si>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</si>
  <si>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</si>
  <si>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</si>
  <si>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</si>
  <si>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</si>
  <si>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</si>
  <si>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</si>
  <si>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</si>
  <si>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</si>
  <si>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</si>
  <si>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</si>
  <si>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</si>
  <si>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</si>
  <si>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</si>
  <si>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</si>
  <si>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</si>
  <si>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</si>
  <si>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</si>
  <si>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</si>
  <si>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</si>
  <si>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</si>
  <si>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</si>
  <si>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</si>
  <si>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</si>
  <si>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</si>
  <si>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</si>
  <si>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</si>
  <si>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</si>
  <si>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</si>
  <si>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</si>
  <si>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</si>
  <si>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</si>
  <si>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</si>
  <si>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</si>
  <si>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</si>
  <si>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</si>
  <si>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</si>
  <si>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</si>
  <si>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</si>
  <si>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</si>
  <si>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</si>
  <si>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</si>
  <si>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</si>
  <si>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</si>
  <si>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</si>
  <si>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</si>
  <si>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</si>
  <si>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</si>
  <si>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</si>
  <si>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</si>
  <si>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</si>
  <si>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</si>
  <si>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</si>
  <si>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</si>
  <si>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</si>
  <si>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</si>
  <si>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</si>
  <si>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</si>
  <si>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</si>
  <si>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</si>
  <si>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</si>
  <si>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</si>
  <si>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</si>
  <si>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</si>
  <si>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</si>
  <si>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</si>
  <si>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</si>
  <si>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</si>
  <si>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</si>
  <si>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</si>
  <si>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</si>
  <si>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</si>
  <si>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</si>
  <si>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</si>
  <si>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</si>
  <si>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</si>
  <si>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</si>
  <si>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</si>
  <si>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</si>
  <si>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</si>
  <si>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</si>
  <si>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</si>
  <si>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</si>
  <si>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</si>
  <si>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</si>
  <si>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</si>
  <si>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</si>
  <si>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</si>
  <si>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</si>
  <si>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</si>
  <si>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</si>
  <si>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</si>
  <si>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</si>
  <si>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</si>
  <si>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</si>
  <si>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</si>
  <si>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</si>
  <si>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</si>
  <si>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</si>
  <si>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</si>
  <si>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</si>
  <si>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</si>
  <si>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</si>
  <si>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</si>
  <si>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</si>
  <si>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</si>
  <si>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</si>
  <si>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</si>
  <si>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</si>
  <si>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</si>
  <si>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</si>
  <si>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</si>
  <si>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</si>
  <si>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</si>
  <si>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</si>
  <si>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</si>
  <si>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</si>
  <si>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</si>
  <si>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</si>
  <si>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</si>
  <si>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</si>
  <si>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</si>
  <si>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</si>
  <si>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</si>
  <si>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</si>
  <si>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</si>
  <si>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</si>
  <si>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</si>
  <si>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</si>
  <si>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</si>
  <si>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</si>
  <si>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</si>
  <si>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</si>
  <si>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</si>
  <si>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</si>
  <si>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</si>
  <si>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</si>
  <si>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</si>
  <si>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</si>
  <si>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</si>
  <si>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</si>
  <si>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</si>
  <si>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</si>
  <si>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</si>
  <si>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</si>
  <si>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</si>
  <si>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</si>
  <si>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</si>
  <si>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</si>
  <si>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</si>
  <si>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</si>
  <si>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</si>
  <si>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</si>
  <si>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</si>
  <si>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</si>
  <si>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</si>
  <si>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</si>
  <si>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</si>
  <si>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</si>
  <si>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</si>
  <si>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</si>
  <si>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</si>
  <si>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</si>
  <si>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</si>
  <si>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</si>
  <si>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</si>
  <si>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</si>
  <si>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</si>
  <si>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</si>
  <si>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</si>
  <si>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</si>
  <si>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</si>
  <si>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</si>
  <si>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</si>
  <si>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</si>
  <si>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</si>
  <si>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</si>
  <si>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</si>
  <si>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</si>
  <si>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</si>
  <si>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</si>
  <si>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</si>
  <si>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</si>
  <si>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</si>
  <si>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</si>
  <si>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</si>
  <si>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</si>
  <si>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</si>
  <si>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</si>
  <si>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</si>
  <si>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</si>
  <si>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</si>
  <si>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</si>
  <si>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</si>
  <si>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</si>
  <si>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</si>
  <si>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</si>
  <si>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</si>
  <si>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</si>
  <si>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</si>
  <si>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</si>
  <si>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</si>
  <si>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</si>
  <si>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</si>
  <si>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</si>
  <si>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</si>
  <si>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</si>
  <si>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</si>
  <si>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</si>
  <si>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</si>
  <si>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</si>
  <si>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</si>
  <si>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</si>
  <si>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</si>
  <si>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</si>
  <si>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</si>
  <si>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</si>
  <si>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</si>
  <si>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</si>
  <si>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</si>
  <si>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</si>
  <si>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</si>
  <si>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</si>
  <si>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</si>
  <si>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</si>
  <si>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</si>
  <si>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</si>
  <si>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</si>
  <si>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</si>
  <si>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</si>
  <si>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</si>
  <si>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</si>
  <si>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</si>
  <si>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</si>
  <si>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</si>
  <si>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</si>
  <si>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</si>
  <si>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</si>
  <si>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</si>
  <si>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</si>
  <si>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</si>
  <si>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</si>
  <si>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</si>
  <si>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</si>
  <si>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</si>
  <si>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</si>
  <si>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</si>
  <si>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</si>
  <si>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</si>
  <si>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</si>
  <si>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</si>
  <si>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</si>
  <si>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</si>
  <si>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</si>
  <si>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</si>
  <si>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</si>
  <si>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</si>
  <si>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</si>
  <si>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</si>
  <si>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</si>
  <si>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</si>
  <si>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</si>
  <si>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</si>
  <si>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</si>
  <si>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</si>
  <si>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</si>
  <si>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</si>
  <si>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</si>
  <si>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</si>
  <si>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</si>
  <si>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</si>
  <si>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</si>
  <si>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</si>
  <si>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</si>
  <si>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</si>
  <si>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</si>
  <si>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</si>
  <si>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</si>
  <si>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</si>
  <si>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</si>
  <si>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</si>
  <si>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</si>
  <si>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</si>
  <si>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</si>
  <si>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</si>
  <si>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</si>
  <si>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</si>
  <si>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</si>
  <si>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</si>
  <si>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</si>
  <si>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</si>
  <si>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</si>
  <si>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</si>
  <si>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</si>
  <si>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</si>
  <si>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</si>
  <si>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</si>
  <si>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</si>
  <si>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</si>
  <si>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</si>
  <si>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</si>
  <si>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</si>
  <si>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</si>
  <si>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</si>
  <si>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</si>
  <si>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</si>
  <si>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</si>
  <si>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</si>
  <si>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</si>
  <si>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</si>
  <si>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</si>
  <si>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</si>
  <si>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</si>
  <si>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</si>
  <si>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</si>
  <si>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</si>
  <si>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</si>
  <si>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</si>
  <si>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</si>
  <si>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</si>
  <si>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</si>
  <si>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</si>
  <si>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</si>
  <si>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</si>
  <si>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</si>
  <si>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</si>
  <si>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</si>
  <si>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</si>
  <si>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</si>
  <si>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</si>
  <si>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</si>
  <si>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</si>
  <si>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</si>
  <si>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</si>
  <si>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</si>
  <si>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</si>
  <si>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</si>
  <si>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</si>
  <si>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</si>
  <si>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</si>
  <si>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</si>
  <si>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</si>
  <si>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</si>
  <si>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</si>
  <si>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</si>
  <si>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</si>
  <si>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</si>
  <si>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</si>
  <si>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</si>
  <si>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</si>
  <si>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</si>
  <si>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</si>
  <si>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</si>
  <si>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</si>
  <si>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</si>
  <si>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</si>
  <si>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</si>
  <si>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</si>
  <si>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</si>
  <si>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</si>
  <si>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</si>
  <si>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</si>
  <si>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</si>
  <si>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</si>
  <si>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</si>
  <si>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</si>
  <si>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</si>
  <si>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</si>
  <si>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</si>
  <si>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</si>
  <si>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</si>
  <si>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</si>
  <si>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</si>
  <si>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</si>
  <si>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</si>
  <si>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</si>
  <si>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</si>
  <si>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</si>
  <si>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</si>
  <si>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</si>
  <si>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</si>
  <si>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</si>
  <si>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</si>
  <si>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</si>
  <si>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</si>
  <si>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</si>
  <si>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</si>
  <si>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</si>
  <si>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</si>
  <si>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</si>
  <si>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</si>
  <si>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</si>
  <si>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</si>
  <si>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</si>
  <si>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</si>
  <si>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</si>
  <si>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</si>
  <si>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</si>
  <si>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</si>
  <si>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</si>
  <si>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</si>
  <si>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</si>
  <si>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</si>
  <si>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</si>
  <si>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</si>
  <si>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</si>
  <si>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</si>
  <si>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</si>
  <si>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</si>
  <si>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</si>
  <si>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</si>
  <si>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</si>
  <si>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</si>
  <si>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</si>
  <si>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</si>
  <si>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</si>
  <si>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</si>
  <si>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</si>
  <si>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</si>
  <si>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</si>
  <si>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</si>
  <si>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</si>
  <si>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</si>
  <si>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</si>
  <si>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</si>
  <si>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</si>
  <si>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</si>
  <si>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</si>
  <si>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</si>
  <si>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</si>
  <si>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</si>
  <si>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</si>
  <si>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</si>
  <si>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</si>
  <si>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</si>
  <si>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</si>
  <si>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</si>
  <si>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</si>
  <si>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</si>
  <si>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</si>
  <si>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</si>
  <si>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</si>
  <si>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</si>
  <si>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</si>
  <si>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</si>
  <si>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</si>
  <si>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</si>
  <si>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</si>
  <si>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</si>
  <si>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</si>
  <si>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</si>
  <si>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</si>
  <si>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</si>
  <si>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</si>
  <si>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</si>
  <si>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</si>
  <si>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</si>
  <si>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</si>
  <si>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</si>
  <si>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</si>
  <si>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</si>
  <si>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</si>
  <si>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</si>
  <si>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</si>
  <si>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</si>
  <si>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</si>
  <si>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</si>
  <si>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</si>
  <si>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</si>
  <si>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</si>
  <si>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</si>
  <si>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</si>
  <si>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</si>
  <si>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</si>
  <si>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</si>
  <si>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</si>
  <si>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</si>
  <si>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</si>
  <si>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</si>
  <si>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</si>
  <si>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</si>
  <si>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</si>
  <si>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</si>
  <si>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</si>
  <si>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</si>
  <si>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</si>
  <si>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</si>
  <si>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</si>
  <si>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</si>
  <si>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</si>
  <si>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</si>
  <si>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</si>
  <si>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</si>
  <si>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</si>
  <si>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</si>
  <si>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</si>
  <si>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</si>
  <si>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</si>
  <si>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</si>
  <si>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</si>
  <si>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</si>
  <si>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</si>
  <si>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</si>
  <si>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</si>
  <si>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</si>
  <si>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</si>
  <si>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</si>
  <si>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</si>
  <si>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</si>
  <si>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</si>
  <si>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</si>
  <si>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</si>
  <si>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</si>
  <si>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</si>
  <si>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</si>
  <si>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</si>
  <si>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</si>
  <si>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</si>
  <si>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</si>
  <si>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</si>
  <si>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</si>
  <si>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</si>
  <si>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</si>
  <si>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</si>
  <si>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</si>
  <si>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</si>
  <si>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</si>
  <si>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</si>
  <si>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</si>
  <si>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</si>
  <si>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</si>
  <si>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</si>
  <si>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</si>
  <si>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</si>
  <si>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</si>
  <si>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</si>
  <si>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</si>
  <si>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</si>
  <si>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</si>
  <si>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</si>
  <si>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</si>
  <si>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</si>
  <si>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</si>
  <si>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</si>
  <si>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</si>
  <si>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</si>
  <si>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</si>
  <si>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</si>
  <si>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</si>
  <si>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</si>
  <si>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</si>
  <si>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</si>
  <si>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</si>
  <si>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</si>
  <si>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</si>
  <si>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</si>
  <si>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</si>
  <si>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</si>
  <si>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</si>
  <si>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</si>
  <si>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</si>
  <si>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</si>
  <si>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</si>
  <si>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</si>
  <si>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</si>
  <si>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</si>
  <si>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</si>
  <si>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</si>
  <si>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</si>
  <si>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</si>
  <si>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</si>
  <si>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</si>
  <si>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</si>
  <si>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</si>
  <si>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</si>
  <si>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</si>
  <si>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</si>
  <si>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</si>
  <si>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</si>
  <si>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</si>
  <si>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</si>
  <si>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</si>
  <si>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</si>
  <si>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</si>
  <si>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</si>
  <si>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</si>
  <si>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</si>
  <si>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</si>
  <si>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</si>
  <si>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</si>
  <si>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</si>
  <si>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</si>
  <si>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</si>
  <si>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</si>
  <si>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</si>
  <si>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</si>
  <si>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</si>
  <si>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</si>
  <si>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</si>
  <si>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</si>
  <si>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</si>
  <si>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</si>
  <si>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</si>
  <si>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</si>
  <si>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</si>
  <si>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</si>
  <si>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</si>
  <si>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</si>
  <si>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</si>
  <si>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</si>
  <si>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</si>
  <si>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</si>
  <si>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</si>
  <si>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</si>
  <si>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</si>
  <si>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</si>
  <si>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</si>
  <si>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</si>
  <si>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</si>
  <si>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</si>
  <si>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</si>
  <si>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</si>
  <si>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</si>
  <si>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</si>
  <si>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</si>
  <si>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</si>
  <si>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</si>
  <si>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</si>
  <si>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</si>
  <si>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</si>
  <si>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</si>
  <si>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</si>
  <si>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</si>
  <si>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</si>
  <si>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</si>
  <si>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</si>
  <si>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</si>
  <si>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</si>
  <si>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</si>
  <si>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</si>
  <si>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</si>
  <si>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</si>
  <si>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</si>
  <si>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</si>
  <si>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</si>
  <si>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</si>
  <si>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</si>
  <si>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</si>
  <si>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</si>
  <si>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</si>
  <si>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</si>
  <si>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</si>
  <si>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</si>
  <si>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</si>
  <si>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</si>
  <si>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</si>
  <si>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</si>
  <si>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</si>
  <si>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</si>
  <si>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</si>
  <si>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</si>
  <si>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</si>
  <si>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</si>
  <si>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</si>
  <si>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</si>
  <si>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</si>
  <si>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</si>
  <si>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</si>
  <si>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</si>
  <si>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</si>
  <si>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</si>
  <si>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</si>
  <si>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</si>
  <si>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</si>
  <si>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</si>
  <si>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</si>
  <si>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</si>
  <si>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</si>
  <si>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</si>
  <si>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</si>
  <si>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</si>
  <si>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</si>
  <si>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</si>
  <si>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</si>
  <si>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</si>
  <si>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</si>
  <si>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</si>
  <si>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</si>
  <si>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</si>
  <si>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</si>
  <si>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</si>
  <si>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</si>
  <si>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</si>
  <si>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</si>
  <si>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</si>
  <si>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</si>
  <si>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</si>
  <si>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</si>
  <si>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</si>
  <si>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</si>
  <si>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</si>
  <si>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</si>
  <si>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</si>
  <si>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</si>
  <si>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</si>
  <si>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</si>
  <si>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</si>
  <si>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</si>
  <si>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</si>
  <si>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</si>
  <si>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</si>
  <si>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</si>
  <si>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</si>
  <si>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</si>
  <si>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</si>
  <si>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</si>
  <si>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</si>
  <si>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</si>
  <si>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</si>
  <si>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</si>
  <si>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</si>
  <si>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</si>
  <si>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</si>
  <si>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</si>
  <si>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</si>
  <si>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</si>
  <si>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</si>
  <si>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</si>
  <si>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</si>
  <si>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</si>
  <si>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</si>
  <si>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</si>
  <si>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</si>
  <si>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</si>
  <si>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</si>
  <si>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</si>
  <si>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</si>
  <si>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</si>
  <si>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</si>
  <si>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</si>
  <si>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</si>
  <si>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</si>
  <si>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</si>
  <si>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</si>
  <si>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</si>
  <si>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</si>
  <si>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</si>
  <si>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</si>
  <si>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</si>
  <si>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</si>
  <si>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</si>
  <si>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</si>
  <si>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</si>
  <si>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</si>
  <si>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</si>
  <si>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</si>
  <si>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</si>
  <si>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</si>
  <si>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</si>
  <si>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</si>
  <si>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</si>
  <si>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</si>
  <si>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</si>
  <si>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</si>
  <si>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</si>
  <si>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</si>
  <si>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</si>
  <si>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</si>
  <si>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</si>
  <si>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</si>
  <si>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</si>
  <si>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</si>
  <si>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</si>
  <si>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</si>
  <si>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</si>
  <si>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</si>
  <si>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</si>
  <si>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</si>
  <si>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</si>
  <si>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</si>
  <si>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</si>
  <si>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</si>
  <si>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</si>
  <si>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</si>
  <si>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</si>
  <si>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</si>
  <si>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</si>
  <si>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</si>
  <si>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</si>
  <si>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</si>
  <si>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</si>
  <si>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</si>
  <si>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</si>
  <si>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</si>
  <si>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</si>
  <si>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</si>
  <si>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</si>
  <si>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</si>
  <si>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</si>
  <si>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</si>
  <si>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</si>
  <si>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</si>
  <si>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</si>
  <si>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</si>
  <si>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</si>
  <si>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</si>
  <si>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</si>
  <si>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</si>
  <si>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</si>
  <si>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</si>
  <si>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</si>
  <si>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</si>
  <si>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</si>
  <si>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</si>
  <si>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</si>
  <si>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</si>
  <si>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</si>
  <si>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</si>
  <si>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</si>
  <si>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</si>
  <si>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</si>
  <si>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</si>
  <si>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</si>
  <si>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</si>
  <si>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</si>
  <si>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</si>
  <si>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</si>
  <si>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</si>
  <si>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</si>
  <si>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</si>
  <si>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</si>
  <si>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</si>
  <si>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</si>
  <si>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</si>
  <si>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</si>
  <si>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</si>
  <si>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</si>
  <si>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</si>
  <si>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</si>
  <si>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</si>
  <si>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</si>
  <si>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</si>
  <si>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</si>
  <si>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</si>
  <si>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</si>
  <si>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</si>
  <si>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</si>
  <si>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</si>
  <si>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</si>
  <si>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</si>
  <si>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</si>
  <si>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</si>
  <si>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</si>
  <si>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</si>
  <si>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</si>
  <si>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</si>
  <si>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</si>
  <si>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</si>
  <si>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</si>
  <si>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</si>
  <si>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</si>
  <si>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</si>
  <si>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</si>
  <si>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</si>
  <si>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</si>
  <si>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</si>
  <si>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</si>
  <si>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</si>
  <si>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</si>
  <si>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</si>
  <si>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</si>
  <si>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</si>
  <si>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</si>
  <si>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</si>
  <si>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</si>
  <si>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</si>
  <si>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</si>
  <si>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</si>
  <si>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</si>
  <si>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</si>
  <si>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</si>
  <si>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</si>
  <si>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</si>
  <si>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</si>
  <si>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</si>
  <si>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</si>
  <si>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</si>
  <si>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</si>
  <si>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</si>
  <si>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</si>
  <si>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</si>
  <si>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</si>
  <si>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</si>
  <si>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</si>
  <si>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</si>
  <si>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</si>
  <si>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</si>
  <si>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</si>
  <si>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</si>
  <si>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</si>
  <si>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</si>
  <si>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</si>
  <si>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</si>
  <si>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</si>
  <si>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</si>
  <si>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</si>
  <si>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</si>
  <si>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</si>
  <si>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</si>
  <si>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</si>
  <si>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</si>
  <si>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</si>
  <si>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</si>
  <si>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</si>
  <si>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</si>
  <si>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</si>
  <si>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</si>
  <si>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</si>
  <si>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</si>
  <si>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</si>
  <si>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</si>
  <si>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</si>
  <si>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</si>
  <si>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</si>
  <si>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</si>
  <si>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</si>
  <si>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</si>
  <si>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</si>
  <si>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</si>
  <si>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</si>
  <si>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</si>
  <si>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</si>
  <si>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</si>
  <si>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</si>
  <si>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</si>
  <si>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</si>
  <si>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</si>
  <si>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</si>
  <si>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</si>
  <si>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</si>
  <si>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</si>
  <si>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</si>
  <si>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</si>
  <si>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</si>
  <si>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</si>
  <si>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</si>
  <si>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</si>
  <si>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</si>
  <si>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</si>
  <si>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</si>
  <si>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</si>
  <si>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</si>
  <si>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</si>
  <si>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</si>
  <si>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</si>
  <si>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</si>
  <si>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</si>
  <si>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</si>
  <si>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</si>
  <si>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</si>
  <si>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</si>
  <si>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</si>
  <si>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</si>
  <si>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</si>
  <si>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</si>
  <si>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</si>
  <si>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</si>
  <si>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</si>
  <si>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</si>
  <si>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</si>
  <si>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</si>
  <si>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</si>
  <si>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</si>
  <si>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</si>
  <si>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</si>
  <si>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</si>
  <si>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</si>
  <si>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</si>
  <si>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</si>
  <si>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</si>
  <si>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</si>
  <si>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</si>
  <si>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</si>
  <si>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</si>
  <si>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</si>
  <si>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</si>
  <si>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</si>
  <si>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</si>
  <si>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</si>
  <si>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</si>
  <si>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</si>
  <si>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</si>
  <si>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</si>
  <si>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</si>
  <si>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</si>
  <si>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</si>
  <si>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</si>
  <si>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</si>
  <si>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</si>
  <si>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</si>
  <si>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</si>
  <si>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</si>
  <si>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</si>
  <si>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</si>
  <si>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</si>
  <si>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</si>
  <si>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</si>
  <si>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</si>
  <si>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</si>
  <si>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</si>
  <si>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</si>
  <si>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</si>
  <si>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</si>
  <si>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</si>
  <si>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</si>
  <si>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</si>
  <si>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</si>
  <si>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</si>
  <si>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</si>
  <si>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</si>
  <si>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</si>
  <si>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</si>
  <si>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</si>
  <si>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</si>
  <si>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</si>
  <si>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</si>
  <si>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</si>
  <si>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</si>
  <si>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</si>
  <si>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</si>
  <si>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</si>
  <si>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</si>
  <si>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</si>
  <si>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</si>
  <si>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</si>
  <si>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</si>
  <si>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</si>
  <si>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</si>
  <si>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</si>
  <si>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</si>
  <si>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</si>
  <si>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</si>
  <si>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</si>
  <si>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</si>
  <si>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</si>
  <si>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</si>
  <si>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</si>
  <si>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</si>
  <si>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</si>
  <si>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</si>
  <si>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</si>
  <si>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</si>
  <si>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</si>
  <si>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</si>
  <si>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</si>
  <si>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</si>
  <si>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</si>
  <si>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</si>
  <si>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</si>
  <si>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</si>
  <si>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</si>
  <si>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</si>
  <si>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</si>
  <si>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</si>
  <si>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</si>
  <si>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</si>
  <si>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</si>
  <si>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</si>
  <si>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</si>
  <si>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</si>
  <si>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</si>
  <si>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</si>
  <si>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</si>
  <si>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</si>
  <si>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</si>
  <si>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</si>
  <si>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</si>
  <si>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</si>
  <si>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</si>
  <si>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</si>
  <si>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</si>
  <si>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</si>
  <si>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</si>
  <si>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</si>
  <si>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</si>
  <si>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</si>
  <si>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</si>
  <si>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</si>
  <si>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</si>
  <si>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</si>
  <si>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</si>
  <si>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</si>
  <si>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</si>
  <si>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</si>
  <si>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</si>
  <si>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</si>
  <si>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</si>
  <si>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</si>
  <si>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</si>
  <si>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</si>
  <si>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</si>
  <si>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</si>
  <si>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</si>
  <si>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</si>
  <si>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</si>
  <si>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</si>
  <si>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</si>
  <si>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</si>
  <si>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</si>
  <si>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</si>
  <si>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</si>
  <si>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</si>
  <si>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</si>
  <si>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</si>
  <si>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</si>
  <si>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</si>
  <si>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</si>
  <si>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</si>
  <si>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</si>
  <si>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</si>
  <si>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</si>
  <si>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</si>
  <si>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</si>
  <si>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</si>
  <si>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</si>
  <si>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</si>
  <si>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</si>
  <si>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</si>
  <si>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</si>
  <si>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</si>
  <si>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</si>
  <si>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</si>
  <si>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</si>
  <si>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</si>
  <si>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</si>
  <si>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</si>
  <si>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</si>
  <si>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</si>
  <si>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</si>
  <si>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</si>
  <si>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</si>
  <si>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</si>
  <si>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</si>
  <si>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</si>
  <si>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</si>
  <si>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</si>
  <si>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</si>
  <si>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</si>
  <si>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</si>
  <si>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</si>
  <si>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</si>
  <si>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</si>
  <si>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</si>
  <si>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</si>
  <si>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</si>
  <si>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</si>
  <si>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</si>
  <si>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</si>
  <si>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</si>
  <si>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</si>
  <si>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</si>
  <si>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</si>
  <si>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</si>
  <si>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</si>
  <si>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</si>
  <si>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</si>
  <si>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</si>
  <si>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</si>
  <si>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</si>
  <si>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</si>
  <si>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</si>
  <si>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</si>
  <si>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</si>
  <si>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</si>
  <si>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</si>
  <si>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</si>
  <si>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</si>
  <si>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</si>
  <si>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</si>
  <si>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</si>
  <si>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</si>
  <si>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</si>
  <si>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</si>
  <si>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</si>
  <si>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</si>
  <si>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</si>
  <si>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</si>
  <si>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</si>
  <si>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</si>
  <si>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</si>
  <si>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</si>
  <si>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</si>
  <si>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</si>
  <si>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</si>
  <si>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</si>
  <si>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</si>
  <si>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</si>
  <si>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</si>
  <si>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</si>
  <si>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</si>
  <si>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</si>
  <si>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</si>
  <si>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</si>
  <si>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</si>
  <si>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</si>
  <si>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</si>
  <si>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</si>
  <si>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</si>
  <si>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</si>
  <si>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</si>
  <si>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</si>
  <si>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</si>
  <si>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</si>
  <si>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</si>
  <si>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</si>
  <si>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</si>
  <si>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</si>
  <si>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</si>
  <si>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</si>
  <si>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</si>
  <si>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</si>
  <si>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</si>
  <si>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</si>
  <si>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</si>
  <si>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</si>
  <si>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</si>
  <si>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</si>
  <si>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</si>
  <si>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</si>
  <si>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</si>
  <si>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</si>
  <si>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</si>
  <si>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</si>
  <si>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</si>
  <si>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</si>
  <si>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</si>
  <si>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</si>
  <si>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</si>
  <si>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</si>
  <si>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</si>
  <si>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</si>
  <si>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</si>
  <si>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</si>
  <si>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</si>
  <si>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</si>
  <si>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</si>
  <si>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</si>
  <si>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</si>
  <si>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</si>
  <si>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</si>
  <si>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</si>
  <si>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</si>
  <si>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</si>
  <si>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</si>
  <si>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</si>
  <si>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</si>
  <si>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</si>
  <si>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</si>
  <si>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</si>
  <si>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</si>
  <si>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</si>
  <si>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</si>
  <si>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</si>
  <si>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</si>
  <si>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</si>
  <si>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</si>
  <si>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</si>
  <si>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</si>
  <si>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</si>
  <si>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</si>
  <si>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</si>
  <si>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</si>
  <si>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</si>
  <si>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</si>
  <si>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</si>
  <si>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</si>
  <si>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</si>
  <si>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</si>
  <si>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</si>
  <si>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</si>
  <si>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</si>
  <si>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</si>
  <si>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</si>
  <si>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</si>
  <si>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</si>
  <si>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</si>
  <si>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</si>
  <si>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</si>
  <si>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</si>
  <si>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</si>
  <si>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</si>
  <si>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</si>
  <si>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</si>
  <si>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</si>
  <si>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</si>
  <si>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</si>
  <si>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</si>
  <si>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</si>
  <si>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</si>
  <si>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</si>
  <si>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</si>
  <si>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</si>
  <si>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</si>
  <si>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</si>
  <si>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</si>
  <si>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</si>
  <si>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</si>
  <si>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</si>
  <si>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</si>
  <si>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</si>
  <si>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</si>
  <si>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</si>
  <si>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</si>
  <si>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</si>
  <si>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</si>
  <si>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</si>
  <si>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</si>
  <si>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</si>
  <si>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</si>
  <si>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</si>
  <si>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</si>
  <si>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</si>
  <si>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</si>
  <si>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</si>
  <si>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</si>
  <si>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</si>
  <si>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</si>
  <si>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</si>
  <si>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</si>
  <si>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</si>
  <si>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</si>
  <si>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</si>
  <si>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</si>
  <si>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</si>
  <si>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</si>
  <si>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</si>
  <si>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</si>
  <si>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</si>
  <si>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</si>
  <si>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</si>
  <si>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</si>
  <si>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</si>
  <si>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</si>
  <si>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</si>
  <si>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</si>
  <si>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</si>
  <si>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</si>
  <si>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</si>
  <si>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</si>
  <si>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</si>
  <si>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</si>
  <si>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</si>
  <si>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</si>
  <si>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</si>
  <si>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</si>
  <si>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</si>
  <si>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</si>
  <si>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</si>
  <si>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</si>
  <si>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</si>
  <si>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</si>
  <si>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</si>
  <si>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</si>
  <si>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</si>
  <si>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</si>
  <si>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</si>
  <si>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</si>
  <si>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</si>
  <si>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</si>
  <si>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</si>
  <si>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</si>
  <si>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</si>
  <si>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</si>
  <si>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</si>
  <si>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</si>
  <si>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</si>
  <si>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</si>
  <si>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</si>
  <si>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</si>
  <si>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</si>
  <si>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</si>
  <si>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</si>
  <si>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</si>
  <si>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</si>
  <si>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</si>
  <si>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</si>
  <si>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</si>
  <si>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</si>
  <si>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</si>
  <si>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</si>
  <si>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</si>
  <si>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</si>
  <si>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</si>
  <si>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</si>
  <si>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</si>
  <si>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</si>
  <si>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</si>
  <si>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</si>
  <si>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</si>
  <si>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</si>
  <si>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</si>
  <si>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</si>
  <si>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</si>
  <si>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</si>
  <si>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</si>
  <si>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</si>
  <si>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</si>
  <si>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</si>
  <si>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</si>
  <si>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</si>
  <si>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</si>
  <si>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</si>
  <si>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</si>
  <si>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</si>
  <si>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</si>
  <si>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</si>
  <si>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</si>
  <si>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</si>
  <si>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</si>
  <si>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</si>
  <si>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</si>
  <si>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</si>
  <si>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</si>
  <si>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</si>
  <si>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</si>
  <si>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</si>
  <si>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</si>
  <si>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</si>
  <si>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</si>
  <si>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</si>
  <si>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</si>
  <si>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</si>
  <si>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</si>
  <si>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</si>
  <si>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</si>
  <si>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</si>
  <si>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</si>
  <si>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</si>
  <si>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</si>
  <si>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</si>
  <si>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</si>
  <si>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</si>
  <si>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</si>
  <si>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</si>
  <si>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</si>
  <si>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</si>
  <si>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</si>
  <si>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</si>
  <si>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</si>
  <si>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</si>
  <si>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</si>
  <si>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</si>
  <si>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</si>
  <si>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</si>
  <si>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</si>
  <si>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</si>
  <si>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</si>
  <si>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</si>
  <si>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</si>
  <si>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</si>
  <si>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</si>
  <si>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</si>
  <si>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</si>
  <si>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</si>
  <si>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</si>
  <si>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</si>
  <si>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</si>
  <si>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</si>
  <si>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</si>
  <si>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</si>
  <si>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</si>
  <si>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</si>
  <si>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</si>
  <si>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</si>
  <si>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</si>
  <si>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</si>
  <si>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</si>
  <si>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</si>
  <si>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</si>
  <si>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</si>
  <si>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</si>
  <si>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</si>
  <si>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</si>
  <si>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</si>
  <si>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</si>
  <si>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</si>
  <si>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</si>
  <si>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</si>
  <si>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</si>
  <si>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</si>
  <si>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</si>
  <si>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</si>
  <si>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</si>
  <si>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</si>
  <si>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</si>
  <si>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</si>
  <si>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</si>
  <si>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</si>
  <si>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</si>
  <si>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</si>
  <si>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</si>
  <si>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</si>
  <si>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</si>
  <si>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</si>
  <si>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</si>
  <si>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</si>
  <si>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</si>
  <si>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</si>
  <si>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</si>
  <si>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</si>
  <si>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</si>
  <si>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</si>
  <si>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</si>
  <si>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</si>
  <si>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</si>
  <si>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</si>
  <si>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</si>
  <si>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</si>
  <si>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</si>
  <si>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</si>
  <si>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</si>
  <si>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</si>
  <si>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</si>
  <si>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</si>
  <si>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</si>
  <si>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</si>
  <si>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</si>
  <si>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</si>
  <si>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</si>
  <si>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</si>
  <si>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</si>
  <si>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</si>
  <si>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</si>
  <si>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</si>
  <si>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</si>
  <si>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</si>
  <si>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</si>
  <si>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</si>
  <si>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</si>
  <si>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</si>
  <si>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</si>
  <si>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</si>
  <si>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</si>
  <si>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</si>
  <si>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</si>
  <si>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</si>
  <si>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</si>
  <si>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</si>
  <si>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</si>
  <si>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</si>
  <si>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</si>
  <si>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</si>
  <si>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</si>
  <si>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</si>
  <si>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</si>
  <si>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</si>
  <si>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</si>
  <si>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</si>
  <si>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</si>
  <si>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</si>
  <si>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</si>
  <si>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</si>
  <si>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</si>
  <si>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</si>
  <si>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</si>
  <si>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</si>
  <si>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</si>
  <si>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</si>
  <si>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</si>
  <si>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</si>
  <si>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</si>
  <si>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</si>
  <si>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</si>
  <si>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</si>
  <si>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</si>
  <si>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</si>
  <si>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</si>
  <si>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</si>
  <si>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</si>
  <si>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</si>
  <si>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</si>
  <si>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</si>
  <si>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</si>
  <si>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</si>
  <si>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</si>
  <si>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</si>
  <si>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</si>
  <si>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</si>
  <si>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</si>
  <si>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</si>
  <si>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</si>
  <si>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</si>
  <si>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</si>
  <si>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</si>
  <si>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</si>
  <si>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</si>
  <si>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</si>
  <si>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</si>
  <si>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</si>
  <si>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</si>
  <si>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</si>
  <si>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</si>
  <si>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</si>
  <si>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</si>
  <si>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</si>
  <si>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</si>
  <si>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</si>
  <si>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</si>
  <si>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</si>
  <si>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</si>
  <si>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</si>
  <si>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</si>
  <si>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</si>
  <si>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</si>
  <si>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</si>
  <si>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</si>
  <si>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</si>
  <si>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</si>
  <si>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</si>
  <si>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</si>
  <si>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</si>
  <si>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</si>
  <si>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</si>
  <si>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</si>
  <si>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</si>
  <si>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</si>
  <si>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</si>
  <si>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</si>
  <si>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</si>
  <si>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</si>
  <si>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</si>
  <si>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</si>
  <si>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</si>
  <si>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</si>
  <si>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</si>
  <si>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</si>
  <si>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</si>
  <si>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</si>
  <si>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</si>
  <si>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</si>
  <si>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</si>
  <si>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</si>
  <si>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</si>
  <si>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</si>
  <si>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</si>
  <si>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</si>
  <si>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</si>
  <si>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</si>
  <si>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</si>
  <si>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</si>
  <si>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</si>
  <si>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</si>
  <si>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</si>
  <si>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</si>
  <si>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</si>
  <si>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</si>
  <si>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</si>
  <si>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</si>
  <si>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</si>
  <si>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</si>
  <si>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</si>
  <si>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</si>
  <si>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</si>
  <si>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</si>
  <si>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</si>
  <si>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</si>
  <si>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</si>
  <si>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</si>
  <si>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</si>
  <si>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</si>
  <si>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</si>
  <si>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</si>
  <si>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</si>
  <si>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</si>
  <si>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</si>
  <si>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</si>
  <si>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</si>
  <si>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</si>
  <si>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</si>
  <si>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</si>
  <si>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</si>
  <si>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</si>
  <si>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</si>
  <si>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</si>
  <si>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</si>
  <si>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</si>
  <si>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</si>
  <si>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</si>
  <si>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</si>
  <si>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</si>
  <si>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</si>
  <si>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</si>
  <si>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</si>
  <si>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</si>
  <si>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</si>
  <si>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</si>
  <si>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</si>
  <si>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</si>
  <si>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</si>
  <si>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</si>
  <si>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</si>
  <si>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</si>
  <si>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</si>
  <si>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</si>
  <si>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</si>
  <si>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</si>
  <si>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</si>
  <si>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</si>
  <si>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</si>
  <si>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</si>
  <si>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</si>
  <si>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</si>
  <si>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</si>
  <si>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</si>
  <si>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</si>
  <si>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</si>
  <si>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</si>
  <si>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</si>
  <si>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</si>
  <si>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</si>
  <si>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</si>
  <si>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</si>
  <si>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</si>
  <si>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</si>
  <si>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</si>
  <si>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</si>
  <si>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See list below</t>
  </si>
  <si>
    <t>Eagle Ridge Vocational Delivery System</t>
  </si>
  <si>
    <t xml:space="preserve">Account </t>
  </si>
  <si>
    <t xml:space="preserve">Page </t>
  </si>
  <si>
    <t xml:space="preserve">Fund </t>
  </si>
  <si>
    <t xml:space="preserve">Line </t>
  </si>
  <si>
    <t>Preschool Tuition</t>
  </si>
  <si>
    <t xml:space="preserve">Perkins grant </t>
  </si>
  <si>
    <t>x</t>
  </si>
  <si>
    <t xml:space="preserve">Jo Daviess </t>
  </si>
  <si>
    <t>950 US HWY 20 West, P.O. Box 602</t>
  </si>
  <si>
    <t xml:space="preserve">Elizabeth </t>
  </si>
  <si>
    <t xml:space="preserve">Benning Group, LLC </t>
  </si>
  <si>
    <t xml:space="preserve">Jenny L. Blocker </t>
  </si>
  <si>
    <t>50 W. Douglas Street, Suite 801</t>
  </si>
  <si>
    <t xml:space="preserve">Freeport </t>
  </si>
  <si>
    <t>IL</t>
  </si>
  <si>
    <t>066-004238</t>
  </si>
  <si>
    <t>jblocker@benninggroup.com</t>
  </si>
  <si>
    <t xml:space="preserve">Aaron Mercier </t>
  </si>
  <si>
    <t>amercier@roe8.org</t>
  </si>
  <si>
    <t>Kris Hall</t>
  </si>
  <si>
    <t>khall@cteacademy.net</t>
  </si>
  <si>
    <t>BENNING GROUP, LLC</t>
  </si>
  <si>
    <t>No contract obligations</t>
  </si>
  <si>
    <t xml:space="preserve">Scales Mound CUSD #211, Stockton CUSD #206, Warren CUSD #205, Galena CUSD #120, River Ridge CUSD #210, West Carroll CUSD #314 </t>
  </si>
  <si>
    <t xml:space="preserve">Jo Daviess Carroll CTE Academy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</si>
</sst>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5" fillId="0" borderId="0" xfId="0" applyFont="1" applyAlignment="1">
      <alignment horizontal="center"/>
    </xf>
    <xf numFmtId="44" fontId="55" fillId="0" borderId="166" xfId="19" applyFont="1" applyBorder="1"/>
    <xf numFmtId="0" fontId="1" fillId="0" borderId="158" xfId="17" applyFont="1" applyBorder="1" applyAlignment="1" applyProtection="1">
      <alignment horizontal="left" vertical="top" wrapText="1"/>
      <protection locked="0"/>
    </xf>
    <xf numFmtId="0" fontId="63" fillId="0" borderId="0" xfId="0" applyFont="1" applyAlignment="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1342159</xdr:colOff>
          <xdr:row>2</xdr:row>
          <xdr:rowOff>69273</xdr:rowOff>
        </xdr:from>
        <xdr:to>
          <xdr:col>1</xdr:col>
          <xdr:colOff>2256559</xdr:colOff>
          <xdr:row>7</xdr:row>
          <xdr:rowOff>28575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2" t="s">
        <v>425</v>
      </c>
      <c r="J1" s="2003"/>
      <c r="K1" s="2003"/>
      <c r="L1" s="2003"/>
      <c r="M1" s="2003"/>
      <c r="N1" s="2003"/>
      <c r="O1" s="2003"/>
      <c r="P1" s="2003"/>
      <c r="Q1" s="2003"/>
      <c r="R1" s="2003"/>
      <c r="S1" s="2003"/>
    </row>
    <row r="2" spans="1:28" ht="12" customHeight="1" x14ac:dyDescent="0.2">
      <c r="A2" s="47" t="s">
        <v>1684</v>
      </c>
      <c r="D2" s="48"/>
      <c r="I2" s="2004" t="s">
        <v>1036</v>
      </c>
      <c r="J2" s="2003"/>
      <c r="K2" s="2003"/>
      <c r="L2" s="2003"/>
      <c r="M2" s="2003"/>
      <c r="N2" s="2003"/>
      <c r="O2" s="2003"/>
      <c r="P2" s="2003"/>
      <c r="Q2" s="2003"/>
      <c r="R2" s="2003"/>
      <c r="S2" s="2003"/>
    </row>
    <row r="3" spans="1:28" ht="12" customHeight="1" x14ac:dyDescent="0.2">
      <c r="A3" s="155" t="s">
        <v>1685</v>
      </c>
      <c r="B3" s="156"/>
      <c r="C3" s="156"/>
      <c r="D3" s="157"/>
      <c r="I3" s="2004" t="s">
        <v>54</v>
      </c>
      <c r="J3" s="2003"/>
      <c r="K3" s="2003"/>
      <c r="L3" s="2003"/>
      <c r="M3" s="2003"/>
      <c r="N3" s="2003"/>
      <c r="O3" s="2003"/>
      <c r="P3" s="2003"/>
      <c r="Q3" s="2003"/>
      <c r="R3" s="2003"/>
      <c r="S3" s="2003"/>
    </row>
    <row r="4" spans="1:28" ht="12" customHeight="1" x14ac:dyDescent="0.2">
      <c r="A4" s="37"/>
      <c r="I4" s="2004" t="s">
        <v>545</v>
      </c>
      <c r="J4" s="2003"/>
      <c r="K4" s="2003"/>
      <c r="L4" s="2003"/>
      <c r="M4" s="2003"/>
      <c r="N4" s="2003"/>
      <c r="O4" s="2003"/>
      <c r="P4" s="2003"/>
      <c r="Q4" s="2003"/>
      <c r="R4" s="2003"/>
      <c r="S4" s="2003"/>
    </row>
    <row r="5" spans="1:28" ht="14.1" customHeight="1" x14ac:dyDescent="0.2">
      <c r="B5" s="104"/>
      <c r="C5" s="26" t="s">
        <v>966</v>
      </c>
      <c r="D5" s="84"/>
      <c r="E5" s="84"/>
      <c r="H5" s="38"/>
      <c r="I5" s="2012" t="s">
        <v>701</v>
      </c>
      <c r="J5" s="2011"/>
      <c r="K5" s="2011"/>
      <c r="L5" s="2011"/>
      <c r="M5" s="2011"/>
      <c r="N5" s="2011"/>
      <c r="O5" s="2011"/>
      <c r="P5" s="2011"/>
      <c r="Q5" s="2011"/>
      <c r="R5" s="2011"/>
      <c r="S5" s="2011"/>
    </row>
    <row r="6" spans="1:28" ht="14.1" customHeight="1" x14ac:dyDescent="0.2">
      <c r="B6" s="104" t="s">
        <v>2085</v>
      </c>
      <c r="C6" s="26" t="s">
        <v>967</v>
      </c>
      <c r="D6" s="84"/>
      <c r="E6" s="84"/>
      <c r="I6" s="2010" t="s">
        <v>938</v>
      </c>
      <c r="J6" s="2011"/>
      <c r="K6" s="2011"/>
      <c r="L6" s="2011"/>
      <c r="M6" s="2011"/>
      <c r="N6" s="2011"/>
      <c r="O6" s="2011"/>
      <c r="P6" s="2011"/>
      <c r="Q6" s="2011"/>
      <c r="R6" s="2011"/>
      <c r="S6" s="2011"/>
    </row>
    <row r="7" spans="1:28" ht="12.2" customHeight="1" x14ac:dyDescent="0.2">
      <c r="I7" s="2005">
        <v>43281</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695</v>
      </c>
      <c r="J9" s="2008"/>
      <c r="K9" s="2008"/>
      <c r="L9" s="2008"/>
      <c r="M9" s="2008"/>
      <c r="N9" s="2008"/>
      <c r="O9" s="2008"/>
      <c r="P9" s="2008"/>
      <c r="Q9" s="2008"/>
      <c r="R9" s="2008"/>
      <c r="S9" s="2009"/>
      <c r="T9" s="2023" t="s">
        <v>554</v>
      </c>
      <c r="U9" s="2024"/>
      <c r="V9" s="2024"/>
      <c r="W9" s="2024"/>
      <c r="X9" s="2024"/>
      <c r="Y9" s="2024"/>
      <c r="Z9" s="2024"/>
      <c r="AA9" s="2025"/>
    </row>
    <row r="10" spans="1:28" ht="13.5" customHeight="1" x14ac:dyDescent="0.2">
      <c r="A10" s="2030" t="s">
        <v>696</v>
      </c>
      <c r="B10" s="2031"/>
      <c r="C10" s="2031"/>
      <c r="D10" s="2031"/>
      <c r="E10" s="2031"/>
      <c r="F10" s="2031"/>
      <c r="G10" s="2031"/>
      <c r="H10" s="2032"/>
      <c r="I10" s="29"/>
      <c r="J10" s="30"/>
      <c r="K10" s="28"/>
      <c r="R10" s="30"/>
      <c r="S10" s="30"/>
      <c r="T10" s="2026"/>
      <c r="U10" s="2011"/>
      <c r="V10" s="2011"/>
      <c r="W10" s="2011"/>
      <c r="X10" s="2011"/>
      <c r="Y10" s="2011"/>
      <c r="Z10" s="2011"/>
      <c r="AA10" s="2017"/>
    </row>
    <row r="11" spans="1:28" ht="14.25" customHeight="1" x14ac:dyDescent="0.2">
      <c r="A11" s="2033" t="s">
        <v>1012</v>
      </c>
      <c r="B11" s="2034"/>
      <c r="C11" s="2034"/>
      <c r="D11" s="2034"/>
      <c r="E11" s="2034"/>
      <c r="F11" s="2034"/>
      <c r="G11" s="2034"/>
      <c r="H11" s="2035"/>
      <c r="I11" s="27"/>
      <c r="J11" s="74"/>
      <c r="K11" s="27"/>
      <c r="O11" s="148" t="s">
        <v>2085</v>
      </c>
      <c r="P11" s="100" t="s">
        <v>210</v>
      </c>
      <c r="Q11" s="30"/>
      <c r="R11" s="28"/>
      <c r="S11" s="27"/>
      <c r="T11" s="2027"/>
      <c r="U11" s="2028"/>
      <c r="V11" s="2028"/>
      <c r="W11" s="2028"/>
      <c r="X11" s="2028"/>
      <c r="Y11" s="2028"/>
      <c r="Z11" s="2028"/>
      <c r="AA11" s="202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7">
        <v>8043790040</v>
      </c>
      <c r="B13" s="2038"/>
      <c r="C13" s="2038"/>
      <c r="D13" s="2038"/>
      <c r="E13" s="2038"/>
      <c r="F13" s="2038"/>
      <c r="G13" s="2038"/>
      <c r="H13" s="2039"/>
      <c r="I13" s="31"/>
      <c r="J13" s="30"/>
      <c r="K13" s="28"/>
      <c r="L13" s="30"/>
      <c r="M13" s="30"/>
      <c r="N13" s="30"/>
      <c r="O13" s="30"/>
      <c r="P13" s="30"/>
      <c r="Q13" s="30"/>
      <c r="R13" s="30"/>
      <c r="S13" s="30"/>
      <c r="T13" s="2042" t="s">
        <v>2089</v>
      </c>
      <c r="U13" s="2043"/>
      <c r="V13" s="2043"/>
      <c r="W13" s="2043"/>
      <c r="X13" s="2043"/>
      <c r="Y13" s="2044"/>
      <c r="Z13" s="2044"/>
      <c r="AA13" s="204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6" t="s">
        <v>2086</v>
      </c>
      <c r="B15" s="2040"/>
      <c r="C15" s="2040"/>
      <c r="D15" s="2040"/>
      <c r="E15" s="2040"/>
      <c r="F15" s="2040"/>
      <c r="G15" s="2040"/>
      <c r="H15" s="2041"/>
      <c r="T15" s="2046" t="s">
        <v>2090</v>
      </c>
      <c r="U15" s="1990"/>
      <c r="V15" s="1990"/>
      <c r="W15" s="1990"/>
      <c r="X15" s="1990"/>
      <c r="Y15" s="2047"/>
      <c r="Z15" s="2047"/>
      <c r="AA15" s="204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6" t="s">
        <v>2103</v>
      </c>
      <c r="B17" s="1997"/>
      <c r="C17" s="1997"/>
      <c r="D17" s="1997"/>
      <c r="E17" s="1997"/>
      <c r="F17" s="1997"/>
      <c r="G17" s="1997"/>
      <c r="H17" s="2022"/>
      <c r="T17" s="2053" t="s">
        <v>2091</v>
      </c>
      <c r="U17" s="2054"/>
      <c r="V17" s="2054"/>
      <c r="W17" s="2054"/>
      <c r="X17" s="2054"/>
      <c r="Y17" s="2054"/>
      <c r="Z17" s="2054"/>
      <c r="AA17" s="2055"/>
    </row>
    <row r="18" spans="1:27" ht="13.5" customHeight="1" x14ac:dyDescent="0.2">
      <c r="A18" s="85" t="s">
        <v>551</v>
      </c>
      <c r="B18" s="76"/>
      <c r="C18" s="72"/>
      <c r="D18" s="76"/>
      <c r="E18" s="76"/>
      <c r="F18" s="76"/>
      <c r="G18" s="76"/>
      <c r="H18" s="56"/>
      <c r="I18" s="2021" t="s">
        <v>697</v>
      </c>
      <c r="J18" s="1972"/>
      <c r="K18" s="1972"/>
      <c r="L18" s="1972"/>
      <c r="M18" s="1972"/>
      <c r="N18" s="1972"/>
      <c r="O18" s="1972"/>
      <c r="P18" s="1972"/>
      <c r="Q18" s="1972"/>
      <c r="R18" s="1972"/>
      <c r="S18" s="1973"/>
      <c r="T18" s="85" t="s">
        <v>735</v>
      </c>
      <c r="U18" s="51"/>
      <c r="V18" s="72"/>
      <c r="W18" s="50"/>
      <c r="X18" s="85" t="s">
        <v>284</v>
      </c>
      <c r="Y18" s="81"/>
      <c r="Z18" s="159" t="s">
        <v>698</v>
      </c>
      <c r="AA18" s="46"/>
    </row>
    <row r="19" spans="1:27" ht="13.5" customHeight="1" x14ac:dyDescent="0.2">
      <c r="A19" s="2036" t="s">
        <v>2087</v>
      </c>
      <c r="B19" s="1982"/>
      <c r="C19" s="1982"/>
      <c r="D19" s="1982"/>
      <c r="E19" s="1982"/>
      <c r="F19" s="1982"/>
      <c r="G19" s="1982"/>
      <c r="H19" s="1962"/>
      <c r="I19" s="30"/>
      <c r="J19" s="99"/>
      <c r="K19" s="40"/>
      <c r="L19" s="38"/>
      <c r="M19" s="112" t="s">
        <v>333</v>
      </c>
      <c r="P19" s="27"/>
      <c r="Q19" s="27"/>
      <c r="R19" s="27"/>
      <c r="S19" s="31"/>
      <c r="T19" s="2036" t="s">
        <v>2092</v>
      </c>
      <c r="U19" s="1961"/>
      <c r="V19" s="1961"/>
      <c r="W19" s="1962"/>
      <c r="X19" s="2051" t="s">
        <v>2093</v>
      </c>
      <c r="Y19" s="2052"/>
      <c r="Z19" s="2049">
        <v>61032</v>
      </c>
      <c r="AA19" s="205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0" t="s">
        <v>2088</v>
      </c>
      <c r="B21" s="1961"/>
      <c r="C21" s="1961"/>
      <c r="D21" s="1961"/>
      <c r="E21" s="1961"/>
      <c r="F21" s="1961"/>
      <c r="G21" s="1961"/>
      <c r="H21" s="1962"/>
      <c r="I21" s="2016" t="s">
        <v>699</v>
      </c>
      <c r="J21" s="2011"/>
      <c r="K21" s="2011"/>
      <c r="L21" s="2011"/>
      <c r="M21" s="2011"/>
      <c r="N21" s="2011"/>
      <c r="O21" s="2011"/>
      <c r="P21" s="2011"/>
      <c r="Q21" s="2011"/>
      <c r="R21" s="2011"/>
      <c r="S21" s="2017"/>
      <c r="T21" s="2060">
        <v>8152353157</v>
      </c>
      <c r="U21" s="2061"/>
      <c r="V21" s="2061"/>
      <c r="W21" s="2061"/>
      <c r="X21" s="2066">
        <v>8152353158</v>
      </c>
      <c r="Y21" s="2067"/>
      <c r="Z21" s="2067"/>
      <c r="AA21" s="2068"/>
    </row>
    <row r="22" spans="1:27" ht="13.5" customHeight="1" x14ac:dyDescent="0.2">
      <c r="A22" s="87" t="s">
        <v>552</v>
      </c>
      <c r="B22" s="59"/>
      <c r="C22" s="59"/>
      <c r="D22" s="59"/>
      <c r="E22" s="59"/>
      <c r="F22" s="59"/>
      <c r="G22" s="59"/>
      <c r="H22" s="60"/>
      <c r="I22" s="2018" t="s">
        <v>1504</v>
      </c>
      <c r="J22" s="2019"/>
      <c r="K22" s="2019"/>
      <c r="L22" s="2019"/>
      <c r="M22" s="2019"/>
      <c r="N22" s="2019"/>
      <c r="O22" s="2019"/>
      <c r="P22" s="2019"/>
      <c r="Q22" s="2019"/>
      <c r="R22" s="2019"/>
      <c r="S22" s="2020"/>
      <c r="T22" s="85" t="s">
        <v>1596</v>
      </c>
      <c r="U22" s="51"/>
      <c r="V22" s="72"/>
      <c r="W22" s="51"/>
      <c r="X22" s="160" t="s">
        <v>1385</v>
      </c>
      <c r="Z22" s="45"/>
      <c r="AA22" s="46"/>
    </row>
    <row r="23" spans="1:27" ht="13.5" customHeight="1" x14ac:dyDescent="0.2">
      <c r="A23" s="2013"/>
      <c r="B23" s="2014"/>
      <c r="C23" s="2014"/>
      <c r="D23" s="2014"/>
      <c r="E23" s="2014"/>
      <c r="F23" s="2014"/>
      <c r="G23" s="2014"/>
      <c r="H23" s="2015"/>
      <c r="T23" s="1996" t="s">
        <v>2094</v>
      </c>
      <c r="U23" s="2059"/>
      <c r="V23" s="2059"/>
      <c r="W23" s="2059"/>
      <c r="X23" s="2063">
        <v>43434</v>
      </c>
      <c r="Y23" s="2064"/>
      <c r="Z23" s="2064"/>
      <c r="AA23" s="2065"/>
    </row>
    <row r="24" spans="1:27" ht="14.1" customHeight="1" x14ac:dyDescent="0.2">
      <c r="A24" s="88" t="s">
        <v>698</v>
      </c>
      <c r="B24" s="49"/>
      <c r="C24" s="49"/>
      <c r="D24" s="49"/>
      <c r="E24" s="49"/>
      <c r="F24" s="49"/>
      <c r="G24" s="49"/>
      <c r="H24" s="61"/>
      <c r="J24" s="1983" t="str">
        <f>IF(B5="x",IF(AUDITCHECK!D29="AFR form Incomplete.","",IF(AUDITCHECK!D29="Deficit reduction plan is required.","School District must complete a deficit reduction plan in the 2018-2019 Budget",)),"")</f>
        <v/>
      </c>
      <c r="K24" s="1983"/>
      <c r="L24" s="1983"/>
      <c r="M24" s="1983"/>
      <c r="N24" s="1983"/>
      <c r="O24" s="1983"/>
      <c r="P24" s="1983"/>
      <c r="Q24" s="1983"/>
      <c r="R24" s="1983"/>
      <c r="S24" s="1984"/>
      <c r="T24" s="105" t="s">
        <v>552</v>
      </c>
      <c r="U24" s="106"/>
      <c r="V24" s="106"/>
      <c r="W24" s="106"/>
      <c r="X24" s="107"/>
      <c r="Y24" s="107"/>
      <c r="Z24" s="107"/>
      <c r="AA24" s="108"/>
    </row>
    <row r="25" spans="1:27" ht="14.1" customHeight="1" x14ac:dyDescent="0.2">
      <c r="A25" s="1960">
        <v>61028</v>
      </c>
      <c r="B25" s="1961"/>
      <c r="C25" s="1961"/>
      <c r="D25" s="1961"/>
      <c r="E25" s="1961"/>
      <c r="F25" s="1961"/>
      <c r="G25" s="1961"/>
      <c r="H25" s="1962"/>
      <c r="I25" s="113"/>
      <c r="J25" s="1985"/>
      <c r="K25" s="1985"/>
      <c r="L25" s="1985"/>
      <c r="M25" s="1985"/>
      <c r="N25" s="1985"/>
      <c r="O25" s="1985"/>
      <c r="P25" s="1985"/>
      <c r="Q25" s="1985"/>
      <c r="R25" s="1985"/>
      <c r="S25" s="1986"/>
      <c r="T25" s="2056" t="s">
        <v>2095</v>
      </c>
      <c r="U25" s="2057"/>
      <c r="V25" s="2057"/>
      <c r="W25" s="2057"/>
      <c r="X25" s="2057"/>
      <c r="Y25" s="2057"/>
      <c r="Z25" s="2057"/>
      <c r="AA25" s="20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1" t="s">
        <v>1591</v>
      </c>
      <c r="J27" s="1972"/>
      <c r="K27" s="1972"/>
      <c r="L27" s="1972"/>
      <c r="M27" s="1972"/>
      <c r="N27" s="1972"/>
      <c r="O27" s="1972"/>
      <c r="P27" s="1972"/>
      <c r="Q27" s="1972"/>
      <c r="R27" s="1972"/>
      <c r="S27" s="197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2085</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2085</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2085</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2"/>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6" t="s">
        <v>2098</v>
      </c>
      <c r="B38" s="1997"/>
      <c r="C38" s="1997"/>
      <c r="D38" s="1997"/>
      <c r="E38" s="1997"/>
      <c r="F38" s="1961"/>
      <c r="G38" s="1961"/>
      <c r="H38" s="1962"/>
      <c r="I38" s="1989"/>
      <c r="J38" s="1990"/>
      <c r="K38" s="1990"/>
      <c r="L38" s="1990"/>
      <c r="M38" s="1990"/>
      <c r="N38" s="1990"/>
      <c r="O38" s="1990"/>
      <c r="P38" s="1991"/>
      <c r="Q38" s="1991"/>
      <c r="R38" s="1991"/>
      <c r="S38" s="1992"/>
      <c r="T38" s="2046" t="s">
        <v>2096</v>
      </c>
      <c r="U38" s="1990"/>
      <c r="V38" s="1990"/>
      <c r="W38" s="1990"/>
      <c r="X38" s="1991"/>
      <c r="Y38" s="1991"/>
      <c r="Z38" s="1991"/>
      <c r="AA38" s="1992"/>
    </row>
    <row r="39" spans="1:27" ht="12" customHeight="1" x14ac:dyDescent="0.2">
      <c r="A39" s="1966" t="s">
        <v>552</v>
      </c>
      <c r="B39" s="1967"/>
      <c r="C39" s="72"/>
      <c r="D39" s="69"/>
      <c r="E39" s="69"/>
      <c r="F39" s="79"/>
      <c r="G39" s="69"/>
      <c r="H39" s="56"/>
      <c r="I39" s="1966" t="s">
        <v>552</v>
      </c>
      <c r="J39" s="1967"/>
      <c r="K39" s="1967"/>
      <c r="L39" s="1967"/>
      <c r="M39" s="1967"/>
      <c r="N39" s="67"/>
      <c r="O39" s="72"/>
      <c r="P39" s="72"/>
      <c r="Q39" s="78"/>
      <c r="R39" s="72"/>
      <c r="S39" s="56"/>
      <c r="T39" s="72" t="s">
        <v>552</v>
      </c>
      <c r="U39" s="51"/>
      <c r="V39" s="72"/>
      <c r="W39" s="50"/>
      <c r="X39" s="78"/>
      <c r="Y39" s="45"/>
      <c r="Z39" s="45"/>
      <c r="AA39" s="46"/>
    </row>
    <row r="40" spans="1:27" ht="13.5" customHeight="1" x14ac:dyDescent="0.2">
      <c r="A40" s="1974" t="s">
        <v>2099</v>
      </c>
      <c r="B40" s="1975"/>
      <c r="C40" s="1976"/>
      <c r="D40" s="1976"/>
      <c r="E40" s="1976"/>
      <c r="F40" s="1977"/>
      <c r="G40" s="1977"/>
      <c r="H40" s="1978"/>
      <c r="I40" s="1999"/>
      <c r="J40" s="2000"/>
      <c r="K40" s="2000"/>
      <c r="L40" s="2000"/>
      <c r="M40" s="2000"/>
      <c r="N40" s="2000"/>
      <c r="O40" s="2000"/>
      <c r="P40" s="2000"/>
      <c r="Q40" s="2000"/>
      <c r="R40" s="2000"/>
      <c r="S40" s="2001"/>
      <c r="T40" s="1999" t="s">
        <v>2097</v>
      </c>
      <c r="U40" s="2062"/>
      <c r="V40" s="2000"/>
      <c r="W40" s="2000"/>
      <c r="X40" s="2000"/>
      <c r="Y40" s="2000"/>
      <c r="Z40" s="2000"/>
      <c r="AA40" s="200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8">
        <v>8158582203</v>
      </c>
      <c r="B42" s="1980"/>
      <c r="C42" s="1981"/>
      <c r="D42" s="1979">
        <v>8158582316</v>
      </c>
      <c r="E42" s="1980"/>
      <c r="F42" s="1980"/>
      <c r="G42" s="1980"/>
      <c r="H42" s="1981"/>
      <c r="I42" s="1963"/>
      <c r="J42" s="1964"/>
      <c r="K42" s="1964"/>
      <c r="L42" s="1964"/>
      <c r="M42" s="1964"/>
      <c r="N42" s="1964"/>
      <c r="O42" s="1965"/>
      <c r="P42" s="1998"/>
      <c r="Q42" s="1964"/>
      <c r="R42" s="1964"/>
      <c r="S42" s="1965"/>
      <c r="T42" s="1963">
        <v>8155991408</v>
      </c>
      <c r="U42" s="1964"/>
      <c r="V42" s="1964"/>
      <c r="W42" s="1965"/>
      <c r="X42" s="1998">
        <v>8152979032</v>
      </c>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Q39" sqref="Q3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1905</v>
      </c>
      <c r="B2" s="1550" t="s">
        <v>2037</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Q39" sqref="Q3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2"/>
    </row>
    <row r="2" spans="1:7" ht="33.75" x14ac:dyDescent="0.2">
      <c r="A2" s="2229" t="s">
        <v>1905</v>
      </c>
      <c r="B2" s="2230"/>
      <c r="C2" s="1909" t="s">
        <v>2038</v>
      </c>
      <c r="D2" s="724" t="s">
        <v>2045</v>
      </c>
      <c r="E2" s="724" t="s">
        <v>2046</v>
      </c>
      <c r="F2" s="1909" t="s">
        <v>2039</v>
      </c>
    </row>
    <row r="3" spans="1:7" ht="15.75" customHeight="1" x14ac:dyDescent="0.2">
      <c r="A3" s="2231" t="s">
        <v>1176</v>
      </c>
      <c r="B3" s="2232"/>
      <c r="C3" s="2225"/>
      <c r="D3" s="2226"/>
      <c r="E3" s="2226"/>
      <c r="F3" s="2227"/>
    </row>
    <row r="4" spans="1:7" ht="12.75" customHeight="1" thickBot="1" x14ac:dyDescent="0.25">
      <c r="A4" s="2219" t="s">
        <v>651</v>
      </c>
      <c r="B4" s="2220"/>
      <c r="C4" s="581"/>
      <c r="D4" s="581"/>
      <c r="E4" s="581"/>
      <c r="F4" s="1777">
        <f>SUM(C4+D4)-E4</f>
        <v>0</v>
      </c>
    </row>
    <row r="5" spans="1:7" ht="15.75" customHeight="1" thickTop="1" x14ac:dyDescent="0.2">
      <c r="A5" s="2223" t="s">
        <v>1172</v>
      </c>
      <c r="B5" s="2218"/>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5" t="s">
        <v>652</v>
      </c>
      <c r="B15" s="2216"/>
      <c r="C15" s="1777">
        <f>SUM(C6:C14)</f>
        <v>0</v>
      </c>
      <c r="D15" s="1777">
        <f>SUM(D6:D14)</f>
        <v>0</v>
      </c>
      <c r="E15" s="1777">
        <f>SUM(E6:E14)</f>
        <v>0</v>
      </c>
      <c r="F15" s="1777">
        <f>SUM(F6:F14)</f>
        <v>0</v>
      </c>
      <c r="G15" s="552"/>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7"/>
      <c r="D17" s="585"/>
      <c r="E17" s="727"/>
      <c r="F17" s="1777">
        <f>SUM(C17+D17)-E17</f>
        <v>0</v>
      </c>
    </row>
    <row r="18" spans="1:11" ht="12.75" customHeight="1" thickTop="1" thickBot="1" x14ac:dyDescent="0.25">
      <c r="A18" s="2210" t="s">
        <v>6</v>
      </c>
      <c r="B18" s="2211"/>
      <c r="C18" s="727"/>
      <c r="D18" s="585"/>
      <c r="E18" s="727"/>
      <c r="F18" s="1777">
        <f>SUM(C18+D18)-E18</f>
        <v>0</v>
      </c>
    </row>
    <row r="19" spans="1:11" ht="12.75" customHeight="1" thickTop="1" thickBot="1" x14ac:dyDescent="0.25">
      <c r="A19" s="2210" t="s">
        <v>406</v>
      </c>
      <c r="B19" s="2211"/>
      <c r="C19" s="727"/>
      <c r="D19" s="585"/>
      <c r="E19" s="727"/>
      <c r="F19" s="1777">
        <f>SUM(C19+D19)-E19</f>
        <v>0</v>
      </c>
    </row>
    <row r="20" spans="1:11" ht="12.75" customHeight="1" thickTop="1" thickBot="1" x14ac:dyDescent="0.25">
      <c r="A20" s="2210" t="s">
        <v>468</v>
      </c>
      <c r="B20" s="2211"/>
      <c r="C20" s="727"/>
      <c r="D20" s="585"/>
      <c r="E20" s="727"/>
      <c r="F20" s="1777">
        <f>SUM(C20+D20)-E20</f>
        <v>0</v>
      </c>
    </row>
    <row r="21" spans="1:11" ht="14.25" thickTop="1" thickBot="1" x14ac:dyDescent="0.25">
      <c r="A21" s="2215" t="s">
        <v>653</v>
      </c>
      <c r="B21" s="2216"/>
      <c r="C21" s="1777">
        <f>SUM(C17:C20)</f>
        <v>0</v>
      </c>
      <c r="D21" s="1777">
        <f>SUM(D17:D20)</f>
        <v>0</v>
      </c>
      <c r="E21" s="1777">
        <f>SUM(E17:E20)</f>
        <v>0</v>
      </c>
      <c r="F21" s="1777">
        <f>SUM(F17:F20)</f>
        <v>0</v>
      </c>
      <c r="G21" s="552"/>
    </row>
    <row r="22" spans="1:11" ht="15.75" customHeight="1" thickTop="1" x14ac:dyDescent="0.2">
      <c r="A22" s="2217" t="s">
        <v>1174</v>
      </c>
      <c r="B22" s="2218"/>
      <c r="C22" s="2212"/>
      <c r="D22" s="2213"/>
      <c r="E22" s="2213"/>
      <c r="F22" s="2214"/>
    </row>
    <row r="23" spans="1:11" ht="13.5" thickBot="1" x14ac:dyDescent="0.25">
      <c r="A23" s="2219" t="s">
        <v>654</v>
      </c>
      <c r="B23" s="2220"/>
      <c r="C23" s="581"/>
      <c r="D23" s="581"/>
      <c r="E23" s="581"/>
      <c r="F23" s="1777">
        <f>SUM(C23+D23)-E23</f>
        <v>0</v>
      </c>
      <c r="G23" s="552"/>
    </row>
    <row r="24" spans="1:11" ht="15.75" customHeight="1" thickTop="1" x14ac:dyDescent="0.2">
      <c r="A24" s="2217" t="s">
        <v>1175</v>
      </c>
      <c r="B24" s="2218"/>
      <c r="C24" s="2212"/>
      <c r="D24" s="2213"/>
      <c r="E24" s="2213"/>
      <c r="F24" s="2214"/>
    </row>
    <row r="25" spans="1:11" ht="13.5" thickBot="1" x14ac:dyDescent="0.25">
      <c r="A25" s="2219" t="s">
        <v>655</v>
      </c>
      <c r="B25" s="2220"/>
      <c r="C25" s="581"/>
      <c r="D25" s="581"/>
      <c r="E25" s="581"/>
      <c r="F25" s="1777">
        <f>SUM(C25+D25)-E25</f>
        <v>0</v>
      </c>
      <c r="G25" s="552"/>
    </row>
    <row r="26" spans="1:11" ht="15.75" customHeight="1" thickTop="1" x14ac:dyDescent="0.2">
      <c r="A26" s="2223" t="s">
        <v>678</v>
      </c>
      <c r="B26" s="2218"/>
      <c r="C26" s="728"/>
      <c r="D26" s="728"/>
      <c r="E26" s="728"/>
      <c r="F26" s="729"/>
    </row>
    <row r="27" spans="1:11" ht="13.5" thickBot="1" x14ac:dyDescent="0.25">
      <c r="A27" s="2215" t="s">
        <v>1130</v>
      </c>
      <c r="B27" s="2216"/>
      <c r="C27" s="585"/>
      <c r="D27" s="585"/>
      <c r="E27" s="585"/>
      <c r="F27" s="1777">
        <f>SUM(C27+D27)-E27</f>
        <v>0</v>
      </c>
      <c r="G27" s="552"/>
    </row>
    <row r="28" spans="1:11" ht="7.5" customHeight="1" thickTop="1" x14ac:dyDescent="0.2">
      <c r="A28" s="594"/>
    </row>
    <row r="29" spans="1:11" ht="23.25" customHeight="1" x14ac:dyDescent="0.2">
      <c r="A29" s="2221" t="s">
        <v>603</v>
      </c>
      <c r="B29" s="2222"/>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4" t="s">
        <v>605</v>
      </c>
      <c r="C52" s="2205"/>
      <c r="D52" s="2205"/>
      <c r="E52" s="750" t="s">
        <v>900</v>
      </c>
      <c r="F52" s="2206"/>
      <c r="G52" s="2207"/>
      <c r="H52" s="737"/>
      <c r="I52" s="737"/>
      <c r="J52" s="747"/>
    </row>
    <row r="53" spans="1:11" ht="11.25" customHeight="1" x14ac:dyDescent="0.2">
      <c r="A53" s="751" t="s">
        <v>969</v>
      </c>
      <c r="B53" s="752" t="s">
        <v>1008</v>
      </c>
      <c r="C53" s="747"/>
      <c r="D53" s="738"/>
      <c r="E53" s="750" t="s">
        <v>518</v>
      </c>
      <c r="F53" s="2208"/>
      <c r="G53" s="2209"/>
      <c r="H53" s="737"/>
      <c r="I53" s="737"/>
      <c r="J53" s="747"/>
    </row>
    <row r="54" spans="1:11" ht="11.25" customHeight="1" x14ac:dyDescent="0.2">
      <c r="A54" s="753" t="s">
        <v>970</v>
      </c>
      <c r="B54" s="748" t="s">
        <v>1009</v>
      </c>
      <c r="C54" s="747"/>
      <c r="D54" s="738"/>
      <c r="E54" s="750" t="s">
        <v>519</v>
      </c>
      <c r="F54" s="2208"/>
      <c r="G54" s="220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Q39" sqref="Q3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52"/>
      <c r="I1" s="761"/>
      <c r="J1" s="433"/>
    </row>
    <row r="2" spans="1:11" ht="26.25" x14ac:dyDescent="0.2">
      <c r="A2" s="2252" t="s">
        <v>1776</v>
      </c>
      <c r="B2" s="2253"/>
      <c r="C2" s="2253"/>
      <c r="D2" s="2253"/>
      <c r="E2" s="2254"/>
      <c r="F2" s="762" t="s">
        <v>960</v>
      </c>
      <c r="G2" s="763" t="s">
        <v>1773</v>
      </c>
      <c r="H2" s="763" t="s">
        <v>430</v>
      </c>
      <c r="I2" s="763" t="s">
        <v>1220</v>
      </c>
      <c r="J2" s="763" t="s">
        <v>1919</v>
      </c>
      <c r="K2" s="763" t="s">
        <v>140</v>
      </c>
    </row>
    <row r="3" spans="1:11" x14ac:dyDescent="0.2">
      <c r="A3" s="2255" t="s">
        <v>1698</v>
      </c>
      <c r="B3" s="2256"/>
      <c r="C3" s="2256"/>
      <c r="D3" s="2256"/>
      <c r="E3" s="2257"/>
      <c r="F3" s="764"/>
      <c r="G3" s="765"/>
      <c r="H3" s="765"/>
      <c r="I3" s="765"/>
      <c r="J3" s="766"/>
      <c r="K3" s="766"/>
    </row>
    <row r="4" spans="1:11" x14ac:dyDescent="0.2">
      <c r="A4" s="2258" t="s">
        <v>387</v>
      </c>
      <c r="B4" s="2259"/>
      <c r="C4" s="2259"/>
      <c r="D4" s="2259"/>
      <c r="E4" s="2205"/>
      <c r="F4" s="767"/>
      <c r="G4" s="768"/>
      <c r="H4" s="769"/>
      <c r="I4" s="768"/>
      <c r="J4" s="770"/>
      <c r="K4" s="770"/>
    </row>
    <row r="5" spans="1:11" x14ac:dyDescent="0.2">
      <c r="A5" s="2236" t="s">
        <v>1129</v>
      </c>
      <c r="B5" s="2237"/>
      <c r="C5" s="2237"/>
      <c r="D5" s="2237"/>
      <c r="E5" s="2238"/>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6" t="s">
        <v>1920</v>
      </c>
      <c r="B10" s="2237"/>
      <c r="C10" s="2237"/>
      <c r="D10" s="2237"/>
      <c r="E10" s="2239"/>
      <c r="F10" s="784" t="s">
        <v>917</v>
      </c>
      <c r="G10" s="783"/>
      <c r="H10" s="785"/>
      <c r="I10" s="765"/>
      <c r="J10" s="766"/>
      <c r="K10" s="766"/>
    </row>
    <row r="11" spans="1:11" x14ac:dyDescent="0.2">
      <c r="A11" s="2236" t="s">
        <v>162</v>
      </c>
      <c r="B11" s="2237"/>
      <c r="C11" s="2237"/>
      <c r="D11" s="2237"/>
      <c r="E11" s="2238"/>
      <c r="F11" s="771" t="s">
        <v>907</v>
      </c>
      <c r="G11" s="772"/>
      <c r="H11" s="765"/>
      <c r="I11" s="765"/>
      <c r="J11" s="766"/>
      <c r="K11" s="774"/>
    </row>
    <row r="12" spans="1:11" ht="13.5" thickBot="1" x14ac:dyDescent="0.25">
      <c r="A12" s="2263" t="s">
        <v>961</v>
      </c>
      <c r="B12" s="2264"/>
      <c r="C12" s="2264"/>
      <c r="D12" s="2264"/>
      <c r="E12" s="2265"/>
      <c r="F12" s="1779"/>
      <c r="G12" s="1780">
        <f>SUM(G5:G11)</f>
        <v>0</v>
      </c>
      <c r="H12" s="1780">
        <f>SUM(H5:H11)</f>
        <v>0</v>
      </c>
      <c r="I12" s="1780">
        <f>SUM(I5:I11)</f>
        <v>0</v>
      </c>
      <c r="J12" s="1780">
        <f>SUM(J5:J11)</f>
        <v>0</v>
      </c>
      <c r="K12" s="1780">
        <f>SUM(K5:K11)</f>
        <v>0</v>
      </c>
    </row>
    <row r="13" spans="1:11" ht="13.5" thickTop="1" x14ac:dyDescent="0.2">
      <c r="A13" s="2260" t="s">
        <v>388</v>
      </c>
      <c r="B13" s="2261"/>
      <c r="C13" s="2261"/>
      <c r="D13" s="2261"/>
      <c r="E13" s="2262"/>
      <c r="F13" s="786"/>
      <c r="G13" s="787"/>
      <c r="H13" s="788"/>
      <c r="I13" s="789"/>
      <c r="J13" s="789"/>
      <c r="K13" s="789"/>
    </row>
    <row r="14" spans="1:11" x14ac:dyDescent="0.2">
      <c r="A14" s="2243" t="s">
        <v>476</v>
      </c>
      <c r="B14" s="2243"/>
      <c r="C14" s="2243"/>
      <c r="D14" s="2243"/>
      <c r="E14" s="2244"/>
      <c r="F14" s="790" t="s">
        <v>909</v>
      </c>
      <c r="G14" s="783"/>
      <c r="H14" s="765"/>
      <c r="I14" s="772"/>
      <c r="J14" s="774"/>
      <c r="K14" s="766"/>
    </row>
    <row r="15" spans="1:11" x14ac:dyDescent="0.2">
      <c r="A15" s="2237" t="s">
        <v>4</v>
      </c>
      <c r="B15" s="2237"/>
      <c r="C15" s="2237"/>
      <c r="D15" s="2237"/>
      <c r="E15" s="2238"/>
      <c r="F15" s="790" t="s">
        <v>910</v>
      </c>
      <c r="G15" s="772"/>
      <c r="H15" s="765"/>
      <c r="I15" s="765"/>
      <c r="J15" s="766"/>
      <c r="K15" s="766"/>
    </row>
    <row r="16" spans="1:11" x14ac:dyDescent="0.2">
      <c r="A16" s="2237" t="s">
        <v>316</v>
      </c>
      <c r="B16" s="2237"/>
      <c r="C16" s="2237"/>
      <c r="D16" s="2237"/>
      <c r="E16" s="2238"/>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45" t="s">
        <v>1916</v>
      </c>
      <c r="B19" s="2245"/>
      <c r="C19" s="2245"/>
      <c r="D19" s="2245"/>
      <c r="E19" s="2246"/>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66" t="s">
        <v>659</v>
      </c>
      <c r="B21" s="2266"/>
      <c r="C21" s="2266"/>
      <c r="D21" s="2266"/>
      <c r="E21" s="2266"/>
      <c r="F21" s="1781"/>
      <c r="G21" s="793"/>
      <c r="H21" s="797"/>
      <c r="I21" s="797"/>
      <c r="J21" s="1782">
        <f>SUM(J18:J20)</f>
        <v>0</v>
      </c>
      <c r="K21" s="794"/>
    </row>
    <row r="22" spans="1:11" ht="13.5" thickTop="1" x14ac:dyDescent="0.2">
      <c r="A22" s="2237" t="s">
        <v>1922</v>
      </c>
      <c r="B22" s="2237"/>
      <c r="C22" s="2237"/>
      <c r="D22" s="2237"/>
      <c r="E22" s="2238"/>
      <c r="F22" s="790" t="s">
        <v>917</v>
      </c>
      <c r="G22" s="783"/>
      <c r="H22" s="765"/>
      <c r="I22" s="765"/>
      <c r="J22" s="798"/>
      <c r="K22" s="766"/>
    </row>
    <row r="23" spans="1:11" ht="13.5" thickBot="1" x14ac:dyDescent="0.25">
      <c r="A23" s="2267" t="s">
        <v>962</v>
      </c>
      <c r="B23" s="2266"/>
      <c r="C23" s="2266"/>
      <c r="D23" s="2266"/>
      <c r="E23" s="2266"/>
      <c r="F23" s="1783"/>
      <c r="G23" s="1780">
        <f>SUM(G14:G16,G21,G22)</f>
        <v>0</v>
      </c>
      <c r="H23" s="1780">
        <f>SUM(H14:H16,H21,H22)</f>
        <v>0</v>
      </c>
      <c r="I23" s="1780">
        <f>SUM(I14:I16,I21,I22)</f>
        <v>0</v>
      </c>
      <c r="J23" s="1780">
        <f>SUM(J14:J16,J21,J22)</f>
        <v>0</v>
      </c>
      <c r="K23" s="1780">
        <f>SUM(K14:K16,K21,K22)</f>
        <v>0</v>
      </c>
    </row>
    <row r="24" spans="1:11" ht="14.25" thickTop="1" thickBot="1" x14ac:dyDescent="0.25">
      <c r="A24" s="2267" t="s">
        <v>2026</v>
      </c>
      <c r="B24" s="2266"/>
      <c r="C24" s="2266"/>
      <c r="D24" s="2266"/>
      <c r="E24" s="2266"/>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0"/>
      <c r="I31" s="2241"/>
      <c r="J31" s="2241"/>
      <c r="K31" s="2241"/>
    </row>
    <row r="32" spans="1:11" x14ac:dyDescent="0.2">
      <c r="A32" s="810"/>
      <c r="B32" s="237"/>
      <c r="C32" s="237"/>
      <c r="D32" s="237"/>
      <c r="E32" s="806"/>
      <c r="F32" s="812" t="s">
        <v>561</v>
      </c>
      <c r="G32" s="765"/>
      <c r="H32" s="2242"/>
      <c r="I32" s="2241"/>
      <c r="J32" s="2241"/>
      <c r="K32" s="2241"/>
    </row>
    <row r="33" spans="1:11" ht="1.5" customHeight="1" x14ac:dyDescent="0.2">
      <c r="A33" s="813" t="s">
        <v>1231</v>
      </c>
      <c r="B33" s="364"/>
      <c r="C33" s="364"/>
      <c r="D33" s="364"/>
      <c r="E33" s="364"/>
      <c r="F33" s="364"/>
      <c r="G33" s="814"/>
      <c r="H33" s="2242"/>
      <c r="I33" s="2241"/>
      <c r="J33" s="2241"/>
      <c r="K33" s="224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Q39" sqref="Q3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7"/>
      <c r="E1" s="828"/>
      <c r="F1" s="828"/>
      <c r="G1" s="829"/>
      <c r="H1" s="830"/>
      <c r="I1" s="831"/>
      <c r="J1" s="2270"/>
      <c r="K1" s="2271"/>
      <c r="L1" s="227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1105648</v>
      </c>
      <c r="D8" s="845"/>
      <c r="E8" s="845"/>
      <c r="F8" s="1782">
        <f>(C8+D8)-E8</f>
        <v>1105648</v>
      </c>
      <c r="G8" s="844">
        <v>50</v>
      </c>
      <c r="H8" s="766">
        <v>636154</v>
      </c>
      <c r="I8" s="766">
        <v>22115</v>
      </c>
      <c r="J8" s="766"/>
      <c r="K8" s="1791">
        <f>(H8+I8)-J8</f>
        <v>658269</v>
      </c>
      <c r="L8" s="1791">
        <f>F8-K8</f>
        <v>447379</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32958</v>
      </c>
      <c r="D10" s="847"/>
      <c r="E10" s="847"/>
      <c r="F10" s="1786">
        <f>(C10+D10)-E10</f>
        <v>32958</v>
      </c>
      <c r="G10" s="844">
        <v>20</v>
      </c>
      <c r="H10" s="848">
        <v>17808</v>
      </c>
      <c r="I10" s="848">
        <v>1009</v>
      </c>
      <c r="J10" s="848"/>
      <c r="K10" s="1791">
        <f>(H10+I10)-J10</f>
        <v>18817</v>
      </c>
      <c r="L10" s="1791">
        <f>F10-K10</f>
        <v>14141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110467</v>
      </c>
      <c r="D12" s="845">
        <v>20965</v>
      </c>
      <c r="E12" s="845"/>
      <c r="F12" s="1782">
        <f>(C12+D12)-E12</f>
        <v>131432</v>
      </c>
      <c r="G12" s="844">
        <v>10</v>
      </c>
      <c r="H12" s="766">
        <v>39595</v>
      </c>
      <c r="I12" s="766">
        <v>12271</v>
      </c>
      <c r="J12" s="766"/>
      <c r="K12" s="1791">
        <f>(H12+I12)-J12</f>
        <v>51866</v>
      </c>
      <c r="L12" s="1791">
        <f>F12-K12</f>
        <v>79566</v>
      </c>
    </row>
    <row r="13" spans="1:14" ht="14.25" thickTop="1" thickBot="1" x14ac:dyDescent="0.25">
      <c r="A13" s="849" t="s">
        <v>1184</v>
      </c>
      <c r="B13" s="841">
        <v>252</v>
      </c>
      <c r="C13" s="845">
        <v>40675</v>
      </c>
      <c r="D13" s="845"/>
      <c r="E13" s="845"/>
      <c r="F13" s="1782">
        <f>(C13+D13)-E13</f>
        <v>40675</v>
      </c>
      <c r="G13" s="844">
        <v>5</v>
      </c>
      <c r="H13" s="766">
        <v>40675</v>
      </c>
      <c r="I13" s="766"/>
      <c r="J13" s="766"/>
      <c r="K13" s="1791">
        <f>(H13+I13)-J13</f>
        <v>40675</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1289748</v>
      </c>
      <c r="D16" s="1782">
        <f>SUM(D3,D5:D6,D8:D10,D12:D15)</f>
        <v>20965</v>
      </c>
      <c r="E16" s="1782">
        <f>SUM(E3,E5:E6,E8:E10,E12:E15)</f>
        <v>0</v>
      </c>
      <c r="F16" s="1782">
        <f>SUM(F3,F5:F6,F8:F10,F12:F15)</f>
        <v>1310713</v>
      </c>
      <c r="G16" s="844"/>
      <c r="H16" s="1782">
        <f>SUM(H3,H6,H8:H10,H12:H14,)</f>
        <v>734232</v>
      </c>
      <c r="I16" s="1782">
        <f>SUM(I3,I6,I8:I10,I12:I14,)</f>
        <v>35395</v>
      </c>
      <c r="J16" s="1782">
        <f>SUM(J3,J6,J8:J10,J12:J14,)</f>
        <v>0</v>
      </c>
      <c r="K16" s="1782">
        <f>(H16+I16)-J16</f>
        <v>769627</v>
      </c>
      <c r="L16" s="1782">
        <f>F16-K16</f>
        <v>541086</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35395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Q39" sqref="Q39"/>
      <selection pane="bottomLeft" activeCell="Q39" sqref="Q3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702437</v>
      </c>
      <c r="G8" s="866"/>
    </row>
    <row r="9" spans="1:7" x14ac:dyDescent="0.2">
      <c r="A9" s="870" t="s">
        <v>480</v>
      </c>
      <c r="B9" s="871" t="s">
        <v>1989</v>
      </c>
      <c r="C9" s="872"/>
      <c r="D9" s="870" t="s">
        <v>522</v>
      </c>
      <c r="E9" s="869"/>
      <c r="F9" s="1935">
        <f>'Expenditures 15-22'!K151</f>
        <v>99362</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4520</v>
      </c>
      <c r="G11" s="873"/>
    </row>
    <row r="12" spans="1:7" x14ac:dyDescent="0.2">
      <c r="A12" s="870" t="s">
        <v>482</v>
      </c>
      <c r="B12" s="871" t="s">
        <v>1992</v>
      </c>
      <c r="C12" s="872"/>
      <c r="D12" s="870" t="s">
        <v>522</v>
      </c>
      <c r="E12" s="869"/>
      <c r="F12" s="1935">
        <f>'Expenditures 15-22'!K295</f>
        <v>0</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806319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20429</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5965</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26394</v>
      </c>
      <c r="G76" s="866"/>
    </row>
    <row r="77" spans="1:8" s="894" customFormat="1" ht="12" customHeight="1" thickTop="1" thickBot="1" x14ac:dyDescent="0.25">
      <c r="A77" s="1801"/>
      <c r="B77" s="1798"/>
      <c r="C77" s="1794"/>
      <c r="D77" s="1799" t="s">
        <v>2012</v>
      </c>
      <c r="E77" s="1796"/>
      <c r="F77" s="1802">
        <f>(F14-F76)</f>
        <v>779925</v>
      </c>
      <c r="G77" s="870"/>
    </row>
    <row r="78" spans="1:8" s="894" customFormat="1" ht="12" customHeight="1" thickTop="1" x14ac:dyDescent="0.2">
      <c r="A78" s="1803"/>
      <c r="B78" s="1798"/>
      <c r="C78" s="1794"/>
      <c r="D78" s="1799" t="s">
        <v>2059</v>
      </c>
      <c r="E78" s="1796"/>
      <c r="F78" s="899">
        <v>0</v>
      </c>
      <c r="G78" s="900"/>
      <c r="H78" s="870"/>
    </row>
    <row r="79" spans="1:8" s="894" customFormat="1" ht="12" customHeight="1" thickBot="1" x14ac:dyDescent="0.25">
      <c r="A79" s="1804"/>
      <c r="B79" s="1798"/>
      <c r="C79" s="1794"/>
      <c r="D79" s="1799" t="s">
        <v>2013</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10348</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58000</v>
      </c>
      <c r="G103" s="913"/>
    </row>
    <row r="104" spans="1:7" x14ac:dyDescent="0.2">
      <c r="A104" s="909" t="s">
        <v>479</v>
      </c>
      <c r="B104" s="909" t="s">
        <v>841</v>
      </c>
      <c r="C104" s="911">
        <f>'Revenues 9-14'!B106</f>
        <v>1993</v>
      </c>
      <c r="D104" s="912" t="str">
        <f>'Revenues 9-14'!A106</f>
        <v>Other Local Fees (Describe &amp; Itemize)</v>
      </c>
      <c r="E104" s="907"/>
      <c r="F104" s="1811">
        <f>('Revenues 9-14'!C106)</f>
        <v>5540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372071</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7234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8041</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16730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477964</v>
      </c>
    </row>
    <row r="179" spans="1:7" ht="12" customHeight="1" x14ac:dyDescent="0.2">
      <c r="A179" s="1792"/>
      <c r="B179" s="1806"/>
      <c r="C179" s="1807"/>
      <c r="D179" s="1808" t="s">
        <v>2015</v>
      </c>
      <c r="E179" s="1809"/>
      <c r="F179" s="1811">
        <f>'PCTC-OEPP 27-28'!F77-F178</f>
        <v>301961</v>
      </c>
    </row>
    <row r="180" spans="1:7" ht="12" customHeight="1" x14ac:dyDescent="0.2">
      <c r="A180" s="1792"/>
      <c r="B180" s="1806"/>
      <c r="C180" s="1807"/>
      <c r="D180" s="1808" t="s">
        <v>1924</v>
      </c>
      <c r="E180" s="1809"/>
      <c r="F180" s="1811">
        <f>'Cap Outlay Deprec 26'!I18</f>
        <v>35395</v>
      </c>
    </row>
    <row r="181" spans="1:7" ht="12" customHeight="1" x14ac:dyDescent="0.2">
      <c r="A181" s="1792"/>
      <c r="B181" s="1806"/>
      <c r="C181" s="1807"/>
      <c r="D181" s="1808" t="s">
        <v>2016</v>
      </c>
      <c r="E181" s="1809"/>
      <c r="F181" s="1811">
        <f>F179+F180</f>
        <v>337356</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2017</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Q39" sqref="Q39"/>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1941</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8" t="s">
        <v>2101</v>
      </c>
      <c r="B17" s="1868"/>
      <c r="C17" s="1678"/>
      <c r="D17" s="1867">
        <v>9.9999999999999995E-7</v>
      </c>
      <c r="E17" s="1562">
        <f t="shared" ref="E17:E141" si="1">IF(D17&lt;=25000,D17,IF(D17&gt;25000,25000,0))</f>
        <v>9.9999999999999995E-7</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9.9999999999999995E-7</v>
      </c>
      <c r="E141" s="1563">
        <f t="shared" si="1"/>
        <v>9.9999999999999995E-7</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Q39" sqref="Q3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6" t="s">
        <v>1945</v>
      </c>
      <c r="B11" s="2307"/>
      <c r="C11" s="2307"/>
      <c r="D11" s="2308"/>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479875</v>
      </c>
      <c r="F19" s="1822"/>
      <c r="G19" s="1824">
        <f>'Expenditures 15-22'!K33-SUM('Expenditures 15-22'!G33,'Expenditures 15-22'!I33)+'Expenditures 15-22'!D229</f>
        <v>479875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0</v>
      </c>
      <c r="F21" s="1825"/>
      <c r="G21" s="1828">
        <f>'Expenditures 15-22'!K42-SUM('Expenditures 15-22'!G42,'Expenditures 15-22'!I42)+'Expenditures 15-22'!K120-SUM('Expenditures 15-22'!G120,'Expenditures 15-22'!I120)+'Expenditures 15-22'!K180-SUM('Expenditures 15-22'!G180,'Expenditures 15-22'!I180)+'Expenditures 15-22'!D238</f>
        <v>0</v>
      </c>
      <c r="H21" s="988"/>
      <c r="I21" s="162"/>
    </row>
    <row r="22" spans="1:9" s="669" customFormat="1" ht="12" customHeight="1" x14ac:dyDescent="0.2">
      <c r="A22" s="995" t="s">
        <v>585</v>
      </c>
      <c r="B22" s="996"/>
      <c r="C22" s="994">
        <v>2200</v>
      </c>
      <c r="D22" s="1825"/>
      <c r="E22" s="1827">
        <f>'Expenditures 15-22'!K47-SUM('Expenditures 15-22'!G47,'Expenditures 15-22'!I47)+'Expenditures 15-22'!D243</f>
        <v>42651</v>
      </c>
      <c r="F22" s="1825"/>
      <c r="G22" s="1828">
        <f>'Expenditures 15-22'!K47-SUM('Expenditures 15-22'!G47,'Expenditures 15-22'!I47)+'Expenditures 15-22'!D243</f>
        <v>42651</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99740</v>
      </c>
      <c r="F23" s="1825"/>
      <c r="G23" s="1827">
        <f>'Expenditures 15-22'!K53-SUM('Expenditures 15-22'!G53,'Expenditures 15-22'!I53)+'Expenditures 15-22'!D257+'Expenditures 15-22'!K330-SUM('Expenditures 15-22'!G330,'Expenditures 15-22'!I330)</f>
        <v>99740</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52842</v>
      </c>
      <c r="E26" s="1827">
        <f>'Expenditures 15-22'!K122-SUM('Expenditures 15-22'!G122,'Expenditures 15-22'!I122)+E7</f>
        <v>0</v>
      </c>
      <c r="F26" s="1827">
        <f>'Expenditures 15-22'!K59-SUM('Expenditures 15-22'!G59,'Expenditures 15-22'!I59)+'Expenditures 15-22'!D263-E7</f>
        <v>52842</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93397</v>
      </c>
      <c r="F28" s="1829">
        <f>'Expenditures 15-22'!K61-SUM('Expenditures 15-22'!G61,'Expenditures 15-22'!I61)+'Expenditures 15-22'!K124-SUM('Expenditures 15-22'!G124,'Expenditures 15-22'!I124)+'Expenditures 15-22'!D266-E9</f>
        <v>93397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4520</v>
      </c>
      <c r="F29" s="1825"/>
      <c r="G29" s="1828">
        <f>'Expenditures 15-22'!K62-SUM('Expenditures 15-22'!G62,'Expenditures 15-22'!I62)+'Expenditures 15-22'!K125-SUM('Expenditures 15-22'!G125,'Expenditures 15-22'!I125)+'Expenditures 15-22'!K182-SUM('Expenditures 15-22'!G182,'Expenditures 15-22'!I182)+'Expenditures 15-22'!D267</f>
        <v>4520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6900</v>
      </c>
      <c r="F35" s="1825"/>
      <c r="G35" s="1827">
        <f>'Expenditures 15-22'!K69-SUM('Expenditures 15-22'!G69,'Expenditures 15-22'!I69)+'Expenditures 15-22'!D274</f>
        <v>6900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52842</v>
      </c>
      <c r="E41" s="1829">
        <f>SUM(E19:E40)</f>
        <v>727083</v>
      </c>
      <c r="F41" s="1829">
        <f>SUM(F19:F39)</f>
        <v>146239</v>
      </c>
      <c r="G41" s="1829">
        <f>SUM(G19:G40)</f>
        <v>633686</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52842</v>
      </c>
      <c r="F43" s="1830" t="s">
        <v>495</v>
      </c>
      <c r="G43" s="1831">
        <f>F41</f>
        <v>146239</v>
      </c>
    </row>
    <row r="44" spans="1:7" ht="12" customHeight="1" x14ac:dyDescent="0.2">
      <c r="A44" s="988"/>
      <c r="B44" s="162"/>
      <c r="C44" s="1002"/>
      <c r="D44" s="1830" t="s">
        <v>494</v>
      </c>
      <c r="E44" s="1831">
        <f>E41</f>
        <v>727083</v>
      </c>
      <c r="F44" s="1830" t="s">
        <v>494</v>
      </c>
      <c r="G44" s="1831">
        <f>G41</f>
        <v>633686</v>
      </c>
    </row>
    <row r="45" spans="1:7" ht="12" customHeight="1" x14ac:dyDescent="0.2">
      <c r="A45" s="988"/>
      <c r="B45" s="162"/>
      <c r="C45" s="162"/>
      <c r="D45" s="1832" t="s">
        <v>1063</v>
      </c>
      <c r="E45" s="1833">
        <f>(E43/E44)</f>
        <v>7.2676709536600367E-2</v>
      </c>
      <c r="F45" s="1832" t="s">
        <v>1063</v>
      </c>
      <c r="G45" s="1833">
        <f>(G43/G44)</f>
        <v>0.23077517887407958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Q39" sqref="Q39"/>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3" t="s">
        <v>1446</v>
      </c>
      <c r="B1" s="2323"/>
      <c r="C1" s="2323"/>
      <c r="D1" s="2323"/>
      <c r="E1" s="2323"/>
      <c r="F1" s="2323"/>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4" t="s">
        <v>1627</v>
      </c>
      <c r="B5" s="2325"/>
      <c r="C5" s="2326"/>
      <c r="D5" s="2326"/>
      <c r="E5" s="2326"/>
      <c r="F5" s="2326"/>
    </row>
    <row r="6" spans="1:10" ht="12" customHeight="1" x14ac:dyDescent="0.25">
      <c r="A6" s="1875"/>
      <c r="B6" s="1876"/>
      <c r="C6" s="2327" t="str">
        <f>COVER!A17</f>
        <v xml:space="preserve">Jo Daviess Carroll CTE Academy </v>
      </c>
      <c r="D6" s="2327"/>
      <c r="E6" s="2327"/>
      <c r="F6" s="1877"/>
    </row>
    <row r="7" spans="1:10" ht="11.25" customHeight="1" thickBot="1" x14ac:dyDescent="0.3">
      <c r="A7" s="1875"/>
      <c r="B7" s="1876"/>
      <c r="C7" s="2328">
        <f>COVER!A13</f>
        <v>8043790040</v>
      </c>
      <c r="D7" s="2328"/>
      <c r="E7" s="2328"/>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2085</v>
      </c>
      <c r="D26" s="1890" t="s">
        <v>2085</v>
      </c>
      <c r="E26" s="1893" t="s">
        <v>2085</v>
      </c>
      <c r="F26" s="1892" t="s">
        <v>2078</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2085</v>
      </c>
      <c r="D31" s="1890" t="s">
        <v>2085</v>
      </c>
      <c r="E31" s="1893" t="s">
        <v>2085</v>
      </c>
      <c r="F31" s="1892" t="s">
        <v>2077</v>
      </c>
      <c r="H31" s="1903">
        <f t="shared" si="0"/>
        <v>5</v>
      </c>
      <c r="I31" s="1903">
        <f t="shared" si="1"/>
        <v>5</v>
      </c>
      <c r="J31" s="1903">
        <f t="shared" si="2"/>
        <v>5</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10</v>
      </c>
      <c r="K34" s="1903">
        <f>SUM(H34:J34)</f>
        <v>30</v>
      </c>
    </row>
    <row r="35" spans="1:11" ht="12" customHeight="1" x14ac:dyDescent="0.2">
      <c r="A35" s="1896" t="s">
        <v>1459</v>
      </c>
      <c r="B35" s="1897"/>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8"/>
      <c r="B39" s="1898"/>
      <c r="C39" s="1898"/>
      <c r="D39" s="1898"/>
      <c r="E39" s="1898"/>
      <c r="F39" s="1898"/>
    </row>
    <row r="40" spans="1:11" s="1895" customFormat="1" ht="12" customHeight="1" x14ac:dyDescent="0.25">
      <c r="A40" s="1899" t="s">
        <v>1458</v>
      </c>
      <c r="B40" s="1900"/>
      <c r="C40" s="2318"/>
      <c r="D40" s="2318"/>
      <c r="E40" s="2318"/>
      <c r="F40" s="2319"/>
      <c r="H40" s="1904"/>
      <c r="I40" s="1904"/>
      <c r="J40" s="1904"/>
      <c r="K40" s="1904"/>
    </row>
    <row r="41" spans="1:11" s="1895" customFormat="1" ht="12" customHeight="1" x14ac:dyDescent="0.25">
      <c r="A41" s="2320"/>
      <c r="B41" s="2321"/>
      <c r="C41" s="2321"/>
      <c r="D41" s="2321"/>
      <c r="E41" s="2321"/>
      <c r="F41" s="2322"/>
      <c r="H41" s="1904"/>
      <c r="I41" s="1904"/>
      <c r="J41" s="1904"/>
      <c r="K41" s="1904"/>
    </row>
    <row r="42" spans="1:11" s="1895" customFormat="1" ht="12" customHeight="1" x14ac:dyDescent="0.25">
      <c r="A42" s="2320" t="s">
        <v>2102</v>
      </c>
      <c r="B42" s="2321"/>
      <c r="C42" s="2321"/>
      <c r="D42" s="2321"/>
      <c r="E42" s="2321"/>
      <c r="F42" s="2322"/>
      <c r="H42" s="1904"/>
      <c r="I42" s="1904"/>
      <c r="J42" s="1904"/>
      <c r="K42" s="1904"/>
    </row>
    <row r="43" spans="1:11" s="1895" customFormat="1" ht="15" x14ac:dyDescent="0.25">
      <c r="A43" s="2309"/>
      <c r="B43" s="2310"/>
      <c r="C43" s="2310"/>
      <c r="D43" s="2310"/>
      <c r="E43" s="2310"/>
      <c r="F43" s="2311"/>
      <c r="H43" s="1904"/>
      <c r="I43" s="1904"/>
      <c r="J43" s="1904"/>
      <c r="K43" s="1904"/>
    </row>
    <row r="44" spans="1:11" s="1895" customFormat="1" ht="12" hidden="1" customHeight="1" x14ac:dyDescent="0.25">
      <c r="A44" s="2309"/>
      <c r="B44" s="2310"/>
      <c r="C44" s="2310"/>
      <c r="D44" s="2310"/>
      <c r="E44" s="2310"/>
      <c r="F44" s="231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Q39" sqref="Q3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 xml:space="preserve">Jo Daviess Carroll CTE Academy </v>
      </c>
      <c r="J6" s="2337"/>
      <c r="Q6" s="1686"/>
    </row>
    <row r="7" spans="1:17" x14ac:dyDescent="0.2">
      <c r="A7" s="2338" t="s">
        <v>924</v>
      </c>
      <c r="B7" s="2339"/>
      <c r="C7" s="2339"/>
      <c r="D7" s="2339"/>
      <c r="E7" s="2340"/>
      <c r="F7" s="1018"/>
      <c r="G7" s="1010"/>
      <c r="H7" s="1017" t="s">
        <v>390</v>
      </c>
      <c r="I7" s="2341">
        <f>COVER!A13</f>
        <v>8043790040</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91339</v>
      </c>
      <c r="F12" s="1040"/>
      <c r="G12" s="1834">
        <f t="shared" ref="G12:G18" si="0">SUM(E12:F12)</f>
        <v>91339</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52842</v>
      </c>
      <c r="F15" s="1834">
        <f>'Expenditures 15-22'!K122</f>
        <v>0</v>
      </c>
      <c r="G15" s="1834">
        <f t="shared" si="0"/>
        <v>52842</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144181</v>
      </c>
      <c r="F19" s="1836">
        <f t="shared" si="2"/>
        <v>0</v>
      </c>
      <c r="G19" s="1836">
        <f t="shared" si="2"/>
        <v>144181</v>
      </c>
      <c r="H19" s="1836">
        <f t="shared" si="2"/>
        <v>0</v>
      </c>
      <c r="I19" s="1836">
        <f t="shared" si="2"/>
        <v>0</v>
      </c>
      <c r="J19" s="1836">
        <f t="shared" si="2"/>
        <v>0</v>
      </c>
    </row>
    <row r="20" spans="1:10" ht="13.5" thickTop="1" x14ac:dyDescent="0.2">
      <c r="A20" s="1036">
        <v>9</v>
      </c>
      <c r="B20" s="2348" t="s">
        <v>1703</v>
      </c>
      <c r="C20" s="2348"/>
      <c r="D20" s="2349"/>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1944</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65"/>
  <sheetViews>
    <sheetView showGridLines="0" zoomScale="110" zoomScaleNormal="110" workbookViewId="0">
      <selection activeCell="Q39" sqref="Q39"/>
    </sheetView>
  </sheetViews>
  <sheetFormatPr defaultRowHeight="12.75" x14ac:dyDescent="0.2"/>
  <cols>
    <col min="1" max="1" width="3" style="329" customWidth="1"/>
    <col min="2" max="5" width="12.7109375" style="329" customWidth="1"/>
    <col min="6" max="6" width="24.28515625" style="329" customWidth="1"/>
    <col min="7" max="8" width="13.7109375" style="329" customWidth="1"/>
    <col min="9" max="16384" width="9.140625" style="329"/>
  </cols>
  <sheetData>
    <row r="2" spans="1:7" x14ac:dyDescent="0.2">
      <c r="A2" s="389" t="s">
        <v>276</v>
      </c>
    </row>
    <row r="3" spans="1:7" x14ac:dyDescent="0.2">
      <c r="A3" s="329" t="s">
        <v>277</v>
      </c>
    </row>
    <row r="5" spans="1:7" x14ac:dyDescent="0.2">
      <c r="A5" s="1069"/>
      <c r="B5" s="1959" t="s">
        <v>2079</v>
      </c>
      <c r="C5" s="1959" t="s">
        <v>2080</v>
      </c>
      <c r="D5" s="1959" t="s">
        <v>2081</v>
      </c>
      <c r="E5" s="1959" t="s">
        <v>2082</v>
      </c>
      <c r="F5" s="1959" t="s">
        <v>502</v>
      </c>
      <c r="G5" s="1959" t="s">
        <v>920</v>
      </c>
    </row>
    <row r="6" spans="1:7" x14ac:dyDescent="0.2">
      <c r="A6" s="1069"/>
      <c r="B6" s="1959"/>
      <c r="C6" s="1959"/>
      <c r="D6" s="1959"/>
      <c r="E6" s="1959"/>
      <c r="F6" s="1959"/>
      <c r="G6" s="1959"/>
    </row>
    <row r="7" spans="1:7" ht="13.5" thickBot="1" x14ac:dyDescent="0.25">
      <c r="A7" s="1069"/>
      <c r="B7" s="1956">
        <v>1993</v>
      </c>
      <c r="C7" s="1956">
        <v>11</v>
      </c>
      <c r="D7" s="1956">
        <v>10</v>
      </c>
      <c r="E7" s="1956">
        <v>106</v>
      </c>
      <c r="F7" s="329" t="s">
        <v>2083</v>
      </c>
      <c r="G7" s="1957">
        <v>5540</v>
      </c>
    </row>
    <row r="8" spans="1:7" ht="13.5" thickTop="1" x14ac:dyDescent="0.2">
      <c r="A8" s="1069"/>
      <c r="B8" s="1956"/>
      <c r="C8" s="1956"/>
      <c r="D8" s="1956"/>
      <c r="E8" s="1956"/>
    </row>
    <row r="9" spans="1:7" ht="13.5" thickBot="1" x14ac:dyDescent="0.25">
      <c r="A9" s="1069"/>
      <c r="B9" s="1956">
        <v>4799</v>
      </c>
      <c r="C9" s="1956">
        <v>13</v>
      </c>
      <c r="D9" s="1956">
        <v>10</v>
      </c>
      <c r="E9" s="1956">
        <v>227</v>
      </c>
      <c r="F9" s="329" t="s">
        <v>2084</v>
      </c>
      <c r="G9" s="1957">
        <v>16730</v>
      </c>
    </row>
    <row r="10" spans="1:7" ht="13.5" thickTop="1" x14ac:dyDescent="0.2">
      <c r="A10" s="1070"/>
      <c r="B10" s="1956"/>
      <c r="C10" s="1956"/>
      <c r="D10" s="1956"/>
      <c r="E10" s="1956"/>
    </row>
    <row r="11" spans="1:7" x14ac:dyDescent="0.2">
      <c r="A11" s="1070"/>
    </row>
    <row r="12" spans="1:7" x14ac:dyDescent="0.2">
      <c r="A12" s="1070"/>
    </row>
    <row r="13" spans="1:7" x14ac:dyDescent="0.2">
      <c r="A13" s="1070"/>
    </row>
    <row r="14" spans="1:7" x14ac:dyDescent="0.2">
      <c r="A14" s="1070"/>
    </row>
    <row r="15" spans="1:7" x14ac:dyDescent="0.2">
      <c r="A15" s="1070"/>
    </row>
    <row r="16" spans="1:7"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 xml:space="preserve">Jo Daviess Carroll CTE Academy </v>
      </c>
    </row>
    <row r="65" spans="2:2" x14ac:dyDescent="0.2">
      <c r="B65" s="1071">
        <f>COVER!A13</f>
        <v>8043790040</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Q39" sqref="Q3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Q39" sqref="Q3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5" sqref="B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1343025</xdr:colOff>
                <xdr:row>2</xdr:row>
                <xdr:rowOff>66675</xdr:rowOff>
              </from>
              <to>
                <xdr:col>1</xdr:col>
                <xdr:colOff>2257425</xdr:colOff>
                <xdr:row>7</xdr:row>
                <xdr:rowOff>28575</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6" zoomScale="110" zoomScaleNormal="110" workbookViewId="0">
      <selection activeCell="Q39" sqref="Q3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2056</v>
      </c>
      <c r="B4" s="2376"/>
      <c r="C4" s="2376"/>
      <c r="D4" s="2376"/>
      <c r="E4" s="2376"/>
      <c r="F4" s="2377"/>
      <c r="G4" s="1075"/>
      <c r="H4" s="1075"/>
    </row>
    <row r="5" spans="1:8" ht="14.25" customHeight="1" x14ac:dyDescent="0.2">
      <c r="A5" s="2378" t="s">
        <v>2057</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884791</v>
      </c>
      <c r="C8" s="1838">
        <f>'Acct Summary 7-8'!D8</f>
        <v>76389</v>
      </c>
      <c r="D8" s="1838">
        <f>'Acct Summary 7-8'!F8</f>
        <v>7234</v>
      </c>
      <c r="E8" s="1838">
        <f>'Acct Summary 7-8'!I8</f>
        <v>0</v>
      </c>
      <c r="F8" s="1838">
        <f>SUM(B8:E8)</f>
        <v>968414</v>
      </c>
    </row>
    <row r="9" spans="1:8" s="1080" customFormat="1" ht="14.25" customHeight="1" thickBot="1" x14ac:dyDescent="0.25">
      <c r="A9" s="1079" t="s">
        <v>1436</v>
      </c>
      <c r="B9" s="1839">
        <f>'Acct Summary 7-8'!C17</f>
        <v>702437</v>
      </c>
      <c r="C9" s="1839">
        <f>'Acct Summary 7-8'!D17</f>
        <v>99362</v>
      </c>
      <c r="D9" s="1839">
        <f>'Acct Summary 7-8'!F17</f>
        <v>4520</v>
      </c>
      <c r="E9" s="1838"/>
      <c r="F9" s="1838">
        <f>SUM(B9:E9)</f>
        <v>806319</v>
      </c>
    </row>
    <row r="10" spans="1:8" s="1080" customFormat="1" ht="14.25" thickTop="1" thickBot="1" x14ac:dyDescent="0.25">
      <c r="A10" s="1081" t="s">
        <v>1437</v>
      </c>
      <c r="B10" s="1840">
        <f>(B8-B9)</f>
        <v>182354</v>
      </c>
      <c r="C10" s="1840">
        <f>(C8-C9)</f>
        <v>-22973</v>
      </c>
      <c r="D10" s="1840">
        <f>(D8-D9)</f>
        <v>2714</v>
      </c>
      <c r="E10" s="1839">
        <f>(E8-E9)</f>
        <v>0</v>
      </c>
      <c r="F10" s="1841">
        <f>SUM(F8-F9)</f>
        <v>162095</v>
      </c>
    </row>
    <row r="11" spans="1:8" s="1080" customFormat="1" ht="14.25" thickTop="1" thickBot="1" x14ac:dyDescent="0.25">
      <c r="A11" s="1082" t="s">
        <v>1785</v>
      </c>
      <c r="B11" s="1842">
        <f>'Acct Summary 7-8'!C81</f>
        <v>160882</v>
      </c>
      <c r="C11" s="1842">
        <f>'Acct Summary 7-8'!D81</f>
        <v>232315</v>
      </c>
      <c r="D11" s="1842">
        <f>'Acct Summary 7-8'!F81</f>
        <v>39572</v>
      </c>
      <c r="E11" s="1842">
        <f>'Acct Summary 7-8'!I81</f>
        <v>0</v>
      </c>
      <c r="F11" s="1843">
        <f>SUM(B11:E11)</f>
        <v>432769</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8043790040</v>
      </c>
    </row>
    <row r="3" spans="1:2" x14ac:dyDescent="0.2">
      <c r="A3" t="s">
        <v>1013</v>
      </c>
      <c r="B3" s="138" t="str">
        <f>COVER!A15</f>
        <v xml:space="preserve">Jo Daviess </v>
      </c>
    </row>
    <row r="4" spans="1:2" x14ac:dyDescent="0.2">
      <c r="A4" t="s">
        <v>1064</v>
      </c>
      <c r="B4" s="138" t="str">
        <f>COVER!A17</f>
        <v xml:space="preserve">Jo Daviess Carroll CTE Academy </v>
      </c>
    </row>
    <row r="5" spans="1:2" x14ac:dyDescent="0.2">
      <c r="A5" t="s">
        <v>728</v>
      </c>
      <c r="B5" s="138" t="str">
        <f>COVER!A38</f>
        <v>Kris Hall</v>
      </c>
    </row>
    <row r="6" spans="1:2" x14ac:dyDescent="0.2">
      <c r="A6" t="s">
        <v>733</v>
      </c>
      <c r="B6" s="138">
        <f>COVER!P35</f>
        <v>0</v>
      </c>
    </row>
    <row r="7" spans="1:2" x14ac:dyDescent="0.2">
      <c r="A7" t="s">
        <v>729</v>
      </c>
      <c r="B7" s="138">
        <f>COVER!I38</f>
        <v>0</v>
      </c>
    </row>
    <row r="8" spans="1:2" x14ac:dyDescent="0.2">
      <c r="A8" t="s">
        <v>730</v>
      </c>
      <c r="B8" s="138" t="str">
        <f>COVER!T38</f>
        <v xml:space="preserve">Aaron Mercier </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066-004238</v>
      </c>
    </row>
    <row r="16" spans="1:2" x14ac:dyDescent="0.2">
      <c r="A16" t="s">
        <v>442</v>
      </c>
      <c r="B16" s="138" t="str">
        <f>COVER!T13</f>
        <v xml:space="preserve">Benning Group, LLC </v>
      </c>
    </row>
    <row r="17" spans="1:2" x14ac:dyDescent="0.2">
      <c r="A17" t="s">
        <v>939</v>
      </c>
      <c r="B17" s="138" t="str">
        <f>COVER!T15</f>
        <v xml:space="preserve">Jenny L. Blocker </v>
      </c>
    </row>
    <row r="18" spans="1:2" x14ac:dyDescent="0.2">
      <c r="A18" t="s">
        <v>1212</v>
      </c>
      <c r="B18" s="138" t="str">
        <f>COVER!T17</f>
        <v>50 W. Douglas Street, Suite 801</v>
      </c>
    </row>
    <row r="19" spans="1:2" x14ac:dyDescent="0.2">
      <c r="A19" t="s">
        <v>941</v>
      </c>
      <c r="B19" s="138" t="str">
        <f>COVER!T25</f>
        <v>jblocker@benninggroup.com</v>
      </c>
    </row>
    <row r="20" spans="1:2" x14ac:dyDescent="0.2">
      <c r="A20" t="s">
        <v>942</v>
      </c>
      <c r="B20" s="138" t="str">
        <f>COVER!T19</f>
        <v xml:space="preserve">Freeport </v>
      </c>
    </row>
    <row r="21" spans="1:2" x14ac:dyDescent="0.2">
      <c r="A21" t="s">
        <v>500</v>
      </c>
      <c r="B21" s="138" t="str">
        <f>COVER!X19</f>
        <v>IL</v>
      </c>
    </row>
    <row r="22" spans="1:2" x14ac:dyDescent="0.2">
      <c r="A22" t="s">
        <v>943</v>
      </c>
      <c r="B22" s="138">
        <f>COVER!Z19</f>
        <v>61032</v>
      </c>
    </row>
    <row r="23" spans="1:2" x14ac:dyDescent="0.2">
      <c r="A23" t="s">
        <v>1214</v>
      </c>
      <c r="B23" s="138">
        <f>COVER!T21</f>
        <v>8152353157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160882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160882</v>
      </c>
      <c r="D92" s="2" t="str">
        <f t="shared" si="0"/>
        <v>Error?</v>
      </c>
    </row>
    <row r="93" spans="1:4" x14ac:dyDescent="0.2">
      <c r="A93" s="5">
        <v>32</v>
      </c>
      <c r="B93" s="138">
        <f>'Assets-Liab 5-6'!C41</f>
        <v>160882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232315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232315</v>
      </c>
      <c r="D123" s="2" t="str">
        <f t="shared" si="0"/>
        <v>Error?</v>
      </c>
    </row>
    <row r="124" spans="1:4" x14ac:dyDescent="0.2">
      <c r="A124" s="5">
        <v>63</v>
      </c>
      <c r="B124" s="138">
        <f>'Assets-Liab 5-6'!D41</f>
        <v>232315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39572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39572</v>
      </c>
      <c r="D170" s="2" t="str">
        <f t="shared" si="1"/>
        <v>Error?</v>
      </c>
    </row>
    <row r="171" spans="1:4" x14ac:dyDescent="0.2">
      <c r="A171" s="5">
        <v>110</v>
      </c>
      <c r="B171" s="138">
        <f>'Assets-Liab 5-6'!F41</f>
        <v>39572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1105648</v>
      </c>
      <c r="D274" s="2" t="str">
        <f t="shared" si="3"/>
        <v>Error?</v>
      </c>
    </row>
    <row r="275" spans="1:4" x14ac:dyDescent="0.2">
      <c r="A275" s="5">
        <v>214</v>
      </c>
      <c r="B275" s="138">
        <f>'Assets-Liab 5-6'!M18</f>
        <v>32958</v>
      </c>
      <c r="D275" s="2" t="str">
        <f t="shared" si="3"/>
        <v>Error?</v>
      </c>
    </row>
    <row r="276" spans="1:4" x14ac:dyDescent="0.2">
      <c r="A276" s="5">
        <v>215</v>
      </c>
      <c r="B276" s="138">
        <f>'Assets-Liab 5-6'!M19</f>
        <v>172107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1310713</v>
      </c>
      <c r="C279" s="2" t="s">
        <v>594</v>
      </c>
      <c r="D279" s="2" t="str">
        <f t="shared" si="3"/>
        <v>Error?</v>
      </c>
    </row>
    <row r="280" spans="1:4" x14ac:dyDescent="0.2">
      <c r="A280" s="5">
        <v>219</v>
      </c>
      <c r="B280" s="138">
        <f>'Assets-Liab 5-6'!M40</f>
        <v>1310713</v>
      </c>
      <c r="D280" s="2" t="str">
        <f t="shared" si="3"/>
        <v>Error?</v>
      </c>
    </row>
    <row r="281" spans="1:4" x14ac:dyDescent="0.2">
      <c r="A281" s="5">
        <v>220</v>
      </c>
      <c r="B281" s="138">
        <f>'Assets-Liab 5-6'!M41</f>
        <v>1310713</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376753</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376753</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11692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11692</v>
      </c>
      <c r="C731" s="2" t="s">
        <v>594</v>
      </c>
      <c r="D731" s="2" t="str">
        <f t="shared" si="10"/>
        <v>Error?</v>
      </c>
    </row>
    <row r="732" spans="1:4" x14ac:dyDescent="0.2">
      <c r="A732" s="5">
        <v>671</v>
      </c>
      <c r="B732" s="138">
        <f>'Expenditures 15-22'!C49</f>
        <v>1098</v>
      </c>
      <c r="D732" s="2" t="str">
        <f t="shared" si="10"/>
        <v>Error?</v>
      </c>
    </row>
    <row r="733" spans="1:4" x14ac:dyDescent="0.2">
      <c r="A733" s="5">
        <v>672</v>
      </c>
      <c r="B733" s="138">
        <f>'Expenditures 15-22'!C50</f>
        <v>74300</v>
      </c>
      <c r="D733" s="2" t="str">
        <f t="shared" si="10"/>
        <v>Error?</v>
      </c>
    </row>
    <row r="734" spans="1:4" x14ac:dyDescent="0.2">
      <c r="A734" s="5">
        <v>673</v>
      </c>
      <c r="B734" s="138">
        <f>'Expenditures 15-22'!C53</f>
        <v>75398</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45427</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45427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132517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509270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72377</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72377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1482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1482</v>
      </c>
      <c r="C789" s="2" t="s">
        <v>594</v>
      </c>
      <c r="D789" s="2" t="str">
        <f t="shared" si="11"/>
        <v>Error?</v>
      </c>
    </row>
    <row r="790" spans="1:4" x14ac:dyDescent="0.2">
      <c r="A790" s="5">
        <v>729</v>
      </c>
      <c r="B790" s="138">
        <f>'Expenditures 15-22'!D49</f>
        <v>7303</v>
      </c>
      <c r="D790" s="2" t="str">
        <f t="shared" si="11"/>
        <v>Error?</v>
      </c>
    </row>
    <row r="791" spans="1:4" x14ac:dyDescent="0.2">
      <c r="A791" s="5">
        <v>730</v>
      </c>
      <c r="B791" s="138">
        <f>'Expenditures 15-22'!D50</f>
        <v>14422</v>
      </c>
      <c r="D791" s="2" t="str">
        <f t="shared" si="11"/>
        <v>Error?</v>
      </c>
    </row>
    <row r="792" spans="1:4" x14ac:dyDescent="0.2">
      <c r="A792" s="5">
        <v>731</v>
      </c>
      <c r="B792" s="138">
        <f>'Expenditures 15-22'!D53</f>
        <v>21725</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7415</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7415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30622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102999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8084</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8084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29477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29477</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738</v>
      </c>
      <c r="D849" s="2" t="str">
        <f t="shared" si="12"/>
        <v>Error?</v>
      </c>
    </row>
    <row r="850" spans="1:4" x14ac:dyDescent="0.2">
      <c r="A850" s="5">
        <v>789</v>
      </c>
      <c r="B850" s="138">
        <f>'Expenditures 15-22'!E53</f>
        <v>738</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6900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6900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37115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49988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21500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21500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1454</v>
      </c>
      <c r="D907" s="2" t="str">
        <f t="shared" si="13"/>
        <v>Error?</v>
      </c>
    </row>
    <row r="908" spans="1:4" x14ac:dyDescent="0.2">
      <c r="A908" s="5">
        <v>847</v>
      </c>
      <c r="B908" s="138">
        <f>'Expenditures 15-22'!F53</f>
        <v>1454</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1454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22954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1161</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1161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425</v>
      </c>
      <c r="D1023" s="2" t="str">
        <f t="shared" ref="D1023:D1086" si="15">IF(ISBLANK(B1023),"OK",IF(A1023-B1023=0,"OK","Error?"))</f>
        <v>Error?</v>
      </c>
    </row>
    <row r="1024" spans="1:4" x14ac:dyDescent="0.2">
      <c r="A1024" s="5">
        <v>963</v>
      </c>
      <c r="B1024" s="138">
        <f>'Expenditures 15-22'!H53</f>
        <v>425</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425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15640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17226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479875</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479875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42651</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42651</v>
      </c>
      <c r="C1119" s="2" t="s">
        <v>594</v>
      </c>
      <c r="D1119" s="2" t="str">
        <f t="shared" si="16"/>
        <v>Error?</v>
      </c>
    </row>
    <row r="1120" spans="1:4" x14ac:dyDescent="0.2">
      <c r="A1120" s="5">
        <v>1059</v>
      </c>
      <c r="B1120" s="138">
        <f>'Expenditures 15-22'!K49</f>
        <v>8401</v>
      </c>
      <c r="C1120" s="2" t="s">
        <v>594</v>
      </c>
      <c r="D1120" s="2" t="str">
        <f t="shared" si="16"/>
        <v>Error?</v>
      </c>
    </row>
    <row r="1121" spans="1:4" x14ac:dyDescent="0.2">
      <c r="A1121" s="5">
        <v>1060</v>
      </c>
      <c r="B1121" s="138">
        <f>'Expenditures 15-22'!K50</f>
        <v>91339</v>
      </c>
      <c r="C1121" s="2" t="s">
        <v>594</v>
      </c>
      <c r="D1121" s="2" t="str">
        <f t="shared" si="16"/>
        <v>Error?</v>
      </c>
    </row>
    <row r="1122" spans="1:4" x14ac:dyDescent="0.2">
      <c r="A1122" s="5">
        <v>1061</v>
      </c>
      <c r="B1122" s="138">
        <f>'Expenditures 15-22'!K53</f>
        <v>99740</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52842</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52842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6900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6900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202133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20429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702437</v>
      </c>
      <c r="C1152" s="2" t="s">
        <v>594</v>
      </c>
      <c r="D1152" s="2" t="str">
        <f t="shared" si="17"/>
        <v>Error?</v>
      </c>
    </row>
    <row r="1153" spans="1:4" x14ac:dyDescent="0.2">
      <c r="A1153" s="5">
        <v>1092</v>
      </c>
      <c r="B1153" s="138">
        <f>'Expenditures 15-22'!K115</f>
        <v>182354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11960</v>
      </c>
      <c r="D1221" s="2" t="str">
        <f t="shared" si="18"/>
        <v>Error?</v>
      </c>
    </row>
    <row r="1222" spans="1:4" x14ac:dyDescent="0.2">
      <c r="A1222" s="10">
        <v>1161</v>
      </c>
      <c r="D1222" s="2" t="str">
        <f t="shared" si="18"/>
        <v>OK</v>
      </c>
    </row>
    <row r="1223" spans="1:4" x14ac:dyDescent="0.2">
      <c r="A1223" s="5">
        <v>1162</v>
      </c>
      <c r="B1223" s="138">
        <f>'Expenditures 15-22'!C127</f>
        <v>11960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11960</v>
      </c>
      <c r="C1225" s="2" t="s">
        <v>594</v>
      </c>
      <c r="D1225" s="2" t="str">
        <f t="shared" si="18"/>
        <v>Error?</v>
      </c>
    </row>
    <row r="1226" spans="1:4" x14ac:dyDescent="0.2">
      <c r="A1226" s="5">
        <v>1165</v>
      </c>
      <c r="B1226" s="138">
        <f>'Expenditures 15-22'!C151</f>
        <v>11960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1982</v>
      </c>
      <c r="D1229" s="2" t="str">
        <f t="shared" si="18"/>
        <v>Error?</v>
      </c>
    </row>
    <row r="1230" spans="1:4" x14ac:dyDescent="0.2">
      <c r="A1230" s="10">
        <v>1169</v>
      </c>
      <c r="D1230" s="2" t="str">
        <f t="shared" si="18"/>
        <v>OK</v>
      </c>
    </row>
    <row r="1231" spans="1:4" x14ac:dyDescent="0.2">
      <c r="A1231" s="5">
        <v>1170</v>
      </c>
      <c r="B1231" s="138">
        <f>'Expenditures 15-22'!D127</f>
        <v>1982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1982</v>
      </c>
      <c r="C1233" s="2" t="s">
        <v>594</v>
      </c>
      <c r="D1233" s="2" t="str">
        <f t="shared" si="18"/>
        <v>Error?</v>
      </c>
    </row>
    <row r="1234" spans="1:4" x14ac:dyDescent="0.2">
      <c r="A1234" s="5">
        <v>1173</v>
      </c>
      <c r="B1234" s="138">
        <f>'Expenditures 15-22'!D151</f>
        <v>1982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36711</v>
      </c>
      <c r="D1237" s="2" t="str">
        <f t="shared" si="18"/>
        <v>Error?</v>
      </c>
    </row>
    <row r="1238" spans="1:4" x14ac:dyDescent="0.2">
      <c r="A1238" s="10">
        <v>1177</v>
      </c>
      <c r="D1238" s="2" t="str">
        <f t="shared" si="18"/>
        <v>OK</v>
      </c>
    </row>
    <row r="1239" spans="1:4" x14ac:dyDescent="0.2">
      <c r="A1239" s="5">
        <v>1178</v>
      </c>
      <c r="B1239" s="138">
        <f>'Expenditures 15-22'!E127</f>
        <v>36711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36711</v>
      </c>
      <c r="C1241" s="2" t="s">
        <v>594</v>
      </c>
      <c r="D1241" s="2" t="str">
        <f t="shared" si="18"/>
        <v>Error?</v>
      </c>
    </row>
    <row r="1242" spans="1:4" x14ac:dyDescent="0.2">
      <c r="A1242" s="5">
        <v>1181</v>
      </c>
      <c r="B1242" s="138">
        <f>'Expenditures 15-22'!E151</f>
        <v>36711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42744</v>
      </c>
      <c r="D1245" s="2" t="str">
        <f t="shared" si="18"/>
        <v>Error?</v>
      </c>
    </row>
    <row r="1246" spans="1:4" x14ac:dyDescent="0.2">
      <c r="A1246" s="10">
        <v>1185</v>
      </c>
      <c r="D1246" s="2" t="str">
        <f t="shared" si="18"/>
        <v>OK</v>
      </c>
    </row>
    <row r="1247" spans="1:4" x14ac:dyDescent="0.2">
      <c r="A1247" s="5">
        <v>1186</v>
      </c>
      <c r="B1247" s="138">
        <f>'Expenditures 15-22'!F127</f>
        <v>42744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42744</v>
      </c>
      <c r="C1249" s="2" t="s">
        <v>594</v>
      </c>
      <c r="D1249" s="2" t="str">
        <f t="shared" si="18"/>
        <v>Error?</v>
      </c>
    </row>
    <row r="1250" spans="1:4" x14ac:dyDescent="0.2">
      <c r="A1250" s="5">
        <v>1189</v>
      </c>
      <c r="B1250" s="138">
        <f>'Expenditures 15-22'!F151</f>
        <v>42744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5965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5965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5965</v>
      </c>
      <c r="C1258" s="2" t="s">
        <v>594</v>
      </c>
      <c r="D1258" s="2" t="str">
        <f t="shared" si="18"/>
        <v>Error?</v>
      </c>
    </row>
    <row r="1259" spans="1:4" x14ac:dyDescent="0.2">
      <c r="A1259" s="5">
        <v>1198</v>
      </c>
      <c r="B1259" s="138">
        <f>'Expenditures 15-22'!G151</f>
        <v>5965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99362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99362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99362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99362</v>
      </c>
      <c r="C1288" s="2" t="s">
        <v>594</v>
      </c>
      <c r="D1288" s="2" t="str">
        <f t="shared" si="19"/>
        <v>Error?</v>
      </c>
    </row>
    <row r="1289" spans="1:4" x14ac:dyDescent="0.2">
      <c r="A1289" s="5">
        <v>1228</v>
      </c>
      <c r="B1289" s="138">
        <f>'Expenditures 15-22'!K152</f>
        <v>-22973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3804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3804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3804</v>
      </c>
      <c r="C1353" s="2" t="s">
        <v>594</v>
      </c>
      <c r="D1353" s="2" t="str">
        <f t="shared" si="20"/>
        <v>Error?</v>
      </c>
    </row>
    <row r="1354" spans="1:4" x14ac:dyDescent="0.2">
      <c r="A1354" s="5">
        <v>1293</v>
      </c>
      <c r="B1354" s="138">
        <f>'Expenditures 15-22'!F182</f>
        <v>716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716</v>
      </c>
      <c r="C1358" s="2" t="s">
        <v>594</v>
      </c>
      <c r="D1358" s="2" t="str">
        <f t="shared" si="20"/>
        <v>Error?</v>
      </c>
    </row>
    <row r="1359" spans="1:4" x14ac:dyDescent="0.2">
      <c r="A1359" s="5">
        <v>1298</v>
      </c>
      <c r="B1359" s="138">
        <f>'Expenditures 15-22'!F210</f>
        <v>716</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4520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4520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4520</v>
      </c>
      <c r="C1388" s="2" t="s">
        <v>594</v>
      </c>
      <c r="D1388" s="2" t="str">
        <f t="shared" si="20"/>
        <v>Error?</v>
      </c>
    </row>
    <row r="1389" spans="1:4" x14ac:dyDescent="0.2">
      <c r="A1389" s="5">
        <v>1328</v>
      </c>
      <c r="B1389" s="138">
        <f>'Expenditures 15-22'!K211</f>
        <v>2714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-21472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160882</v>
      </c>
      <c r="C1630" s="2" t="s">
        <v>594</v>
      </c>
      <c r="D1630" s="2" t="str">
        <f t="shared" si="24"/>
        <v>Error?</v>
      </c>
    </row>
    <row r="1631" spans="1:4" x14ac:dyDescent="0.2">
      <c r="A1631" s="5">
        <v>1570</v>
      </c>
      <c r="B1631" s="138">
        <f>'Acct Summary 7-8'!D79</f>
        <v>255166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232315</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36858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39572</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1105648</v>
      </c>
      <c r="D2009" s="2" t="str">
        <f t="shared" si="30"/>
        <v>Error?</v>
      </c>
    </row>
    <row r="2010" spans="1:4" x14ac:dyDescent="0.2">
      <c r="A2010" s="5">
        <v>1949</v>
      </c>
      <c r="B2010" s="138">
        <f>'Cap Outlay Deprec 26'!C10</f>
        <v>32958</v>
      </c>
      <c r="D2010" s="2" t="str">
        <f t="shared" si="30"/>
        <v>Error?</v>
      </c>
    </row>
    <row r="2011" spans="1:4" x14ac:dyDescent="0.2">
      <c r="A2011" s="5">
        <v>1950</v>
      </c>
      <c r="B2011" s="138">
        <f>'Cap Outlay Deprec 26'!C12</f>
        <v>110467</v>
      </c>
      <c r="D2011" s="2" t="str">
        <f t="shared" si="30"/>
        <v>Error?</v>
      </c>
    </row>
    <row r="2012" spans="1:4" x14ac:dyDescent="0.2">
      <c r="A2012" s="5">
        <v>1951</v>
      </c>
      <c r="B2012" s="138">
        <f>'Cap Outlay Deprec 26'!C13</f>
        <v>40675</v>
      </c>
      <c r="D2012" s="2" t="str">
        <f t="shared" si="30"/>
        <v>Error?</v>
      </c>
    </row>
    <row r="2013" spans="1:4" x14ac:dyDescent="0.2">
      <c r="A2013" s="5">
        <v>1952</v>
      </c>
      <c r="B2013" s="138">
        <f>'Cap Outlay Deprec 26'!C16</f>
        <v>1289748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20965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20965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1105648</v>
      </c>
      <c r="C2027" s="2" t="s">
        <v>594</v>
      </c>
      <c r="D2027" s="2" t="str">
        <f t="shared" si="30"/>
        <v>Error?</v>
      </c>
    </row>
    <row r="2028" spans="1:4" x14ac:dyDescent="0.2">
      <c r="A2028" s="5">
        <v>1967</v>
      </c>
      <c r="B2028" s="138">
        <f>'Cap Outlay Deprec 26'!F10</f>
        <v>32958</v>
      </c>
      <c r="C2028" s="2" t="s">
        <v>594</v>
      </c>
      <c r="D2028" s="2" t="str">
        <f t="shared" si="30"/>
        <v>Error?</v>
      </c>
    </row>
    <row r="2029" spans="1:4" x14ac:dyDescent="0.2">
      <c r="A2029" s="5">
        <v>1968</v>
      </c>
      <c r="B2029" s="138">
        <f>'Cap Outlay Deprec 26'!F12</f>
        <v>131432</v>
      </c>
      <c r="C2029" s="2" t="s">
        <v>594</v>
      </c>
      <c r="D2029" s="2" t="str">
        <f t="shared" si="30"/>
        <v>Error?</v>
      </c>
    </row>
    <row r="2030" spans="1:4" x14ac:dyDescent="0.2">
      <c r="A2030" s="5">
        <v>1969</v>
      </c>
      <c r="B2030" s="138">
        <f>'Cap Outlay Deprec 26'!F13</f>
        <v>40675</v>
      </c>
      <c r="C2030" s="2" t="s">
        <v>594</v>
      </c>
      <c r="D2030" s="2" t="str">
        <f t="shared" si="30"/>
        <v>Error?</v>
      </c>
    </row>
    <row r="2031" spans="1:4" x14ac:dyDescent="0.2">
      <c r="A2031" s="5">
        <v>1970</v>
      </c>
      <c r="B2031" s="138">
        <f>'Cap Outlay Deprec 26'!F16</f>
        <v>1310713</v>
      </c>
      <c r="C2031" s="2" t="s">
        <v>594</v>
      </c>
      <c r="D2031" s="2" t="str">
        <f t="shared" si="30"/>
        <v>Error?</v>
      </c>
    </row>
    <row r="2032" spans="1:4" x14ac:dyDescent="0.2">
      <c r="A2032" s="10">
        <v>1971</v>
      </c>
      <c r="D2032" s="2" t="str">
        <f t="shared" si="30"/>
        <v>OK</v>
      </c>
    </row>
    <row r="2033" spans="1:4" x14ac:dyDescent="0.2">
      <c r="A2033" s="5">
        <v>1972</v>
      </c>
      <c r="B2033" s="138">
        <f>'Cap Outlay Deprec 26'!H8</f>
        <v>636154</v>
      </c>
      <c r="D2033" s="2" t="str">
        <f t="shared" si="30"/>
        <v>Error?</v>
      </c>
    </row>
    <row r="2034" spans="1:4" x14ac:dyDescent="0.2">
      <c r="A2034" s="5">
        <v>1973</v>
      </c>
      <c r="B2034" s="138">
        <f>'Cap Outlay Deprec 26'!H10</f>
        <v>17808</v>
      </c>
      <c r="D2034" s="2" t="str">
        <f t="shared" si="30"/>
        <v>Error?</v>
      </c>
    </row>
    <row r="2035" spans="1:4" x14ac:dyDescent="0.2">
      <c r="A2035" s="5">
        <v>1974</v>
      </c>
      <c r="B2035" s="138">
        <f>'Cap Outlay Deprec 26'!H12</f>
        <v>39595</v>
      </c>
      <c r="D2035" s="2" t="str">
        <f t="shared" si="30"/>
        <v>Error?</v>
      </c>
    </row>
    <row r="2036" spans="1:4" x14ac:dyDescent="0.2">
      <c r="A2036" s="5">
        <v>1975</v>
      </c>
      <c r="B2036" s="138">
        <f>'Cap Outlay Deprec 26'!H13</f>
        <v>40675</v>
      </c>
      <c r="D2036" s="2" t="str">
        <f t="shared" si="30"/>
        <v>Error?</v>
      </c>
    </row>
    <row r="2037" spans="1:4" x14ac:dyDescent="0.2">
      <c r="A2037" s="5">
        <v>1976</v>
      </c>
      <c r="B2037" s="138">
        <f>'Cap Outlay Deprec 26'!H16</f>
        <v>734232</v>
      </c>
      <c r="C2037" s="2" t="s">
        <v>594</v>
      </c>
      <c r="D2037" s="2" t="str">
        <f t="shared" si="30"/>
        <v>Error?</v>
      </c>
    </row>
    <row r="2038" spans="1:4" x14ac:dyDescent="0.2">
      <c r="A2038" s="10">
        <v>1977</v>
      </c>
      <c r="D2038" s="2" t="str">
        <f t="shared" si="30"/>
        <v>OK</v>
      </c>
    </row>
    <row r="2039" spans="1:4" x14ac:dyDescent="0.2">
      <c r="A2039" s="5">
        <v>1978</v>
      </c>
      <c r="B2039" s="138">
        <f>'Cap Outlay Deprec 26'!I8</f>
        <v>22115</v>
      </c>
      <c r="D2039" s="2" t="str">
        <f t="shared" si="30"/>
        <v>Error?</v>
      </c>
    </row>
    <row r="2040" spans="1:4" x14ac:dyDescent="0.2">
      <c r="A2040" s="5">
        <v>1979</v>
      </c>
      <c r="B2040" s="138">
        <f>'Cap Outlay Deprec 26'!I10</f>
        <v>1009</v>
      </c>
      <c r="D2040" s="2" t="str">
        <f t="shared" si="30"/>
        <v>Error?</v>
      </c>
    </row>
    <row r="2041" spans="1:4" x14ac:dyDescent="0.2">
      <c r="A2041" s="5">
        <v>1980</v>
      </c>
      <c r="B2041" s="138">
        <f>'Cap Outlay Deprec 26'!I12</f>
        <v>12271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35395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658269</v>
      </c>
      <c r="C2051" s="2" t="s">
        <v>594</v>
      </c>
      <c r="D2051" s="2" t="str">
        <f t="shared" si="31"/>
        <v>Error?</v>
      </c>
    </row>
    <row r="2052" spans="1:4" x14ac:dyDescent="0.2">
      <c r="A2052" s="5">
        <v>1991</v>
      </c>
      <c r="B2052" s="138">
        <f>'Cap Outlay Deprec 26'!K10</f>
        <v>18817</v>
      </c>
      <c r="C2052" s="2" t="s">
        <v>594</v>
      </c>
      <c r="D2052" s="2" t="str">
        <f t="shared" si="31"/>
        <v>Error?</v>
      </c>
    </row>
    <row r="2053" spans="1:4" x14ac:dyDescent="0.2">
      <c r="A2053" s="5">
        <v>1992</v>
      </c>
      <c r="B2053" s="138">
        <f>'Cap Outlay Deprec 26'!K12</f>
        <v>51866</v>
      </c>
      <c r="C2053" s="2" t="s">
        <v>594</v>
      </c>
      <c r="D2053" s="2" t="str">
        <f t="shared" si="31"/>
        <v>Error?</v>
      </c>
    </row>
    <row r="2054" spans="1:4" x14ac:dyDescent="0.2">
      <c r="A2054" s="5">
        <v>1993</v>
      </c>
      <c r="B2054" s="138">
        <f>'Cap Outlay Deprec 26'!K13</f>
        <v>40675</v>
      </c>
      <c r="C2054" s="2" t="s">
        <v>594</v>
      </c>
      <c r="D2054" s="2" t="str">
        <f t="shared" si="31"/>
        <v>Error?</v>
      </c>
    </row>
    <row r="2055" spans="1:4" x14ac:dyDescent="0.2">
      <c r="A2055" s="5">
        <v>1994</v>
      </c>
      <c r="B2055" s="138">
        <f>'Cap Outlay Deprec 26'!K16</f>
        <v>769627</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447379</v>
      </c>
      <c r="C2057" s="2" t="s">
        <v>594</v>
      </c>
      <c r="D2057" s="2" t="str">
        <f t="shared" si="31"/>
        <v>Error?</v>
      </c>
    </row>
    <row r="2058" spans="1:4" x14ac:dyDescent="0.2">
      <c r="A2058" s="5">
        <v>1997</v>
      </c>
      <c r="B2058" s="138">
        <f>'Cap Outlay Deprec 26'!L10</f>
        <v>14141</v>
      </c>
      <c r="C2058" s="2" t="s">
        <v>594</v>
      </c>
      <c r="D2058" s="2" t="str">
        <f t="shared" si="31"/>
        <v>Error?</v>
      </c>
    </row>
    <row r="2059" spans="1:4" x14ac:dyDescent="0.2">
      <c r="A2059" s="5">
        <v>1998</v>
      </c>
      <c r="B2059" s="138">
        <f>'Cap Outlay Deprec 26'!L12</f>
        <v>79566</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541086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15640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20429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495990</v>
      </c>
      <c r="C2551" s="2" t="s">
        <v>594</v>
      </c>
      <c r="D2551" s="2" t="str">
        <f t="shared" si="38"/>
        <v>Error?</v>
      </c>
    </row>
    <row r="2552" spans="1:4" x14ac:dyDescent="0.2">
      <c r="A2552" s="10">
        <v>2491</v>
      </c>
      <c r="D2552" s="2" t="str">
        <f t="shared" si="38"/>
        <v>OK</v>
      </c>
    </row>
    <row r="2553" spans="1:4" x14ac:dyDescent="0.2">
      <c r="A2553" s="5">
        <v>2492</v>
      </c>
      <c r="B2553" s="138">
        <f>'Acct Summary 7-8'!C6</f>
        <v>372071</v>
      </c>
      <c r="C2553" s="2" t="s">
        <v>594</v>
      </c>
      <c r="D2553" s="2" t="str">
        <f t="shared" si="38"/>
        <v>Error?</v>
      </c>
    </row>
    <row r="2554" spans="1:4" x14ac:dyDescent="0.2">
      <c r="A2554" s="5">
        <v>2493</v>
      </c>
      <c r="B2554" s="138">
        <f>'Acct Summary 7-8'!C7</f>
        <v>16730</v>
      </c>
      <c r="C2554" s="2" t="s">
        <v>594</v>
      </c>
      <c r="D2554" s="2" t="str">
        <f t="shared" si="38"/>
        <v>Error?</v>
      </c>
    </row>
    <row r="2555" spans="1:4" x14ac:dyDescent="0.2">
      <c r="A2555" s="5">
        <v>2494</v>
      </c>
      <c r="B2555" s="138">
        <f>'Acct Summary 7-8'!C8</f>
        <v>884791</v>
      </c>
      <c r="C2555" s="2" t="s">
        <v>594</v>
      </c>
      <c r="D2555" s="2" t="str">
        <f t="shared" si="38"/>
        <v>Error?</v>
      </c>
    </row>
    <row r="2556" spans="1:4" x14ac:dyDescent="0.2">
      <c r="A2556" s="5">
        <v>2495</v>
      </c>
      <c r="B2556" s="138">
        <f>'Acct Summary 7-8'!C12</f>
        <v>479875</v>
      </c>
      <c r="C2556" s="2" t="s">
        <v>594</v>
      </c>
      <c r="D2556" s="2" t="str">
        <f t="shared" si="38"/>
        <v>Error?</v>
      </c>
    </row>
    <row r="2557" spans="1:4" x14ac:dyDescent="0.2">
      <c r="A2557" s="5">
        <v>2496</v>
      </c>
      <c r="B2557" s="138">
        <f>'Acct Summary 7-8'!C13</f>
        <v>202133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20429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702437</v>
      </c>
      <c r="C2561" s="2" t="s">
        <v>594</v>
      </c>
      <c r="D2561" s="2" t="str">
        <f t="shared" si="39"/>
        <v>Error?</v>
      </c>
    </row>
    <row r="2562" spans="1:4" x14ac:dyDescent="0.2">
      <c r="A2562" s="5">
        <v>2501</v>
      </c>
      <c r="B2562" s="138">
        <f>'Acct Summary 7-8'!C20</f>
        <v>182354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68348</v>
      </c>
      <c r="C2564" s="2" t="s">
        <v>594</v>
      </c>
      <c r="D2564" s="2" t="str">
        <f t="shared" si="39"/>
        <v>Error?</v>
      </c>
    </row>
    <row r="2565" spans="1:4" x14ac:dyDescent="0.2">
      <c r="A2565" s="10">
        <v>2504</v>
      </c>
      <c r="D2565" s="2" t="str">
        <f t="shared" si="39"/>
        <v>OK</v>
      </c>
    </row>
    <row r="2566" spans="1:4" x14ac:dyDescent="0.2">
      <c r="A2566" s="5">
        <v>2505</v>
      </c>
      <c r="B2566" s="138">
        <f>'Acct Summary 7-8'!D6</f>
        <v>8041</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76389</v>
      </c>
      <c r="C2568" s="2" t="s">
        <v>594</v>
      </c>
      <c r="D2568" s="2" t="str">
        <f t="shared" si="39"/>
        <v>Error?</v>
      </c>
    </row>
    <row r="2569" spans="1:4" x14ac:dyDescent="0.2">
      <c r="A2569" s="5">
        <v>2508</v>
      </c>
      <c r="B2569" s="138">
        <f>'Acct Summary 7-8'!D13</f>
        <v>99362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99362</v>
      </c>
      <c r="C2573" s="2" t="s">
        <v>594</v>
      </c>
      <c r="D2573" s="2" t="str">
        <f t="shared" si="39"/>
        <v>Error?</v>
      </c>
    </row>
    <row r="2574" spans="1:4" x14ac:dyDescent="0.2">
      <c r="A2574" s="5">
        <v>2513</v>
      </c>
      <c r="B2574" s="138">
        <f>'Acct Summary 7-8'!D20</f>
        <v>-22973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7234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7234</v>
      </c>
      <c r="C2595" s="2" t="s">
        <v>594</v>
      </c>
      <c r="D2595" s="2" t="str">
        <f t="shared" si="39"/>
        <v>Error?</v>
      </c>
    </row>
    <row r="2596" spans="1:4" x14ac:dyDescent="0.2">
      <c r="A2596" s="5">
        <v>2535</v>
      </c>
      <c r="B2596" s="138">
        <f>'Acct Summary 7-8'!F13</f>
        <v>4520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4520</v>
      </c>
      <c r="C2600" s="2" t="s">
        <v>594</v>
      </c>
      <c r="D2600" s="2" t="str">
        <f t="shared" si="39"/>
        <v>Error?</v>
      </c>
    </row>
    <row r="2601" spans="1:4" x14ac:dyDescent="0.2">
      <c r="A2601" s="5">
        <v>2540</v>
      </c>
      <c r="B2601" s="138">
        <f>'Acct Summary 7-8'!F20</f>
        <v>2714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4789</v>
      </c>
      <c r="C2789" s="2" t="s">
        <v>594</v>
      </c>
      <c r="D2789" s="2" t="str">
        <f t="shared" si="42"/>
        <v>Error?</v>
      </c>
    </row>
    <row r="2790" spans="1:4" x14ac:dyDescent="0.2">
      <c r="A2790" s="5">
        <v>2729</v>
      </c>
      <c r="B2790" s="138">
        <f>'Expenditures 15-22'!E102</f>
        <v>4789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19403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19403</v>
      </c>
      <c r="D2914" s="2" t="str">
        <f t="shared" si="44"/>
        <v>Error?</v>
      </c>
    </row>
    <row r="2915" spans="1:4" x14ac:dyDescent="0.2">
      <c r="A2915" s="10">
        <v>2854</v>
      </c>
      <c r="D2915" s="2" t="str">
        <f t="shared" si="44"/>
        <v>OK</v>
      </c>
    </row>
    <row r="2916" spans="1:4" x14ac:dyDescent="0.2">
      <c r="A2916" s="5">
        <v>2855</v>
      </c>
      <c r="B2916" s="138">
        <f>'Assets-Liab 5-6'!L34</f>
        <v>19403</v>
      </c>
      <c r="C2916" s="2" t="s">
        <v>594</v>
      </c>
      <c r="D2916" s="2" t="str">
        <f t="shared" si="44"/>
        <v>Error?</v>
      </c>
    </row>
    <row r="2917" spans="1:4" x14ac:dyDescent="0.2">
      <c r="A2917" s="5">
        <v>2856</v>
      </c>
      <c r="B2917" s="138">
        <f>'Assets-Liab 5-6'!L41</f>
        <v>19403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4789</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15640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20429</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182354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122</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122</v>
      </c>
      <c r="C3238" s="2" t="s">
        <v>594</v>
      </c>
      <c r="D3238" s="2" t="str">
        <f t="shared" si="49"/>
        <v>Error?</v>
      </c>
    </row>
    <row r="3239" spans="1:4" x14ac:dyDescent="0.2">
      <c r="A3239" s="5">
        <v>3178</v>
      </c>
      <c r="B3239" s="138">
        <f>'Acct Summary 7-8'!D78</f>
        <v>-22851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2714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150882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232315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39572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19403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122</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56425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941216</v>
      </c>
      <c r="C4122" s="2" t="s">
        <v>594</v>
      </c>
      <c r="D4122" s="2" t="str">
        <f t="shared" si="63"/>
        <v>Error?</v>
      </c>
    </row>
    <row r="4123" spans="1:4" x14ac:dyDescent="0.2">
      <c r="A4123" s="5">
        <v>4062</v>
      </c>
      <c r="B4123" s="138">
        <f>'Acct Summary 7-8'!D10</f>
        <v>76389</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7234</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56425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758862</v>
      </c>
      <c r="C4136" s="2" t="s">
        <v>594</v>
      </c>
      <c r="D4136" s="2" t="str">
        <f t="shared" si="63"/>
        <v>Error?</v>
      </c>
    </row>
    <row r="4137" spans="1:4" x14ac:dyDescent="0.2">
      <c r="A4137" s="5">
        <v>4076</v>
      </c>
      <c r="B4137" s="138">
        <f>'Acct Summary 7-8'!D19</f>
        <v>99362</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4520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432769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16730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480549</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3950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484499</v>
      </c>
      <c r="C5087" s="2" t="s">
        <v>594</v>
      </c>
      <c r="D5087" s="2" t="str">
        <f t="shared" si="78"/>
        <v>Error?</v>
      </c>
    </row>
    <row r="5088" spans="1:4" x14ac:dyDescent="0.2">
      <c r="A5088" s="5">
        <v>5027</v>
      </c>
      <c r="B5088" s="138">
        <f>'Revenues 9-14'!C65</f>
        <v>485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485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4254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5540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11006</v>
      </c>
      <c r="C5120" s="2" t="s">
        <v>594</v>
      </c>
      <c r="D5120" s="2" t="str">
        <f t="shared" si="79"/>
        <v>Error?</v>
      </c>
    </row>
    <row r="5121" spans="1:4" x14ac:dyDescent="0.2">
      <c r="A5121" s="5">
        <v>5060</v>
      </c>
      <c r="B5121" s="138">
        <f>'Revenues 9-14'!C109</f>
        <v>495990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200875</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171196</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372071</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372071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372071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16730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16730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16730</v>
      </c>
      <c r="C5326" s="2" t="s">
        <v>594</v>
      </c>
      <c r="D5326" s="2" t="str">
        <f t="shared" si="82"/>
        <v>Error?</v>
      </c>
    </row>
    <row r="5327" spans="1:4" x14ac:dyDescent="0.2">
      <c r="A5327" s="5">
        <v>5266</v>
      </c>
      <c r="B5327" s="138">
        <f>'Revenues 9-14'!C275</f>
        <v>884791</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10348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58000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68348</v>
      </c>
      <c r="C5355" s="2" t="s">
        <v>594</v>
      </c>
      <c r="D5355" s="2" t="str">
        <f t="shared" si="82"/>
        <v>Error?</v>
      </c>
    </row>
    <row r="5356" spans="1:4" x14ac:dyDescent="0.2">
      <c r="A5356" s="5">
        <v>5295</v>
      </c>
      <c r="B5356" s="138">
        <f>'Revenues 9-14'!D109</f>
        <v>68348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8041</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8041</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76389</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7234</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7234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7234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7234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7234</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10000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182354</v>
      </c>
      <c r="D6267" s="2" t="str">
        <f t="shared" si="96"/>
        <v>Error?</v>
      </c>
      <c r="E6267" s="2" t="s">
        <v>199</v>
      </c>
    </row>
    <row r="6268" spans="1:5" x14ac:dyDescent="0.2">
      <c r="A6268">
        <v>6207</v>
      </c>
      <c r="B6268" s="138">
        <f>'Acct Summary 7-8'!D82</f>
        <v>-22851</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2714</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1.1334642781666067</v>
      </c>
      <c r="D6276" s="2" t="str">
        <f t="shared" si="97"/>
        <v>Error?</v>
      </c>
      <c r="E6276" s="2" t="s">
        <v>199</v>
      </c>
    </row>
    <row r="6277" spans="1:5" x14ac:dyDescent="0.2">
      <c r="A6277">
        <v>6216</v>
      </c>
      <c r="B6277" s="138">
        <f>'Acct Summary 7-8'!D83</f>
        <v>-9.8362137614876347E-2</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6.8583847164661885E-2</v>
      </c>
      <c r="D6279" s="2" t="str">
        <f t="shared" si="97"/>
        <v>Error?</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1212</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8041</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35395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9.9999999999999995E-7</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3" zoomScale="110" zoomScaleNormal="110" workbookViewId="0">
      <selection sqref="A1:L3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3" t="str">
        <f>COVER!A17</f>
        <v xml:space="preserve">Jo Daviess Carroll CTE Academy </v>
      </c>
      <c r="B7" s="2404"/>
      <c r="C7" s="2404"/>
      <c r="D7" s="2441"/>
      <c r="E7" s="2442">
        <f>COVER!A13</f>
        <v>8043790040</v>
      </c>
      <c r="F7" s="2443"/>
      <c r="G7" s="2410" t="str">
        <f>COVER!T23</f>
        <v>066-004238</v>
      </c>
      <c r="H7" s="2411"/>
      <c r="I7" s="2411"/>
      <c r="J7" s="2411"/>
      <c r="K7" s="2411"/>
      <c r="L7" s="241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3"/>
      <c r="B9" s="2414"/>
      <c r="C9" s="2414"/>
      <c r="D9" s="2414"/>
      <c r="E9" s="2414"/>
      <c r="F9" s="2415"/>
      <c r="G9" s="2416" t="str">
        <f>COVER!T13</f>
        <v xml:space="preserve">Benning Group, LLC </v>
      </c>
      <c r="H9" s="2417"/>
      <c r="I9" s="2417"/>
      <c r="J9" s="2417"/>
      <c r="K9" s="2417"/>
      <c r="L9" s="2418"/>
    </row>
    <row r="10" spans="1:29" ht="13.5" customHeight="1" x14ac:dyDescent="0.2">
      <c r="A10" s="2400" t="str">
        <f>COVER!A38</f>
        <v>Kris Hall</v>
      </c>
      <c r="B10" s="2401"/>
      <c r="C10" s="2401"/>
      <c r="D10" s="2401"/>
      <c r="E10" s="2401"/>
      <c r="F10" s="2402"/>
      <c r="G10" s="2416" t="str">
        <f>COVER!T17</f>
        <v>50 W. Douglas Street, Suite 801</v>
      </c>
      <c r="H10" s="2429"/>
      <c r="I10" s="2429"/>
      <c r="J10" s="2429"/>
      <c r="K10" s="2429"/>
      <c r="L10" s="2430"/>
    </row>
    <row r="11" spans="1:29" ht="13.5" customHeight="1" x14ac:dyDescent="0.2">
      <c r="A11" s="1185" t="s">
        <v>1599</v>
      </c>
      <c r="B11" s="1186"/>
      <c r="C11" s="1187"/>
      <c r="D11" s="1192"/>
      <c r="E11" s="1187"/>
      <c r="F11" s="1191"/>
      <c r="G11" s="2416" t="str">
        <f>COVER!T19</f>
        <v xml:space="preserve">Freeport </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jblocker@benninggroup.com</v>
      </c>
      <c r="J13" s="2438"/>
      <c r="K13" s="2438"/>
      <c r="L13" s="2439"/>
    </row>
    <row r="14" spans="1:29" ht="13.5" customHeight="1" x14ac:dyDescent="0.2">
      <c r="A14" s="2416" t="str">
        <f>COVER!A19</f>
        <v>950 US HWY 20 West, P.O. Box 602</v>
      </c>
      <c r="B14" s="2429"/>
      <c r="C14" s="2429"/>
      <c r="D14" s="2429"/>
      <c r="E14" s="2429"/>
      <c r="F14" s="2430"/>
      <c r="G14" s="1196" t="s">
        <v>1247</v>
      </c>
      <c r="H14" s="1194"/>
      <c r="I14" s="1194"/>
      <c r="J14" s="1194"/>
      <c r="K14" s="1194"/>
      <c r="L14" s="1195"/>
    </row>
    <row r="15" spans="1:29" ht="13.5" customHeight="1" x14ac:dyDescent="0.2">
      <c r="A15" s="2416" t="str">
        <f>COVER!A21</f>
        <v xml:space="preserve">Elizabeth </v>
      </c>
      <c r="B15" s="2429"/>
      <c r="C15" s="2429"/>
      <c r="D15" s="2429"/>
      <c r="E15" s="2429"/>
      <c r="F15" s="2430"/>
      <c r="G15" s="2426" t="str">
        <f>COVER!T15</f>
        <v xml:space="preserve">Jenny L. Blocker </v>
      </c>
      <c r="H15" s="2427"/>
      <c r="I15" s="2427"/>
      <c r="J15" s="2427"/>
      <c r="K15" s="2427"/>
      <c r="L15" s="2428"/>
    </row>
    <row r="16" spans="1:29" ht="12.2" customHeight="1" x14ac:dyDescent="0.2">
      <c r="A16" s="2406">
        <f>COVER!A25</f>
        <v>61028</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6" t="s">
        <v>1246</v>
      </c>
      <c r="H17" s="1194"/>
      <c r="I17" s="1194"/>
      <c r="J17" s="1194"/>
      <c r="K17" s="1198" t="s">
        <v>1245</v>
      </c>
      <c r="L17" s="1191"/>
      <c r="M17" s="1184"/>
    </row>
    <row r="18" spans="1:13" ht="12.2" customHeight="1" x14ac:dyDescent="0.2">
      <c r="A18" s="2400"/>
      <c r="B18" s="2401"/>
      <c r="C18" s="2401"/>
      <c r="D18" s="2401"/>
      <c r="E18" s="2401"/>
      <c r="F18" s="2402"/>
      <c r="G18" s="2403">
        <f>COVER!T21</f>
        <v>8152353157</v>
      </c>
      <c r="H18" s="2404"/>
      <c r="I18" s="2404"/>
      <c r="J18" s="2404"/>
      <c r="K18" s="2403">
        <f>COVER!X21</f>
        <v>8152353158</v>
      </c>
      <c r="L18" s="240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zoomScale="125" zoomScaleNormal="125" workbookViewId="0">
      <selection activeCell="A82" sqref="A8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 xml:space="preserve">Jo Daviess Carroll CTE Academy </v>
      </c>
      <c r="B1" s="2440"/>
      <c r="C1" s="2440"/>
      <c r="D1" s="2440"/>
    </row>
    <row r="2" spans="1:11" s="1215" customFormat="1" ht="12.75" x14ac:dyDescent="0.2">
      <c r="A2" s="2445">
        <f>'Single Audit Cover'!E7</f>
        <v>8043790040</v>
      </c>
      <c r="B2" s="2446"/>
      <c r="C2" s="2446"/>
      <c r="D2" s="2446"/>
    </row>
    <row r="3" spans="1:11" s="1215" customFormat="1" ht="12.75" x14ac:dyDescent="0.2">
      <c r="A3" s="2444" t="s">
        <v>1593</v>
      </c>
      <c r="B3" s="2440"/>
      <c r="C3" s="2440"/>
      <c r="D3" s="244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 xml:space="preserve">Jo Daviess Carroll CTE Academy </v>
      </c>
      <c r="B1" s="2448"/>
      <c r="C1" s="2448"/>
      <c r="D1" s="2448"/>
      <c r="E1" s="2448"/>
    </row>
    <row r="2" spans="1:5" x14ac:dyDescent="0.2">
      <c r="A2" s="2449">
        <f>'Single Audit Cover'!E7</f>
        <v>8043790040</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16730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16730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16730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16730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 xml:space="preserve">Jo Daviess Carroll CTE Academy </v>
      </c>
      <c r="B1" s="2453"/>
      <c r="C1" s="2453"/>
      <c r="D1" s="2453"/>
      <c r="E1" s="2453"/>
      <c r="F1" s="2453"/>
    </row>
    <row r="2" spans="1:7" ht="13.5" customHeight="1" x14ac:dyDescent="0.2">
      <c r="A2" s="2454">
        <f>'Single Audit Cover'!E7</f>
        <v>8043790040</v>
      </c>
      <c r="B2" s="2454"/>
      <c r="C2" s="2454"/>
      <c r="D2" s="2454"/>
      <c r="E2" s="2454"/>
      <c r="F2" s="2454"/>
      <c r="G2" s="1275"/>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6" t="s">
        <v>1831</v>
      </c>
      <c r="C6" s="317"/>
      <c r="D6" s="317"/>
    </row>
    <row r="7" spans="1:7" ht="60.95" customHeight="1" x14ac:dyDescent="0.2">
      <c r="A7" s="2452" t="s">
        <v>1832</v>
      </c>
      <c r="B7" s="2452"/>
      <c r="C7" s="2452"/>
      <c r="D7" s="2452"/>
      <c r="E7" s="2452"/>
      <c r="F7" s="2452"/>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2" t="s">
        <v>1834</v>
      </c>
      <c r="B13" s="2452"/>
      <c r="C13" s="2452"/>
      <c r="D13" s="2452"/>
      <c r="E13" s="2452"/>
      <c r="F13" s="2452"/>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1" t="s">
        <v>1835</v>
      </c>
      <c r="B32" s="2461"/>
      <c r="C32" s="2461"/>
      <c r="D32" s="2461"/>
      <c r="E32" s="2461"/>
      <c r="F32" s="2461"/>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2">
        <f>+C33+C34</f>
        <v>0</v>
      </c>
      <c r="F34" s="246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70"/>
      <c r="C50" s="1870"/>
      <c r="D50" s="1870"/>
      <c r="E50" s="1399"/>
    </row>
    <row r="51" spans="1:5" s="1300" customFormat="1" ht="20.25" customHeight="1" x14ac:dyDescent="0.2">
      <c r="A51" s="1301">
        <v>6</v>
      </c>
      <c r="B51" s="2460" t="s">
        <v>1632</v>
      </c>
      <c r="C51" s="2460"/>
      <c r="D51" s="2460"/>
    </row>
    <row r="52" spans="1:5" ht="14.25" customHeight="1" x14ac:dyDescent="0.2">
      <c r="A52" s="1301"/>
      <c r="B52" s="2460"/>
      <c r="C52" s="2460"/>
      <c r="D52" s="246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29" sqref="B2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 xml:space="preserve">Jo Daviess Carroll CTE Academy </v>
      </c>
      <c r="C1" s="2465"/>
      <c r="D1" s="2465"/>
      <c r="E1" s="2465"/>
      <c r="F1" s="2465"/>
      <c r="G1" s="2465"/>
      <c r="H1" s="2465"/>
      <c r="I1" s="2465"/>
      <c r="J1" s="2465"/>
      <c r="K1" s="2465"/>
      <c r="L1" s="2465"/>
      <c r="M1" s="2465"/>
    </row>
    <row r="2" spans="2:14" ht="15" x14ac:dyDescent="0.2">
      <c r="B2" s="2454">
        <f>'Single Audit Cover'!E7</f>
        <v>8043790040</v>
      </c>
      <c r="C2" s="2454"/>
      <c r="D2" s="2454"/>
      <c r="E2" s="2454"/>
      <c r="F2" s="2454"/>
      <c r="G2" s="2454"/>
      <c r="H2" s="2454"/>
      <c r="I2" s="2454"/>
      <c r="J2" s="2454"/>
      <c r="K2" s="2454"/>
      <c r="L2" s="2454"/>
      <c r="M2" s="2454"/>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1840</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1951</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1841</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1842</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1843</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1844</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Q39" sqref="Q3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2100</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B13" sqref="B1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 xml:space="preserve">Jo Daviess Carroll CTE Academy </v>
      </c>
      <c r="C1" s="2473"/>
      <c r="D1" s="2473"/>
      <c r="E1" s="2473"/>
      <c r="F1" s="2473"/>
      <c r="G1" s="2473"/>
      <c r="H1" s="2473"/>
      <c r="I1" s="2473"/>
      <c r="J1" s="1422"/>
    </row>
    <row r="2" spans="2:10" s="317" customFormat="1" ht="12.75" customHeight="1" x14ac:dyDescent="0.2">
      <c r="B2" s="2474">
        <f>'Single Audit Cover'!E7</f>
        <v>8043790040</v>
      </c>
      <c r="C2" s="2475"/>
      <c r="D2" s="2475"/>
      <c r="E2" s="2475"/>
      <c r="F2" s="2475"/>
      <c r="G2" s="2475"/>
      <c r="H2" s="2475"/>
      <c r="I2" s="2475"/>
      <c r="J2" s="1422"/>
    </row>
    <row r="3" spans="2:10" s="317" customFormat="1" ht="12.75" customHeight="1" x14ac:dyDescent="0.2">
      <c r="B3" s="2476" t="s">
        <v>1347</v>
      </c>
      <c r="C3" s="2477"/>
      <c r="D3" s="2477"/>
      <c r="E3" s="2477"/>
      <c r="F3" s="2477"/>
      <c r="G3" s="2477"/>
      <c r="H3" s="2477"/>
      <c r="I3" s="2477"/>
      <c r="J3" s="1423"/>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6" t="s">
        <v>1346</v>
      </c>
      <c r="C7" s="2477"/>
      <c r="D7" s="2477"/>
      <c r="E7" s="2477"/>
      <c r="F7" s="2477"/>
      <c r="G7" s="2477"/>
      <c r="H7" s="2477"/>
      <c r="I7" s="247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8"/>
      <c r="D11" s="2478"/>
      <c r="E11" s="1432"/>
      <c r="F11" s="1432"/>
      <c r="G11" s="1432"/>
    </row>
    <row r="12" spans="2:10" s="317" customFormat="1" ht="11.45" customHeight="1" x14ac:dyDescent="0.2">
      <c r="B12" s="1357"/>
      <c r="C12" s="1433" t="s">
        <v>1517</v>
      </c>
      <c r="D12" s="1434"/>
      <c r="E12" s="1258"/>
    </row>
    <row r="13" spans="2:10" s="317" customFormat="1" ht="6"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9"/>
      <c r="E29" s="2479"/>
      <c r="F29" s="2479"/>
      <c r="G29" s="2479"/>
      <c r="H29" s="2479"/>
      <c r="I29" s="2479"/>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0" t="s">
        <v>1854</v>
      </c>
      <c r="D37" s="2481"/>
      <c r="E37" s="2481"/>
      <c r="F37" s="2482"/>
      <c r="G37" s="2480" t="s">
        <v>1674</v>
      </c>
      <c r="H37" s="2481"/>
      <c r="I37" s="2482"/>
    </row>
    <row r="38" spans="2:9" ht="16.5" customHeight="1" x14ac:dyDescent="0.2">
      <c r="B38" s="1444"/>
      <c r="C38" s="2468"/>
      <c r="D38" s="2469"/>
      <c r="E38" s="2469"/>
      <c r="F38" s="2470"/>
      <c r="G38" s="2483"/>
      <c r="H38" s="2484"/>
      <c r="I38" s="2485"/>
    </row>
    <row r="39" spans="2:9" ht="16.5" customHeight="1" x14ac:dyDescent="0.2">
      <c r="B39" s="1444"/>
      <c r="C39" s="2468"/>
      <c r="D39" s="2469"/>
      <c r="E39" s="2469"/>
      <c r="F39" s="2470"/>
      <c r="G39" s="2471"/>
      <c r="H39" s="2471"/>
      <c r="I39" s="2471"/>
    </row>
    <row r="40" spans="2:9" ht="16.5" customHeight="1" x14ac:dyDescent="0.2">
      <c r="B40" s="1444"/>
      <c r="C40" s="2468"/>
      <c r="D40" s="2469"/>
      <c r="E40" s="2469"/>
      <c r="F40" s="2470"/>
      <c r="G40" s="2471"/>
      <c r="H40" s="2471"/>
      <c r="I40" s="2471"/>
    </row>
    <row r="41" spans="2:9" ht="16.5" customHeight="1" x14ac:dyDescent="0.2">
      <c r="B41" s="1444"/>
      <c r="C41" s="2468"/>
      <c r="D41" s="2469"/>
      <c r="E41" s="2469"/>
      <c r="F41" s="2470"/>
      <c r="G41" s="2471"/>
      <c r="H41" s="2471"/>
      <c r="I41" s="2471"/>
    </row>
    <row r="42" spans="2:9" ht="16.5" customHeight="1" x14ac:dyDescent="0.2">
      <c r="B42" s="1444"/>
      <c r="C42" s="2468"/>
      <c r="D42" s="2469"/>
      <c r="E42" s="2469"/>
      <c r="F42" s="2470"/>
      <c r="G42" s="2471"/>
      <c r="H42" s="2471"/>
      <c r="I42" s="2471"/>
    </row>
    <row r="43" spans="2:9" ht="16.5" customHeight="1" x14ac:dyDescent="0.2">
      <c r="B43" s="1444"/>
      <c r="C43" s="2486" t="s">
        <v>1675</v>
      </c>
      <c r="D43" s="2487"/>
      <c r="E43" s="2487"/>
      <c r="F43" s="2488"/>
      <c r="G43" s="2489">
        <f>SUM(G38:I42)</f>
        <v>0</v>
      </c>
      <c r="H43" s="2489"/>
      <c r="I43" s="2489"/>
    </row>
    <row r="44" spans="2:9" ht="12.75" customHeight="1" x14ac:dyDescent="0.2"/>
    <row r="45" spans="2:9" ht="12.75" customHeight="1" x14ac:dyDescent="0.2">
      <c r="B45" s="1435" t="s">
        <v>1952</v>
      </c>
      <c r="D45" s="2490">
        <v>0</v>
      </c>
      <c r="E45" s="249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2"/>
      <c r="F49" s="2492"/>
      <c r="G49" s="249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 xml:space="preserve">Jo Daviess Carroll CTE Academy </v>
      </c>
      <c r="C1" s="2472"/>
      <c r="D1" s="2472"/>
      <c r="E1" s="2472"/>
      <c r="F1" s="2472"/>
      <c r="G1" s="2472"/>
      <c r="H1" s="2472"/>
      <c r="I1" s="2472"/>
      <c r="J1" s="2472"/>
      <c r="K1" s="2472"/>
      <c r="L1" s="1374"/>
      <c r="M1" s="1374"/>
    </row>
    <row r="2" spans="1:13" ht="12" customHeight="1" x14ac:dyDescent="0.2">
      <c r="B2" s="2474">
        <f>'Single Audit Cover'!E7</f>
        <v>8043790040</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 xml:space="preserve">Jo Daviess Carroll CTE Academy </v>
      </c>
      <c r="C1" s="2499"/>
      <c r="D1" s="2499"/>
      <c r="E1" s="2499"/>
      <c r="F1" s="2499"/>
      <c r="G1" s="2499"/>
      <c r="H1" s="2499"/>
      <c r="I1" s="2499"/>
      <c r="J1" s="2499"/>
      <c r="K1" s="2499"/>
      <c r="L1" s="1465"/>
    </row>
    <row r="2" spans="1:12" ht="12.75" customHeight="1" x14ac:dyDescent="0.2">
      <c r="B2" s="2500">
        <f>'Single Audit Cover'!E7</f>
        <v>8043790040</v>
      </c>
      <c r="C2" s="2500"/>
      <c r="D2" s="2500"/>
      <c r="E2" s="2500"/>
      <c r="F2" s="2500"/>
      <c r="G2" s="2500"/>
      <c r="H2" s="2500"/>
      <c r="I2" s="2500"/>
      <c r="J2" s="2500"/>
      <c r="K2" s="2500"/>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9"/>
      <c r="G12" s="2479"/>
      <c r="H12" s="2479"/>
      <c r="I12" s="2479"/>
      <c r="J12" s="2479"/>
      <c r="K12" s="247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2" t="str">
        <f>'Single Audit Cover'!A7</f>
        <v xml:space="preserve">Jo Daviess Carroll CTE Academy </v>
      </c>
      <c r="C1" s="2472"/>
      <c r="D1" s="2472"/>
      <c r="E1" s="1491"/>
    </row>
    <row r="2" spans="2:5" s="1282" customFormat="1" ht="12.75" customHeight="1" x14ac:dyDescent="0.2">
      <c r="B2" s="2474">
        <f>'Single Audit Cover'!E7</f>
        <v>8043790040</v>
      </c>
      <c r="C2" s="2474"/>
      <c r="D2" s="2474"/>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Q39" sqref="Q3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968414</v>
      </c>
      <c r="E16" s="356"/>
      <c r="F16" s="1755">
        <f>SUM('Acct Summary 7-8'!C17,'Acct Summary 7-8'!D17,'Acct Summary 7-8'!F17)</f>
        <v>806319</v>
      </c>
      <c r="G16" s="356"/>
      <c r="H16" s="1755">
        <f>SUM(D16-F16)</f>
        <v>162095</v>
      </c>
      <c r="I16" s="222"/>
      <c r="J16" s="1755">
        <f>SUM('Acct Summary 7-8'!C81,'Acct Summary 7-8'!D81,'Acct Summary 7-8'!F81,'Acct Summary 7-8'!I81)</f>
        <v>432769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9" zoomScale="110" zoomScaleNormal="110" workbookViewId="0">
      <selection activeCell="Q39" sqref="Q3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 xml:space="preserve">Jo Daviess Carroll CTE Academy </v>
      </c>
      <c r="E7" s="391"/>
      <c r="G7" s="252"/>
      <c r="H7" s="387"/>
      <c r="I7" s="387"/>
      <c r="J7" s="387"/>
      <c r="K7" s="387"/>
      <c r="L7" s="329"/>
      <c r="M7" s="329"/>
      <c r="N7" s="329"/>
      <c r="O7" s="329"/>
      <c r="P7" s="329"/>
    </row>
    <row r="8" spans="1:18" ht="12.75" x14ac:dyDescent="0.2">
      <c r="A8" s="329"/>
      <c r="B8" s="329"/>
      <c r="C8" s="389" t="s">
        <v>1187</v>
      </c>
      <c r="D8" s="392">
        <f>COVER!A13</f>
        <v>8043790040</v>
      </c>
      <c r="E8" s="393"/>
      <c r="G8" s="329"/>
      <c r="H8" s="329"/>
      <c r="I8" s="329"/>
      <c r="J8" s="329"/>
      <c r="K8" s="329"/>
      <c r="L8" s="329"/>
      <c r="M8" s="329"/>
      <c r="N8" s="329"/>
      <c r="O8" s="329"/>
      <c r="P8" s="329"/>
    </row>
    <row r="9" spans="1:18" ht="12.75" x14ac:dyDescent="0.2">
      <c r="A9" s="329"/>
      <c r="B9" s="329"/>
      <c r="C9" s="389" t="s">
        <v>737</v>
      </c>
      <c r="D9" s="394" t="str">
        <f>COVER!A15</f>
        <v xml:space="preserve">Jo Daviess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432769</v>
      </c>
      <c r="I12" s="404"/>
      <c r="J12" s="404"/>
      <c r="K12" s="405">
        <f>TRUNC((H12/H13*100000),5)/100000</f>
        <v>0.44688428699999999</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968414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806319</v>
      </c>
      <c r="I17" s="404"/>
      <c r="J17" s="416"/>
      <c r="K17" s="405">
        <f>TRUNC((H17/H18*100000),5)/100000</f>
        <v>0.83261807449999992</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968414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422769</v>
      </c>
      <c r="I24" s="422"/>
      <c r="J24" s="422"/>
      <c r="K24" s="423">
        <f>TRUNC(((H24/H25*100000)/100000),2)</f>
        <v>188.75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2239.7750000000001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Normal="100" workbookViewId="0">
      <pane ySplit="2" topLeftCell="A9" activePane="bottomLeft" state="frozen"/>
      <selection activeCell="Q39" sqref="Q39"/>
      <selection pane="bottomLeft" activeCell="Q39" sqref="Q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150882</v>
      </c>
      <c r="D4" s="466">
        <v>232315</v>
      </c>
      <c r="E4" s="466">
        <v>0</v>
      </c>
      <c r="F4" s="466">
        <v>39572</v>
      </c>
      <c r="G4" s="466"/>
      <c r="H4" s="466"/>
      <c r="I4" s="466"/>
      <c r="J4" s="467"/>
      <c r="K4" s="466"/>
      <c r="L4" s="466">
        <v>19403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10000</v>
      </c>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160882</v>
      </c>
      <c r="D13" s="1759">
        <f t="shared" ref="D13:L13" si="0">SUM(D4:D12)</f>
        <v>232315</v>
      </c>
      <c r="E13" s="1759">
        <f t="shared" si="0"/>
        <v>0</v>
      </c>
      <c r="F13" s="1759">
        <f t="shared" si="0"/>
        <v>39572</v>
      </c>
      <c r="G13" s="1759">
        <f t="shared" si="0"/>
        <v>0</v>
      </c>
      <c r="H13" s="1759">
        <f t="shared" si="0"/>
        <v>0</v>
      </c>
      <c r="I13" s="1759">
        <f t="shared" si="0"/>
        <v>0</v>
      </c>
      <c r="J13" s="1759">
        <f t="shared" si="0"/>
        <v>0</v>
      </c>
      <c r="K13" s="1759">
        <f t="shared" si="0"/>
        <v>0</v>
      </c>
      <c r="L13" s="1759">
        <f t="shared" si="0"/>
        <v>19403</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v>1105648</v>
      </c>
      <c r="N17" s="484"/>
    </row>
    <row r="18" spans="1:14" s="485" customFormat="1" ht="12.75" customHeight="1" x14ac:dyDescent="0.2">
      <c r="A18" s="482" t="s">
        <v>1471</v>
      </c>
      <c r="B18" s="483">
        <v>240</v>
      </c>
      <c r="C18" s="477"/>
      <c r="D18" s="477"/>
      <c r="E18" s="477"/>
      <c r="F18" s="477"/>
      <c r="G18" s="477"/>
      <c r="H18" s="477"/>
      <c r="I18" s="477"/>
      <c r="J18" s="477"/>
      <c r="K18" s="477"/>
      <c r="L18" s="477"/>
      <c r="M18" s="467">
        <v>32958</v>
      </c>
      <c r="N18" s="484"/>
    </row>
    <row r="19" spans="1:14" s="485" customFormat="1" ht="12.75" customHeight="1" x14ac:dyDescent="0.2">
      <c r="A19" s="482" t="s">
        <v>1472</v>
      </c>
      <c r="B19" s="483">
        <v>250</v>
      </c>
      <c r="C19" s="477"/>
      <c r="D19" s="477"/>
      <c r="E19" s="477"/>
      <c r="F19" s="477"/>
      <c r="G19" s="477"/>
      <c r="H19" s="477"/>
      <c r="I19" s="477"/>
      <c r="J19" s="477"/>
      <c r="K19" s="477"/>
      <c r="L19" s="477"/>
      <c r="M19" s="467">
        <v>172107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1310713</v>
      </c>
      <c r="N23" s="1710">
        <f>SUM(N21:N22)</f>
        <v>0</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19403</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19403</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160882</v>
      </c>
      <c r="D39" s="466">
        <v>232315</v>
      </c>
      <c r="E39" s="466"/>
      <c r="F39" s="466">
        <v>39572</v>
      </c>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1310713</v>
      </c>
      <c r="N40" s="497"/>
    </row>
    <row r="41" spans="1:14" ht="13.5" customHeight="1" thickBot="1" x14ac:dyDescent="0.25">
      <c r="A41" s="1758" t="s">
        <v>676</v>
      </c>
      <c r="B41" s="1728"/>
      <c r="C41" s="1710">
        <f>(SUM(C34,C37,C38,C39))</f>
        <v>160882</v>
      </c>
      <c r="D41" s="1710">
        <f t="shared" ref="D41:L41" si="2">SUM(D34,D37,D38:D39)</f>
        <v>232315</v>
      </c>
      <c r="E41" s="1710">
        <f t="shared" si="2"/>
        <v>0</v>
      </c>
      <c r="F41" s="1710">
        <f t="shared" si="2"/>
        <v>39572</v>
      </c>
      <c r="G41" s="1710">
        <f t="shared" si="2"/>
        <v>0</v>
      </c>
      <c r="H41" s="1710">
        <f t="shared" si="2"/>
        <v>0</v>
      </c>
      <c r="I41" s="1710">
        <f t="shared" si="2"/>
        <v>0</v>
      </c>
      <c r="J41" s="1710">
        <f t="shared" si="2"/>
        <v>0</v>
      </c>
      <c r="K41" s="1710">
        <f t="shared" si="2"/>
        <v>0</v>
      </c>
      <c r="L41" s="1710">
        <f t="shared" si="2"/>
        <v>19403</v>
      </c>
      <c r="M41" s="1710">
        <f>SUM(M40)</f>
        <v>1310713</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Split"/>
      <selection activeCell="Q39" sqref="Q39"/>
      <selection pane="bottomLeft" activeCell="Q39" sqref="Q3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4" t="s">
        <v>1579</v>
      </c>
      <c r="B4" s="1955">
        <v>1000</v>
      </c>
      <c r="C4" s="1764">
        <f>'Revenues 9-14'!C109</f>
        <v>495990</v>
      </c>
      <c r="D4" s="1764">
        <f>'Revenues 9-14'!D109</f>
        <v>68348</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372071</v>
      </c>
      <c r="D6" s="1765">
        <f>'Revenues 9-14'!D173</f>
        <v>8041</v>
      </c>
      <c r="E6" s="1765">
        <f>'Revenues 9-14'!E173</f>
        <v>0</v>
      </c>
      <c r="F6" s="1765">
        <f>'Revenues 9-14'!F173</f>
        <v>7234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16730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884791</v>
      </c>
      <c r="D8" s="1710">
        <f t="shared" ref="D8:K8" si="0">SUM(D4:D7)</f>
        <v>76389</v>
      </c>
      <c r="E8" s="1710">
        <f t="shared" si="0"/>
        <v>0</v>
      </c>
      <c r="F8" s="1710">
        <f t="shared" si="0"/>
        <v>7234</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56425</v>
      </c>
      <c r="D9" s="516"/>
      <c r="E9" s="481"/>
      <c r="F9" s="481"/>
      <c r="G9" s="517"/>
      <c r="H9" s="481"/>
      <c r="I9" s="509" t="s">
        <v>1231</v>
      </c>
      <c r="J9" s="478"/>
      <c r="K9" s="481"/>
      <c r="L9" s="347"/>
    </row>
    <row r="10" spans="1:13" s="519" customFormat="1" ht="13.5" thickBot="1" x14ac:dyDescent="0.25">
      <c r="A10" s="1758" t="s">
        <v>1235</v>
      </c>
      <c r="B10" s="1731"/>
      <c r="C10" s="1710">
        <f>SUM(C8:C9)</f>
        <v>941216</v>
      </c>
      <c r="D10" s="1710">
        <f t="shared" ref="D10:K10" si="1">SUM(D8:D9)</f>
        <v>76389</v>
      </c>
      <c r="E10" s="1710">
        <f t="shared" si="1"/>
        <v>0</v>
      </c>
      <c r="F10" s="1710">
        <f t="shared" si="1"/>
        <v>7234</v>
      </c>
      <c r="G10" s="1710">
        <f t="shared" si="1"/>
        <v>0</v>
      </c>
      <c r="H10" s="1710">
        <f t="shared" si="1"/>
        <v>0</v>
      </c>
      <c r="I10" s="1710">
        <f t="shared" si="1"/>
        <v>0</v>
      </c>
      <c r="J10" s="1710">
        <f t="shared" si="1"/>
        <v>0</v>
      </c>
      <c r="K10" s="1710">
        <f t="shared" si="1"/>
        <v>0</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479875</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202133</v>
      </c>
      <c r="D13" s="1765">
        <f>'Expenditures 15-22'!K129</f>
        <v>99362</v>
      </c>
      <c r="E13" s="469" t="s">
        <v>1231</v>
      </c>
      <c r="F13" s="1765">
        <f>'Expenditures 15-22'!K184</f>
        <v>4520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20429</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702437</v>
      </c>
      <c r="D17" s="1710">
        <f t="shared" si="2"/>
        <v>99362</v>
      </c>
      <c r="E17" s="1710">
        <f t="shared" si="2"/>
        <v>0</v>
      </c>
      <c r="F17" s="1710">
        <f t="shared" si="2"/>
        <v>4520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56425</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758862</v>
      </c>
      <c r="D19" s="1710">
        <f t="shared" si="4"/>
        <v>99362</v>
      </c>
      <c r="E19" s="1710">
        <f t="shared" si="4"/>
        <v>0</v>
      </c>
      <c r="F19" s="1710">
        <f t="shared" si="4"/>
        <v>4520</v>
      </c>
      <c r="G19" s="1710">
        <f t="shared" si="4"/>
        <v>0</v>
      </c>
      <c r="H19" s="1710">
        <f t="shared" si="4"/>
        <v>0</v>
      </c>
      <c r="I19" s="468"/>
      <c r="J19" s="1710">
        <f>SUM(J17:J18)</f>
        <v>0</v>
      </c>
      <c r="K19" s="1710">
        <f>SUM(K17:K18)</f>
        <v>0</v>
      </c>
      <c r="L19" s="347"/>
    </row>
    <row r="20" spans="1:12" ht="16.5" thickTop="1" thickBot="1" x14ac:dyDescent="0.25">
      <c r="A20" s="2145" t="s">
        <v>1754</v>
      </c>
      <c r="B20" s="2146"/>
      <c r="C20" s="1768">
        <f>C8-C17</f>
        <v>182354</v>
      </c>
      <c r="D20" s="1768">
        <f t="shared" ref="D20:K20" si="5">D8-D17</f>
        <v>-22973</v>
      </c>
      <c r="E20" s="1768">
        <f t="shared" si="5"/>
        <v>0</v>
      </c>
      <c r="F20" s="1768">
        <f t="shared" si="5"/>
        <v>2714</v>
      </c>
      <c r="G20" s="1768">
        <f t="shared" si="5"/>
        <v>0</v>
      </c>
      <c r="H20" s="1768">
        <f t="shared" si="5"/>
        <v>0</v>
      </c>
      <c r="I20" s="1768">
        <f t="shared" si="5"/>
        <v>0</v>
      </c>
      <c r="J20" s="1768">
        <f t="shared" si="5"/>
        <v>0</v>
      </c>
      <c r="K20" s="1768">
        <f t="shared" si="5"/>
        <v>0</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v>122</v>
      </c>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5">
        <f>SUM(C24:C43)</f>
        <v>0</v>
      </c>
      <c r="D44" s="1725">
        <f t="shared" ref="D44:K44" si="6">SUM(D24:D43)</f>
        <v>122</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7" t="s">
        <v>1239</v>
      </c>
      <c r="B77" s="2138"/>
      <c r="C77" s="1725">
        <f t="shared" ref="C77:K77" si="8">C44-C76</f>
        <v>0</v>
      </c>
      <c r="D77" s="1725">
        <f t="shared" si="8"/>
        <v>122</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1" t="s">
        <v>618</v>
      </c>
      <c r="B78" s="2142"/>
      <c r="C78" s="1724">
        <f t="shared" ref="C78:K78" si="9">C20+C77</f>
        <v>182354</v>
      </c>
      <c r="D78" s="1724">
        <f t="shared" si="9"/>
        <v>-22851</v>
      </c>
      <c r="E78" s="1724">
        <f t="shared" si="9"/>
        <v>0</v>
      </c>
      <c r="F78" s="1724">
        <f t="shared" si="9"/>
        <v>2714</v>
      </c>
      <c r="G78" s="1724">
        <f t="shared" si="9"/>
        <v>0</v>
      </c>
      <c r="H78" s="1724">
        <f t="shared" si="9"/>
        <v>0</v>
      </c>
      <c r="I78" s="1724">
        <f t="shared" si="9"/>
        <v>0</v>
      </c>
      <c r="J78" s="1724">
        <f t="shared" si="9"/>
        <v>0</v>
      </c>
      <c r="K78" s="1724">
        <f t="shared" si="9"/>
        <v>0</v>
      </c>
      <c r="L78" s="533"/>
    </row>
    <row r="79" spans="1:12" ht="13.5" thickTop="1" x14ac:dyDescent="0.2">
      <c r="A79" s="1516" t="s">
        <v>2073</v>
      </c>
      <c r="B79" s="534"/>
      <c r="C79" s="478">
        <v>-21472</v>
      </c>
      <c r="D79" s="535">
        <v>255166</v>
      </c>
      <c r="E79" s="535">
        <v>0</v>
      </c>
      <c r="F79" s="535">
        <v>36858</v>
      </c>
      <c r="G79" s="535">
        <v>0</v>
      </c>
      <c r="H79" s="535">
        <v>0</v>
      </c>
      <c r="I79" s="535">
        <v>0</v>
      </c>
      <c r="J79" s="535">
        <v>0</v>
      </c>
      <c r="K79" s="535">
        <v>0</v>
      </c>
      <c r="L79" s="347"/>
    </row>
    <row r="80" spans="1:12" x14ac:dyDescent="0.2">
      <c r="A80" s="2147" t="s">
        <v>1898</v>
      </c>
      <c r="B80" s="2148"/>
      <c r="C80" s="467"/>
      <c r="D80" s="467"/>
      <c r="E80" s="467"/>
      <c r="F80" s="467"/>
      <c r="G80" s="467"/>
      <c r="H80" s="467"/>
      <c r="I80" s="467"/>
      <c r="J80" s="467"/>
      <c r="K80" s="467"/>
      <c r="L80" s="347"/>
    </row>
    <row r="81" spans="1:12" ht="13.5" thickBot="1" x14ac:dyDescent="0.25">
      <c r="A81" s="2139" t="s">
        <v>2074</v>
      </c>
      <c r="B81" s="2140"/>
      <c r="C81" s="1710">
        <f>(SUM(C78:C80))</f>
        <v>160882</v>
      </c>
      <c r="D81" s="1710">
        <f>SUM(D78:D80)</f>
        <v>232315</v>
      </c>
      <c r="E81" s="1710">
        <f t="shared" ref="E81:K81" si="10">SUM(E78:E80)</f>
        <v>0</v>
      </c>
      <c r="F81" s="1710">
        <f t="shared" si="10"/>
        <v>39572</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182354</v>
      </c>
      <c r="D82" s="538">
        <f t="shared" ref="D82:K82" si="11">(D81-D79)</f>
        <v>-22851</v>
      </c>
      <c r="E82" s="538">
        <f t="shared" si="11"/>
        <v>0</v>
      </c>
      <c r="F82" s="538">
        <f t="shared" si="11"/>
        <v>2714</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1.1334642781666067</v>
      </c>
      <c r="D83" s="540">
        <f t="shared" ref="D83:K83" si="12">D82/D81</f>
        <v>-9.8362137614876347E-2</v>
      </c>
      <c r="E83" s="540" t="e">
        <f t="shared" si="12"/>
        <v>#DIV/0!</v>
      </c>
      <c r="F83" s="540">
        <f t="shared" si="12"/>
        <v>6.8583847164661885E-2</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Q39" sqref="Q39"/>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v>480549</v>
      </c>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v>3950</v>
      </c>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484499</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485</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485</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10348</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4254</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v>1212</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v>58000</v>
      </c>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5540</v>
      </c>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11006</v>
      </c>
      <c r="D108" s="1729">
        <f t="shared" ref="D108:K108" si="3">SUM(D95:D107)</f>
        <v>68348</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495990</v>
      </c>
      <c r="D109" s="1737">
        <f t="shared" si="4"/>
        <v>68348</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200875</v>
      </c>
      <c r="D133" s="466"/>
      <c r="E133" s="561"/>
      <c r="F133" s="468"/>
      <c r="G133" s="466"/>
      <c r="H133" s="468"/>
      <c r="I133" s="468"/>
      <c r="J133" s="468"/>
      <c r="K133" s="468"/>
    </row>
    <row r="134" spans="1:11" ht="12.75" customHeight="1" x14ac:dyDescent="0.2">
      <c r="A134" s="463" t="s">
        <v>690</v>
      </c>
      <c r="B134" s="562">
        <v>3220</v>
      </c>
      <c r="C134" s="551">
        <v>171196</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372071</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7234</v>
      </c>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7234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v>8041</v>
      </c>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372071</v>
      </c>
      <c r="D172" s="1744">
        <f t="shared" si="6"/>
        <v>8041</v>
      </c>
      <c r="E172" s="1744">
        <f t="shared" si="6"/>
        <v>0</v>
      </c>
      <c r="F172" s="1744">
        <f t="shared" si="6"/>
        <v>7234</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372071</v>
      </c>
      <c r="D173" s="1737">
        <f>SUM(D121,D172)</f>
        <v>8041</v>
      </c>
      <c r="E173" s="1737">
        <f>SUM(E121,E172)</f>
        <v>0</v>
      </c>
      <c r="F173" s="1737">
        <f t="shared" ref="F173:K173" si="7">SUM(F121,F172)</f>
        <v>7234</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16730</v>
      </c>
      <c r="D227" s="466"/>
      <c r="E227" s="468"/>
      <c r="F227" s="468"/>
      <c r="G227" s="466"/>
      <c r="H227" s="468"/>
      <c r="I227" s="468"/>
      <c r="J227" s="468"/>
      <c r="K227" s="468"/>
    </row>
    <row r="228" spans="1:11" ht="12.75" customHeight="1" thickBot="1" x14ac:dyDescent="0.25">
      <c r="A228" s="1745" t="s">
        <v>1145</v>
      </c>
      <c r="B228" s="1746"/>
      <c r="C228" s="1729">
        <f>SUM(C226:C227)</f>
        <v>16730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16730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16730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884791</v>
      </c>
      <c r="D275" s="1737">
        <f t="shared" si="12"/>
        <v>76389</v>
      </c>
      <c r="E275" s="1737">
        <f t="shared" si="12"/>
        <v>0</v>
      </c>
      <c r="F275" s="1737">
        <f t="shared" si="12"/>
        <v>7234</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63" activePane="bottomLeft" state="frozen"/>
      <selection activeCell="Q39" sqref="Q39"/>
      <selection pane="bottomLeft" activeCell="Q39" sqref="Q3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376753</v>
      </c>
      <c r="D13" s="466">
        <v>72377</v>
      </c>
      <c r="E13" s="466">
        <v>8084</v>
      </c>
      <c r="F13" s="466">
        <v>21500</v>
      </c>
      <c r="G13" s="466"/>
      <c r="H13" s="466">
        <v>1161</v>
      </c>
      <c r="I13" s="467"/>
      <c r="J13" s="467"/>
      <c r="K13" s="1693">
        <f t="shared" si="0"/>
        <v>479875</v>
      </c>
      <c r="L13" s="466">
        <v>555111</v>
      </c>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376753</v>
      </c>
      <c r="D33" s="1692">
        <f t="shared" ref="D33:L33" si="1">SUM(D5:D32)</f>
        <v>72377</v>
      </c>
      <c r="E33" s="1692">
        <f t="shared" si="1"/>
        <v>8084</v>
      </c>
      <c r="F33" s="1692">
        <f t="shared" si="1"/>
        <v>21500</v>
      </c>
      <c r="G33" s="1692">
        <f t="shared" si="1"/>
        <v>0</v>
      </c>
      <c r="H33" s="1692">
        <f t="shared" si="1"/>
        <v>1161</v>
      </c>
      <c r="I33" s="1692">
        <f t="shared" si="1"/>
        <v>0</v>
      </c>
      <c r="J33" s="1692">
        <f t="shared" si="1"/>
        <v>0</v>
      </c>
      <c r="K33" s="1692">
        <f t="shared" si="1"/>
        <v>479875</v>
      </c>
      <c r="L33" s="1692">
        <f t="shared" si="1"/>
        <v>555111</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0</v>
      </c>
      <c r="F42" s="1692">
        <f t="shared" si="3"/>
        <v>0</v>
      </c>
      <c r="G42" s="1692">
        <f t="shared" si="3"/>
        <v>0</v>
      </c>
      <c r="H42" s="1692">
        <f t="shared" si="3"/>
        <v>0</v>
      </c>
      <c r="I42" s="1692">
        <f t="shared" si="3"/>
        <v>0</v>
      </c>
      <c r="J42" s="1692">
        <f t="shared" si="3"/>
        <v>0</v>
      </c>
      <c r="K42" s="1692">
        <f t="shared" si="3"/>
        <v>0</v>
      </c>
      <c r="L42" s="1692">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row>
    <row r="45" spans="1:14" x14ac:dyDescent="0.2">
      <c r="A45" s="1526" t="s">
        <v>869</v>
      </c>
      <c r="B45" s="615">
        <v>2220</v>
      </c>
      <c r="C45" s="466">
        <v>11692</v>
      </c>
      <c r="D45" s="466">
        <v>1482</v>
      </c>
      <c r="E45" s="466">
        <v>29477</v>
      </c>
      <c r="F45" s="466"/>
      <c r="G45" s="466"/>
      <c r="H45" s="466"/>
      <c r="I45" s="467"/>
      <c r="J45" s="467"/>
      <c r="K45" s="1694">
        <f>SUM(C45:J45)</f>
        <v>42651</v>
      </c>
      <c r="L45" s="466">
        <v>17953</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11692</v>
      </c>
      <c r="D47" s="1692">
        <f t="shared" ref="D47:K47" si="4">SUM(D44:D46)</f>
        <v>1482</v>
      </c>
      <c r="E47" s="1692">
        <f t="shared" si="4"/>
        <v>29477</v>
      </c>
      <c r="F47" s="1692">
        <f t="shared" si="4"/>
        <v>0</v>
      </c>
      <c r="G47" s="1692">
        <f t="shared" si="4"/>
        <v>0</v>
      </c>
      <c r="H47" s="1692">
        <f t="shared" si="4"/>
        <v>0</v>
      </c>
      <c r="I47" s="1692">
        <f t="shared" si="4"/>
        <v>0</v>
      </c>
      <c r="J47" s="1692">
        <f t="shared" si="4"/>
        <v>0</v>
      </c>
      <c r="K47" s="1692">
        <f t="shared" si="4"/>
        <v>42651</v>
      </c>
      <c r="L47" s="1692">
        <f>SUM(L44:L46)</f>
        <v>17953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1098</v>
      </c>
      <c r="D49" s="481">
        <v>7303</v>
      </c>
      <c r="E49" s="481"/>
      <c r="F49" s="481"/>
      <c r="G49" s="481"/>
      <c r="H49" s="481"/>
      <c r="I49" s="467"/>
      <c r="J49" s="467"/>
      <c r="K49" s="1694">
        <f>SUM(C49:J49)</f>
        <v>8401</v>
      </c>
      <c r="L49" s="481">
        <v>51270</v>
      </c>
    </row>
    <row r="50" spans="1:14" x14ac:dyDescent="0.2">
      <c r="A50" s="1526" t="s">
        <v>872</v>
      </c>
      <c r="B50" s="615">
        <v>2320</v>
      </c>
      <c r="C50" s="466">
        <v>74300</v>
      </c>
      <c r="D50" s="466">
        <v>14422</v>
      </c>
      <c r="E50" s="466">
        <v>738</v>
      </c>
      <c r="F50" s="466">
        <v>1454</v>
      </c>
      <c r="G50" s="466"/>
      <c r="H50" s="466">
        <v>425</v>
      </c>
      <c r="I50" s="467"/>
      <c r="J50" s="467"/>
      <c r="K50" s="1694">
        <f>SUM(C50:J50)</f>
        <v>91339</v>
      </c>
      <c r="L50" s="466">
        <v>95910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75398</v>
      </c>
      <c r="D53" s="1692">
        <f t="shared" ref="D53:L53" si="5">SUM(D49:D52)</f>
        <v>21725</v>
      </c>
      <c r="E53" s="1692">
        <f t="shared" si="5"/>
        <v>738</v>
      </c>
      <c r="F53" s="1692">
        <f t="shared" si="5"/>
        <v>1454</v>
      </c>
      <c r="G53" s="1692">
        <f t="shared" si="5"/>
        <v>0</v>
      </c>
      <c r="H53" s="1692">
        <f t="shared" si="5"/>
        <v>425</v>
      </c>
      <c r="I53" s="1692">
        <f t="shared" si="5"/>
        <v>0</v>
      </c>
      <c r="J53" s="1692">
        <f t="shared" si="5"/>
        <v>0</v>
      </c>
      <c r="K53" s="1692">
        <f t="shared" si="5"/>
        <v>99740</v>
      </c>
      <c r="L53" s="1692">
        <f t="shared" si="5"/>
        <v>147180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45427</v>
      </c>
      <c r="D59" s="481">
        <v>7415</v>
      </c>
      <c r="E59" s="481"/>
      <c r="F59" s="481"/>
      <c r="G59" s="481"/>
      <c r="H59" s="481"/>
      <c r="I59" s="467"/>
      <c r="J59" s="467"/>
      <c r="K59" s="1694">
        <f t="shared" ref="K59:K64" si="7">SUM(C59:J59)</f>
        <v>52842</v>
      </c>
      <c r="L59" s="481">
        <v>52786</v>
      </c>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45427</v>
      </c>
      <c r="D65" s="1692">
        <f t="shared" ref="D65:L65" si="8">SUM(D59:D64)</f>
        <v>7415</v>
      </c>
      <c r="E65" s="1692">
        <f t="shared" si="8"/>
        <v>0</v>
      </c>
      <c r="F65" s="1692">
        <f t="shared" si="8"/>
        <v>0</v>
      </c>
      <c r="G65" s="1692">
        <f t="shared" si="8"/>
        <v>0</v>
      </c>
      <c r="H65" s="1692">
        <f t="shared" si="8"/>
        <v>0</v>
      </c>
      <c r="I65" s="1692">
        <f t="shared" si="8"/>
        <v>0</v>
      </c>
      <c r="J65" s="1692">
        <f t="shared" si="8"/>
        <v>0</v>
      </c>
      <c r="K65" s="1692">
        <f t="shared" si="8"/>
        <v>52842</v>
      </c>
      <c r="L65" s="1692">
        <f t="shared" si="8"/>
        <v>52786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v>6900</v>
      </c>
      <c r="F69" s="466"/>
      <c r="G69" s="466"/>
      <c r="H69" s="466"/>
      <c r="I69" s="467"/>
      <c r="J69" s="467"/>
      <c r="K69" s="1694">
        <f>SUM(C69:J69)</f>
        <v>6900</v>
      </c>
      <c r="L69" s="466">
        <v>6900</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6900</v>
      </c>
      <c r="F72" s="1692">
        <f t="shared" si="9"/>
        <v>0</v>
      </c>
      <c r="G72" s="1692">
        <f t="shared" si="9"/>
        <v>0</v>
      </c>
      <c r="H72" s="1692">
        <f t="shared" si="9"/>
        <v>0</v>
      </c>
      <c r="I72" s="1692">
        <f t="shared" si="9"/>
        <v>0</v>
      </c>
      <c r="J72" s="1692">
        <f t="shared" si="9"/>
        <v>0</v>
      </c>
      <c r="K72" s="1692">
        <f t="shared" si="9"/>
        <v>6900</v>
      </c>
      <c r="L72" s="1692">
        <f>SUM(L67:L71)</f>
        <v>6900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132517</v>
      </c>
      <c r="D74" s="1699">
        <f t="shared" ref="D74:K74" si="10">SUM(D42,D47,D53,D57,D65,D72,D73)</f>
        <v>30622</v>
      </c>
      <c r="E74" s="1699">
        <f t="shared" si="10"/>
        <v>37115</v>
      </c>
      <c r="F74" s="1699">
        <f t="shared" si="10"/>
        <v>1454</v>
      </c>
      <c r="G74" s="1699">
        <f t="shared" si="10"/>
        <v>0</v>
      </c>
      <c r="H74" s="1699">
        <f t="shared" si="10"/>
        <v>425</v>
      </c>
      <c r="I74" s="1699">
        <f t="shared" si="10"/>
        <v>0</v>
      </c>
      <c r="J74" s="1699">
        <f t="shared" si="10"/>
        <v>0</v>
      </c>
      <c r="K74" s="1699">
        <f t="shared" si="10"/>
        <v>202133</v>
      </c>
      <c r="L74" s="1699">
        <f>SUM(L42,L47,L53,L57,L65,L72,L73)</f>
        <v>224819</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v>4789</v>
      </c>
      <c r="F81" s="617"/>
      <c r="G81" s="617"/>
      <c r="H81" s="466">
        <v>15640</v>
      </c>
      <c r="I81" s="477"/>
      <c r="J81" s="477"/>
      <c r="K81" s="1693">
        <f t="shared" si="11"/>
        <v>20429</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4789</v>
      </c>
      <c r="F84" s="617"/>
      <c r="G84" s="617"/>
      <c r="H84" s="1692">
        <f>SUM(H78:H83)</f>
        <v>15640</v>
      </c>
      <c r="I84" s="477"/>
      <c r="J84" s="477"/>
      <c r="K84" s="1692">
        <f>SUM(K78:K83)</f>
        <v>20429</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4789</v>
      </c>
      <c r="F102" s="617"/>
      <c r="G102" s="617"/>
      <c r="H102" s="1699">
        <f>SUM(H84,H92,H100,H101)</f>
        <v>15640</v>
      </c>
      <c r="I102" s="477"/>
      <c r="J102" s="477"/>
      <c r="K102" s="1699">
        <f>SUM(K84,K92,K100,K101)</f>
        <v>20429</v>
      </c>
      <c r="L102" s="1699">
        <f>SUM(L84,L92,L100,L101)</f>
        <v>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509270</v>
      </c>
      <c r="D114" s="1692">
        <f t="shared" ref="D114:K114" si="13">SUM(D33,D74,D75,D102,D112,D113)</f>
        <v>102999</v>
      </c>
      <c r="E114" s="1692">
        <f t="shared" si="13"/>
        <v>49988</v>
      </c>
      <c r="F114" s="1692">
        <f t="shared" si="13"/>
        <v>22954</v>
      </c>
      <c r="G114" s="1692">
        <f t="shared" si="13"/>
        <v>0</v>
      </c>
      <c r="H114" s="1692">
        <f>SUM(H33,H74,H75,H102,H112,H113)</f>
        <v>17226</v>
      </c>
      <c r="I114" s="1692">
        <f t="shared" si="13"/>
        <v>0</v>
      </c>
      <c r="J114" s="1692">
        <f t="shared" si="13"/>
        <v>0</v>
      </c>
      <c r="K114" s="1692">
        <f t="shared" si="13"/>
        <v>702437</v>
      </c>
      <c r="L114" s="1692">
        <f>SUM(L33,L74,L75,L102,L112,L113)</f>
        <v>779930</v>
      </c>
    </row>
    <row r="115" spans="1:14" ht="13.5" thickTop="1" x14ac:dyDescent="0.2">
      <c r="A115" s="2175" t="s">
        <v>1053</v>
      </c>
      <c r="B115" s="2176"/>
      <c r="C115" s="619"/>
      <c r="D115" s="619"/>
      <c r="E115" s="619"/>
      <c r="F115" s="619"/>
      <c r="G115" s="619"/>
      <c r="H115" s="619"/>
      <c r="I115" s="619"/>
      <c r="J115" s="619"/>
      <c r="K115" s="1706">
        <f>'Revenues 9-14'!C275-'Expenditures 15-22'!K114</f>
        <v>182354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11960</v>
      </c>
      <c r="D124" s="466">
        <v>1982</v>
      </c>
      <c r="E124" s="466">
        <v>36711</v>
      </c>
      <c r="F124" s="466">
        <v>42744</v>
      </c>
      <c r="G124" s="466">
        <v>5965</v>
      </c>
      <c r="H124" s="466"/>
      <c r="I124" s="467"/>
      <c r="J124" s="467"/>
      <c r="K124" s="1692">
        <f>SUM(C124:J124)</f>
        <v>99362</v>
      </c>
      <c r="L124" s="466">
        <v>166350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11960</v>
      </c>
      <c r="D127" s="1692">
        <f t="shared" ref="D127:L127" si="14">SUM(D122:D126)</f>
        <v>1982</v>
      </c>
      <c r="E127" s="1692">
        <f t="shared" si="14"/>
        <v>36711</v>
      </c>
      <c r="F127" s="1692">
        <f t="shared" si="14"/>
        <v>42744</v>
      </c>
      <c r="G127" s="1692">
        <f t="shared" si="14"/>
        <v>5965</v>
      </c>
      <c r="H127" s="1692">
        <f t="shared" si="14"/>
        <v>0</v>
      </c>
      <c r="I127" s="1692">
        <f t="shared" si="14"/>
        <v>0</v>
      </c>
      <c r="J127" s="1692">
        <f t="shared" si="14"/>
        <v>0</v>
      </c>
      <c r="K127" s="1692">
        <f t="shared" si="14"/>
        <v>99362</v>
      </c>
      <c r="L127" s="1692">
        <f t="shared" si="14"/>
        <v>166350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11960</v>
      </c>
      <c r="D129" s="1699">
        <f t="shared" ref="D129:L129" si="15">SUM(D120,D127,D128)</f>
        <v>1982</v>
      </c>
      <c r="E129" s="1699">
        <f t="shared" si="15"/>
        <v>36711</v>
      </c>
      <c r="F129" s="1699">
        <f t="shared" si="15"/>
        <v>42744</v>
      </c>
      <c r="G129" s="1699">
        <f t="shared" si="15"/>
        <v>5965</v>
      </c>
      <c r="H129" s="1699">
        <f t="shared" si="15"/>
        <v>0</v>
      </c>
      <c r="I129" s="1699">
        <f t="shared" si="15"/>
        <v>0</v>
      </c>
      <c r="J129" s="1699">
        <f t="shared" si="15"/>
        <v>0</v>
      </c>
      <c r="K129" s="1699">
        <f t="shared" si="15"/>
        <v>99362</v>
      </c>
      <c r="L129" s="1699">
        <f t="shared" si="15"/>
        <v>166350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2" t="s">
        <v>641</v>
      </c>
      <c r="B151" s="2172"/>
      <c r="C151" s="1692">
        <f>SUM(C129,C130,C139,C149,C150)</f>
        <v>11960</v>
      </c>
      <c r="D151" s="1692">
        <f t="shared" ref="D151:K151" si="16">SUM(D129,D130,D139,D149,D150)</f>
        <v>1982</v>
      </c>
      <c r="E151" s="1692">
        <f t="shared" si="16"/>
        <v>36711</v>
      </c>
      <c r="F151" s="1692">
        <f t="shared" si="16"/>
        <v>42744</v>
      </c>
      <c r="G151" s="1692">
        <f t="shared" si="16"/>
        <v>5965</v>
      </c>
      <c r="H151" s="1692">
        <f t="shared" si="16"/>
        <v>0</v>
      </c>
      <c r="I151" s="1692">
        <f t="shared" si="16"/>
        <v>0</v>
      </c>
      <c r="J151" s="1692">
        <f t="shared" si="16"/>
        <v>0</v>
      </c>
      <c r="K151" s="1692">
        <f t="shared" si="16"/>
        <v>99362</v>
      </c>
      <c r="L151" s="1692">
        <f>SUM(L129,L130,L139,L149,L150)</f>
        <v>166350</v>
      </c>
    </row>
    <row r="152" spans="1:14" ht="12.75" customHeight="1" thickTop="1" x14ac:dyDescent="0.2">
      <c r="A152" s="2195" t="s">
        <v>1240</v>
      </c>
      <c r="B152" s="2196"/>
      <c r="C152" s="619"/>
      <c r="D152" s="619"/>
      <c r="E152" s="619"/>
      <c r="F152" s="619"/>
      <c r="G152" s="619"/>
      <c r="H152" s="619"/>
      <c r="I152" s="619"/>
      <c r="J152" s="617"/>
      <c r="K152" s="1706">
        <f>'Revenues 9-14'!D275-'Expenditures 15-22'!K151</f>
        <v>-22973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5" t="s">
        <v>1053</v>
      </c>
      <c r="B175" s="2176"/>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3804</v>
      </c>
      <c r="F182" s="466">
        <v>716</v>
      </c>
      <c r="G182" s="466"/>
      <c r="H182" s="466"/>
      <c r="I182" s="467"/>
      <c r="J182" s="467"/>
      <c r="K182" s="1693">
        <f>SUM(C182:J182)</f>
        <v>4520</v>
      </c>
      <c r="L182" s="466">
        <v>4650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3804</v>
      </c>
      <c r="F184" s="1699">
        <f t="shared" si="17"/>
        <v>716</v>
      </c>
      <c r="G184" s="1699">
        <f t="shared" si="17"/>
        <v>0</v>
      </c>
      <c r="H184" s="1699">
        <f t="shared" si="17"/>
        <v>0</v>
      </c>
      <c r="I184" s="1699">
        <f t="shared" si="17"/>
        <v>0</v>
      </c>
      <c r="J184" s="1699">
        <f t="shared" si="17"/>
        <v>0</v>
      </c>
      <c r="K184" s="1699">
        <f>SUM(K180,K182,K183)</f>
        <v>4520</v>
      </c>
      <c r="L184" s="1699">
        <f>SUM(L180, L182:L183)</f>
        <v>4650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3804</v>
      </c>
      <c r="F210" s="1692">
        <f>SUM(F184,F185)</f>
        <v>716</v>
      </c>
      <c r="G210" s="1692">
        <f>SUM(G184,G185)</f>
        <v>0</v>
      </c>
      <c r="H210" s="1692">
        <f>SUM(H184,H185,H196,H208,H209)</f>
        <v>0</v>
      </c>
      <c r="I210" s="1692">
        <f>SUM(I184,I185)</f>
        <v>0</v>
      </c>
      <c r="J210" s="1692">
        <f>SUM(J184,J185)</f>
        <v>0</v>
      </c>
      <c r="K210" s="1693">
        <f>SUM(K184,K185,K196,K208,K209)</f>
        <v>4520</v>
      </c>
      <c r="L210" s="1692">
        <f>SUM(L184,L185,L196,L208,L209)</f>
        <v>4650</v>
      </c>
    </row>
    <row r="211" spans="1:14" ht="13.5" thickTop="1" x14ac:dyDescent="0.2">
      <c r="A211" s="2175" t="s">
        <v>1053</v>
      </c>
      <c r="B211" s="2176"/>
      <c r="C211" s="619"/>
      <c r="D211" s="619"/>
      <c r="E211" s="619"/>
      <c r="F211" s="619"/>
      <c r="G211" s="619"/>
      <c r="H211" s="619"/>
      <c r="I211" s="617"/>
      <c r="J211" s="617"/>
      <c r="K211" s="1706">
        <f>'Revenues 9-14'!F275-'Expenditures 15-22'!K210</f>
        <v>2714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75" t="s">
        <v>1053</v>
      </c>
      <c r="B296" s="2176"/>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v>5000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5000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5000</v>
      </c>
      <c r="M312" s="666"/>
      <c r="N312" s="666"/>
    </row>
    <row r="313" spans="1:14" ht="13.5" thickTop="1" x14ac:dyDescent="0.2">
      <c r="A313" s="2186" t="s">
        <v>1053</v>
      </c>
      <c r="B313" s="2187"/>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8" t="s">
        <v>1053</v>
      </c>
      <c r="B343" s="2189"/>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5" t="s">
        <v>1053</v>
      </c>
      <c r="B368" s="2176"/>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d21dc803-237d-4c68-8692-8d731fd29118"/>
    <ds:schemaRef ds:uri="http://purl.org/dc/terms/"/>
    <ds:schemaRef ds:uri="http://purl.org/dc/elements/1.1/"/>
    <ds:schemaRef ds:uri="http://www.w3.org/XML/1998/namespace"/>
    <ds:schemaRef ds:uri="http://schemas.microsoft.com/office/2006/documentManagement/types"/>
    <ds:schemaRef ds:uri="http://schemas.microsoft.com/sharepoint/v3"/>
    <ds:schemaRef ds:uri="http://schemas.microsoft.com/office/infopath/2007/PartnerControls"/>
    <ds:schemaRef ds:uri="4d435f69-8686-490b-bd6d-b153bf22ab50"/>
    <ds:schemaRef ds:uri="http://purl.org/dc/dcmitype/"/>
    <ds:schemaRef ds:uri="http://schemas.openxmlformats.org/package/2006/metadata/core-properties"/>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2018-10-19T20:41:55Z</cp:lastPrinted>
  <dcterms:created xsi:type="dcterms:W3CDTF">2003-10-29T19:06:34Z</dcterms:created>
  <dcterms:modified xsi:type="dcterms:W3CDTF">2018-11-26T17:34:41Z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JO DAVIESS CARROLL CTEA</vt:lpwstr>
  </property>
  <property fmtid="{D5CDD505-2E9C-101B-9397-08002B2CF9AE}" pid="6" name="PPC_Template_Engagement_Date">
    <vt:lpwstr>6/30/2018</vt:lpwstr>
  </property>
</Properties>
</file>