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8800" windowHeight="123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 NOTES (2)" sheetId="183" r:id="rId29"/>
    <sheet name=" SEFA" sheetId="179" r:id="rId30"/>
    <sheet name=" SEFA (2)" sheetId="184" r:id="rId31"/>
    <sheet name="SF&amp;QC Sec-1" sheetId="174" r:id="rId32"/>
    <sheet name="SF&amp;QC Sec-2" sheetId="175" r:id="rId33"/>
    <sheet name="SF&amp;QC Sec-2 (2)" sheetId="185" r:id="rId34"/>
    <sheet name="SF&amp;QC Sec-3" sheetId="176" r:id="rId35"/>
    <sheet name="SSPAF" sheetId="177" r:id="rId36"/>
  </sheets>
  <definedNames>
    <definedName name="_xlnm.Print_Area" localSheetId="29">' SEFA'!$B$1:$M$46</definedName>
    <definedName name="_xlnm.Print_Area" localSheetId="30">' SEFA (2)'!$B$1:$M$46</definedName>
    <definedName name="_xlnm.Print_Area" localSheetId="27">'SEFA NOTES'!$A$1:$F$52</definedName>
    <definedName name="_xlnm.Print_Area" localSheetId="28">'SEFA NOTES (2)'!$A$1:$F$52</definedName>
    <definedName name="_xlnm.Print_Area" localSheetId="26">'SEFA Reconcile'!$A$1:$E$49</definedName>
    <definedName name="_xlnm.Print_Area" localSheetId="31">'SF&amp;QC Sec-1'!$A$1:$J$63</definedName>
    <definedName name="_xlnm.Print_Area" localSheetId="34">'SF&amp;QC Sec-3'!$A$1:$K$52</definedName>
    <definedName name="_xlnm.Print_Area" localSheetId="16">'Shared Outsourced Services 31'!$A$2:$F$43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8">#REF!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8">#REF!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8">#REF!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8">#REF!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8">#REF!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B4" i="185" l="1"/>
  <c r="L27" i="184"/>
  <c r="L26" i="184"/>
  <c r="L25" i="184"/>
  <c r="B4" i="184"/>
  <c r="E34" i="183"/>
  <c r="A4" i="183"/>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A1" i="183"/>
  <c r="B1" i="184"/>
  <c r="B2" i="179"/>
  <c r="B2" i="185"/>
  <c r="B2" i="184"/>
  <c r="A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c r="B6390" i="106"/>
  <c r="D6390" i="106" s="1"/>
  <c r="B6391" i="106"/>
  <c r="D6391" i="106" s="1"/>
  <c r="B6392" i="106"/>
  <c r="D6392" i="106" s="1"/>
  <c r="B6393" i="106"/>
  <c r="D6393" i="106" s="1"/>
  <c r="B6394" i="106"/>
  <c r="D6394" i="106" s="1"/>
  <c r="B6395" i="106"/>
  <c r="D6395" i="106" s="1"/>
  <c r="B6398" i="106"/>
  <c r="D6398" i="106" s="1"/>
  <c r="B6399" i="106"/>
  <c r="D6399" i="106"/>
  <c r="B6401" i="106"/>
  <c r="D6401" i="106" s="1"/>
  <c r="B6402" i="106"/>
  <c r="D6402" i="106" s="1"/>
  <c r="B6403" i="106"/>
  <c r="D6403" i="106" s="1"/>
  <c r="B6404" i="106"/>
  <c r="D6404" i="106" s="1"/>
  <c r="B6405" i="106"/>
  <c r="D6405" i="106" s="1"/>
  <c r="B6406" i="106"/>
  <c r="D6406" i="106" s="1"/>
  <c r="B6407" i="106"/>
  <c r="D6407" i="106" s="1"/>
  <c r="B6408" i="106"/>
  <c r="D6408" i="106"/>
  <c r="B6410" i="106"/>
  <c r="D6410" i="106" s="1"/>
  <c r="B6411" i="106"/>
  <c r="D6411" i="106"/>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c r="B6617" i="106"/>
  <c r="D6617" i="106" s="1"/>
  <c r="B6618" i="106"/>
  <c r="D6618" i="106" s="1"/>
  <c r="B6619" i="106"/>
  <c r="D6619" i="106" s="1"/>
  <c r="B6620" i="106"/>
  <c r="D6620" i="106" s="1"/>
  <c r="B6621" i="106"/>
  <c r="D6621" i="106" s="1"/>
  <c r="B6622" i="106"/>
  <c r="D6622" i="106" s="1"/>
  <c r="B6623" i="106"/>
  <c r="D6623" i="106" s="1"/>
  <c r="B6624" i="106"/>
  <c r="D6624" i="106"/>
  <c r="B6625" i="106"/>
  <c r="D6625" i="106" s="1"/>
  <c r="B6626" i="106"/>
  <c r="D6626" i="106" s="1"/>
  <c r="B6627" i="106"/>
  <c r="D6627" i="106" s="1"/>
  <c r="B6628" i="106"/>
  <c r="D6628" i="106" s="1"/>
  <c r="B6629" i="106"/>
  <c r="D6629" i="106" s="1"/>
  <c r="B6630" i="106"/>
  <c r="D6630" i="106" s="1"/>
  <c r="B6631" i="106"/>
  <c r="D6631" i="106" s="1"/>
  <c r="B6632" i="106"/>
  <c r="D6632" i="106"/>
  <c r="B6633" i="106"/>
  <c r="D6633" i="106" s="1"/>
  <c r="B6634" i="106"/>
  <c r="D6634" i="106" s="1"/>
  <c r="B6635" i="106"/>
  <c r="D6635" i="106" s="1"/>
  <c r="B6636" i="106"/>
  <c r="D6636" i="106" s="1"/>
  <c r="B6637" i="106"/>
  <c r="D6637" i="106" s="1"/>
  <c r="B6638" i="106"/>
  <c r="D6638" i="106" s="1"/>
  <c r="B6639" i="106"/>
  <c r="D6639" i="106" s="1"/>
  <c r="B6640" i="106"/>
  <c r="D6640" i="106"/>
  <c r="B6641" i="106"/>
  <c r="D6641" i="106" s="1"/>
  <c r="B6642" i="106"/>
  <c r="D6642" i="106"/>
  <c r="B6643" i="106"/>
  <c r="D6643" i="106" s="1"/>
  <c r="B6644" i="106"/>
  <c r="D6644" i="106" s="1"/>
  <c r="B6645" i="106"/>
  <c r="D6645" i="106" s="1"/>
  <c r="B6646" i="106"/>
  <c r="D6646" i="106" s="1"/>
  <c r="B6647" i="106"/>
  <c r="D6647" i="106" s="1"/>
  <c r="B6648" i="106"/>
  <c r="D6648" i="106"/>
  <c r="B6649" i="106"/>
  <c r="D6649" i="106" s="1"/>
  <c r="B6650" i="106"/>
  <c r="D6650" i="106"/>
  <c r="B6651" i="106"/>
  <c r="D6651" i="106" s="1"/>
  <c r="B6652" i="106"/>
  <c r="D6652" i="106" s="1"/>
  <c r="B6653" i="106"/>
  <c r="D6653" i="106" s="1"/>
  <c r="B6654" i="106"/>
  <c r="D6654" i="106" s="1"/>
  <c r="B6655" i="106"/>
  <c r="D6655" i="106" s="1"/>
  <c r="B6656" i="106"/>
  <c r="D6656" i="106"/>
  <c r="B6657" i="106"/>
  <c r="D6657" i="106" s="1"/>
  <c r="B6658" i="106"/>
  <c r="D6658" i="106"/>
  <c r="B6659" i="106"/>
  <c r="D6659" i="106" s="1"/>
  <c r="B6660" i="106"/>
  <c r="D6660" i="106" s="1"/>
  <c r="B6661" i="106"/>
  <c r="D6661" i="106" s="1"/>
  <c r="B6662" i="106"/>
  <c r="D6662" i="106" s="1"/>
  <c r="B6663" i="106"/>
  <c r="D6663" i="106" s="1"/>
  <c r="B6664" i="106"/>
  <c r="D6664" i="106"/>
  <c r="B6665" i="106"/>
  <c r="D6665" i="106" s="1"/>
  <c r="B6666" i="106"/>
  <c r="D6666" i="106"/>
  <c r="B6667" i="106"/>
  <c r="D6667" i="106" s="1"/>
  <c r="B6668" i="106"/>
  <c r="D6668" i="106" s="1"/>
  <c r="B6669" i="106"/>
  <c r="D6669" i="106" s="1"/>
  <c r="B6670" i="106"/>
  <c r="D6670" i="106" s="1"/>
  <c r="B6671" i="106"/>
  <c r="D6671" i="106" s="1"/>
  <c r="B6672" i="106"/>
  <c r="D6672" i="106"/>
  <c r="B6673" i="106"/>
  <c r="D6673" i="106" s="1"/>
  <c r="B6674" i="106"/>
  <c r="D6674" i="106"/>
  <c r="B6675" i="106"/>
  <c r="D6675" i="106" s="1"/>
  <c r="B6676" i="106"/>
  <c r="D6676" i="106" s="1"/>
  <c r="B6677" i="106"/>
  <c r="D6677" i="106" s="1"/>
  <c r="B6678" i="106"/>
  <c r="D6678" i="106" s="1"/>
  <c r="B6679" i="106"/>
  <c r="D6679" i="106" s="1"/>
  <c r="B6680" i="106"/>
  <c r="D6680" i="106"/>
  <c r="B6681" i="106"/>
  <c r="D6681" i="106" s="1"/>
  <c r="B6682" i="106"/>
  <c r="D6682" i="106"/>
  <c r="B6683" i="106"/>
  <c r="D6683" i="106" s="1"/>
  <c r="B6684" i="106"/>
  <c r="D6684" i="106" s="1"/>
  <c r="B6685" i="106"/>
  <c r="D6685" i="106" s="1"/>
  <c r="B6686" i="106"/>
  <c r="D6686" i="106" s="1"/>
  <c r="B6687" i="106"/>
  <c r="D6687" i="106" s="1"/>
  <c r="B6688" i="106"/>
  <c r="D6688" i="106"/>
  <c r="B6689" i="106"/>
  <c r="D6689" i="106" s="1"/>
  <c r="B6690" i="106"/>
  <c r="D6690" i="106"/>
  <c r="B6691" i="106"/>
  <c r="D6691" i="106" s="1"/>
  <c r="B6692" i="106"/>
  <c r="D6692" i="106" s="1"/>
  <c r="B6693" i="106"/>
  <c r="D6693" i="106" s="1"/>
  <c r="B6694" i="106"/>
  <c r="D6694" i="106" s="1"/>
  <c r="B6695" i="106"/>
  <c r="D6695" i="106" s="1"/>
  <c r="B6696" i="106"/>
  <c r="D6696" i="106"/>
  <c r="B6697" i="106"/>
  <c r="D6697" i="106" s="1"/>
  <c r="B6698" i="106"/>
  <c r="D6698" i="106"/>
  <c r="B6699" i="106"/>
  <c r="D6699" i="106" s="1"/>
  <c r="B6700" i="106"/>
  <c r="D6700" i="106" s="1"/>
  <c r="B6701" i="106"/>
  <c r="D6701" i="106" s="1"/>
  <c r="B6702" i="106"/>
  <c r="D6702" i="106" s="1"/>
  <c r="B6703" i="106"/>
  <c r="D6703" i="106" s="1"/>
  <c r="B6704" i="106"/>
  <c r="D6704" i="106"/>
  <c r="B6705" i="106"/>
  <c r="D6705" i="106" s="1"/>
  <c r="B6706" i="106"/>
  <c r="D6706" i="106"/>
  <c r="B6707" i="106"/>
  <c r="D6707" i="106" s="1"/>
  <c r="B6708" i="106"/>
  <c r="D6708" i="106" s="1"/>
  <c r="B6709" i="106"/>
  <c r="D6709" i="106" s="1"/>
  <c r="B6710" i="106"/>
  <c r="D6710" i="106" s="1"/>
  <c r="B6711" i="106"/>
  <c r="D6711" i="106" s="1"/>
  <c r="B6712" i="106"/>
  <c r="D6712" i="106"/>
  <c r="B6713" i="106"/>
  <c r="D6713" i="106" s="1"/>
  <c r="B6714" i="106"/>
  <c r="D6714" i="106"/>
  <c r="B6715" i="106"/>
  <c r="D6715" i="106" s="1"/>
  <c r="B6716" i="106"/>
  <c r="D6716" i="106" s="1"/>
  <c r="B6717" i="106"/>
  <c r="D6717" i="106" s="1"/>
  <c r="B6718" i="106"/>
  <c r="D6718" i="106" s="1"/>
  <c r="B6719" i="106"/>
  <c r="D6719" i="106" s="1"/>
  <c r="B6720" i="106"/>
  <c r="D6720" i="106"/>
  <c r="B6721" i="106"/>
  <c r="D6721" i="106" s="1"/>
  <c r="B6722" i="106"/>
  <c r="D6722" i="106"/>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c r="B6743" i="106"/>
  <c r="D6743" i="106" s="1"/>
  <c r="B6744" i="106"/>
  <c r="D6744" i="106"/>
  <c r="B6745" i="106"/>
  <c r="D6745" i="106" s="1"/>
  <c r="B6746" i="106"/>
  <c r="D6746" i="106" s="1"/>
  <c r="B6747" i="106"/>
  <c r="D6747" i="106" s="1"/>
  <c r="B6748" i="106"/>
  <c r="D6748" i="106" s="1"/>
  <c r="B6749" i="106"/>
  <c r="D6749" i="106" s="1"/>
  <c r="B6750" i="106"/>
  <c r="D6750" i="106"/>
  <c r="B6751" i="106"/>
  <c r="D6751" i="106" s="1"/>
  <c r="B6752" i="106"/>
  <c r="D6752" i="106"/>
  <c r="B6753" i="106"/>
  <c r="D6753" i="106" s="1"/>
  <c r="B6754" i="106"/>
  <c r="D6754" i="106" s="1"/>
  <c r="B6755" i="106"/>
  <c r="D6755" i="106" s="1"/>
  <c r="B6756" i="106"/>
  <c r="D6756" i="106" s="1"/>
  <c r="B6757" i="106"/>
  <c r="D6757" i="106" s="1"/>
  <c r="B6758" i="106"/>
  <c r="D6758" i="106"/>
  <c r="B6759" i="106"/>
  <c r="D6759" i="106" s="1"/>
  <c r="B6760" i="106"/>
  <c r="D6760" i="106"/>
  <c r="B6761" i="106"/>
  <c r="D6761" i="106" s="1"/>
  <c r="B6762" i="106"/>
  <c r="D6762" i="106" s="1"/>
  <c r="B6763" i="106"/>
  <c r="D6763" i="106" s="1"/>
  <c r="B6764" i="106"/>
  <c r="D6764" i="106" s="1"/>
  <c r="B6765" i="106"/>
  <c r="D6765" i="106" s="1"/>
  <c r="B6766" i="106"/>
  <c r="D6766" i="106"/>
  <c r="B6767" i="106"/>
  <c r="D6767" i="106" s="1"/>
  <c r="B6768" i="106"/>
  <c r="D6768" i="106"/>
  <c r="B6769" i="106"/>
  <c r="D6769" i="106" s="1"/>
  <c r="B6770" i="106"/>
  <c r="D6770" i="106" s="1"/>
  <c r="B6771" i="106"/>
  <c r="D6771" i="106" s="1"/>
  <c r="B6772" i="106"/>
  <c r="D6772" i="106" s="1"/>
  <c r="B6773" i="106"/>
  <c r="D6773" i="106" s="1"/>
  <c r="B6774" i="106"/>
  <c r="D6774" i="106"/>
  <c r="B6775" i="106"/>
  <c r="D6775" i="106" s="1"/>
  <c r="B6776" i="106"/>
  <c r="D6776" i="106"/>
  <c r="B6777" i="106"/>
  <c r="D6777" i="106" s="1"/>
  <c r="B6778" i="106"/>
  <c r="D6778" i="106" s="1"/>
  <c r="B6779" i="106"/>
  <c r="D6779" i="106" s="1"/>
  <c r="B6780" i="106"/>
  <c r="D6780" i="106" s="1"/>
  <c r="B6781" i="106"/>
  <c r="D6781" i="106" s="1"/>
  <c r="B6782" i="106"/>
  <c r="D6782" i="106"/>
  <c r="B6783" i="106"/>
  <c r="D6783" i="106" s="1"/>
  <c r="B6784" i="106"/>
  <c r="D6784" i="106"/>
  <c r="B6785" i="106"/>
  <c r="D6785" i="106" s="1"/>
  <c r="B6786" i="106"/>
  <c r="D6786" i="106" s="1"/>
  <c r="B6787" i="106"/>
  <c r="D6787" i="106" s="1"/>
  <c r="B6788" i="106"/>
  <c r="D6788" i="106" s="1"/>
  <c r="B6789" i="106"/>
  <c r="D6789" i="106" s="1"/>
  <c r="B6790" i="106"/>
  <c r="D6790" i="106"/>
  <c r="B6791" i="106"/>
  <c r="D6791" i="106" s="1"/>
  <c r="B6792" i="106"/>
  <c r="D6792" i="106"/>
  <c r="B6793" i="106"/>
  <c r="D6793" i="106" s="1"/>
  <c r="B6794" i="106"/>
  <c r="D6794" i="106" s="1"/>
  <c r="B6795" i="106"/>
  <c r="D6795" i="106" s="1"/>
  <c r="B6796" i="106"/>
  <c r="D6796" i="106" s="1"/>
  <c r="B6797" i="106"/>
  <c r="D6797" i="106" s="1"/>
  <c r="B6798" i="106"/>
  <c r="D6798" i="106"/>
  <c r="B6799" i="106"/>
  <c r="D6799" i="106" s="1"/>
  <c r="B6800" i="106"/>
  <c r="D6800" i="106"/>
  <c r="B6801" i="106"/>
  <c r="D6801" i="106" s="1"/>
  <c r="B6802" i="106"/>
  <c r="D6802" i="106" s="1"/>
  <c r="B6803" i="106"/>
  <c r="D6803" i="106" s="1"/>
  <c r="B6804" i="106"/>
  <c r="D6804" i="106" s="1"/>
  <c r="B6805" i="106"/>
  <c r="D6805" i="106" s="1"/>
  <c r="B6806" i="106"/>
  <c r="D6806" i="106"/>
  <c r="B6807" i="106"/>
  <c r="D6807" i="106" s="1"/>
  <c r="B6808" i="106"/>
  <c r="D6808" i="106"/>
  <c r="B6809" i="106"/>
  <c r="D6809" i="106" s="1"/>
  <c r="B6810" i="106"/>
  <c r="D6810" i="106" s="1"/>
  <c r="B6811" i="106"/>
  <c r="D6811" i="106" s="1"/>
  <c r="B6812" i="106"/>
  <c r="D6812" i="106" s="1"/>
  <c r="B6813" i="106"/>
  <c r="D6813" i="106" s="1"/>
  <c r="B6814" i="106"/>
  <c r="D6814" i="106"/>
  <c r="B6815" i="106"/>
  <c r="D6815" i="106" s="1"/>
  <c r="B6816" i="106"/>
  <c r="D6816" i="106"/>
  <c r="B6817" i="106"/>
  <c r="D6817" i="106" s="1"/>
  <c r="B6818" i="106"/>
  <c r="D6818" i="106" s="1"/>
  <c r="B6819" i="106"/>
  <c r="D6819" i="106" s="1"/>
  <c r="B6820" i="106"/>
  <c r="D6820" i="106" s="1"/>
  <c r="B6821" i="106"/>
  <c r="D6821" i="106" s="1"/>
  <c r="B6822" i="106"/>
  <c r="D6822" i="106"/>
  <c r="B6823" i="106"/>
  <c r="D6823" i="106" s="1"/>
  <c r="B6824" i="106"/>
  <c r="D6824" i="106"/>
  <c r="B6825" i="106"/>
  <c r="D6825" i="106" s="1"/>
  <c r="B6826" i="106"/>
  <c r="D6826" i="106" s="1"/>
  <c r="B6827" i="106"/>
  <c r="D6827" i="106" s="1"/>
  <c r="B6828" i="106"/>
  <c r="D6828" i="106" s="1"/>
  <c r="B6829" i="106"/>
  <c r="D6829" i="106" s="1"/>
  <c r="B6830" i="106"/>
  <c r="D6830" i="106"/>
  <c r="B6831" i="106"/>
  <c r="D6831" i="106" s="1"/>
  <c r="B6832" i="106"/>
  <c r="D6832" i="106"/>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E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F18" i="5"/>
  <c r="B5562" i="106" s="1"/>
  <c r="D5562" i="106" s="1"/>
  <c r="G18" i="5"/>
  <c r="H18" i="5"/>
  <c r="B5878" i="106"/>
  <c r="D5878" i="106" s="1"/>
  <c r="I18" i="5"/>
  <c r="B5923" i="106" s="1"/>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C108" i="5"/>
  <c r="B5120" i="106" s="1"/>
  <c r="D5120" i="106" s="1"/>
  <c r="D108" i="5"/>
  <c r="B5355" i="106" s="1"/>
  <c r="D5355" i="106" s="1"/>
  <c r="E108" i="5"/>
  <c r="B5526" i="106"/>
  <c r="D5526" i="106" s="1"/>
  <c r="F108" i="5"/>
  <c r="B5587" i="106" s="1"/>
  <c r="D5587" i="106" s="1"/>
  <c r="G108" i="5"/>
  <c r="B5737" i="106" s="1"/>
  <c r="D5737" i="106" s="1"/>
  <c r="H108" i="5"/>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c r="D5165" i="106" s="1"/>
  <c r="C154" i="5"/>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J178" i="5"/>
  <c r="B6400" i="106"/>
  <c r="D6400" i="106" s="1"/>
  <c r="K178" i="5"/>
  <c r="B4951" i="106" s="1"/>
  <c r="D4951" i="106" s="1"/>
  <c r="C184" i="5"/>
  <c r="B5232" i="106"/>
  <c r="D5232" i="106" s="1"/>
  <c r="D184" i="5"/>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F131" i="34" s="1"/>
  <c r="G216" i="5"/>
  <c r="B4414" i="106" s="1"/>
  <c r="D4414" i="106" s="1"/>
  <c r="B5286" i="106"/>
  <c r="D5286" i="106" s="1"/>
  <c r="D224" i="5"/>
  <c r="B5470" i="106" s="1"/>
  <c r="D5470" i="106" s="1"/>
  <c r="F224" i="5"/>
  <c r="B5703" i="106" s="1"/>
  <c r="D5703" i="106" s="1"/>
  <c r="G224" i="5"/>
  <c r="B5829" i="106" s="1"/>
  <c r="D5829" i="106" s="1"/>
  <c r="B5304" i="106"/>
  <c r="D5304" i="106" s="1"/>
  <c r="D228" i="5"/>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G15" i="4"/>
  <c r="B6032" i="106" s="1"/>
  <c r="D6032"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J22" i="37"/>
  <c r="L22" i="37"/>
  <c r="D24" i="37"/>
  <c r="B4270" i="106" s="1"/>
  <c r="D4270" i="106" s="1"/>
  <c r="L5" i="11"/>
  <c r="B2056" i="106" s="1"/>
  <c r="D2056" i="106" s="1"/>
  <c r="D4" i="7"/>
  <c r="B1760" i="106" s="1"/>
  <c r="D1760" i="106" s="1"/>
  <c r="F130" i="34"/>
  <c r="B5847" i="106"/>
  <c r="D5847" i="106" s="1"/>
  <c r="B5752" i="106"/>
  <c r="D5752" i="106" s="1"/>
  <c r="B5599" i="106"/>
  <c r="D5599" i="106" s="1"/>
  <c r="K274" i="5"/>
  <c r="D7" i="7"/>
  <c r="B1763" i="106" s="1"/>
  <c r="D1763" i="106" s="1"/>
  <c r="B1746" i="106"/>
  <c r="D1746" i="106" s="1"/>
  <c r="D12" i="7"/>
  <c r="B1769" i="106" s="1"/>
  <c r="D1769" i="106" s="1"/>
  <c r="D15" i="7"/>
  <c r="B1772" i="106" s="1"/>
  <c r="D1772" i="106" s="1"/>
  <c r="D27" i="108" l="1"/>
  <c r="D17" i="7"/>
  <c r="B4104" i="106" s="1"/>
  <c r="D4104" i="106" s="1"/>
  <c r="F106" i="34"/>
  <c r="D9" i="7"/>
  <c r="B1767" i="106" s="1"/>
  <c r="D1767" i="106" s="1"/>
  <c r="H342" i="29"/>
  <c r="B7221" i="106" s="1"/>
  <c r="D7221" i="106" s="1"/>
  <c r="D109" i="5"/>
  <c r="D13" i="7"/>
  <c r="B3726" i="106" s="1"/>
  <c r="D3726" i="106" s="1"/>
  <c r="D5" i="4"/>
  <c r="B3406" i="106" s="1"/>
  <c r="D3406" i="106" s="1"/>
  <c r="L367" i="29"/>
  <c r="F34" i="34"/>
  <c r="K352" i="29"/>
  <c r="K13" i="4" s="1"/>
  <c r="B3572" i="106" s="1"/>
  <c r="D3572" i="106" s="1"/>
  <c r="H365" i="29"/>
  <c r="B7242" i="106" s="1"/>
  <c r="D7242" i="106" s="1"/>
  <c r="H76" i="4"/>
  <c r="B3298" i="106" s="1"/>
  <c r="D3298" i="106" s="1"/>
  <c r="F21" i="8"/>
  <c r="B1126" i="106"/>
  <c r="D1126" i="106" s="1"/>
  <c r="I173" i="5"/>
  <c r="B4216" i="106" s="1"/>
  <c r="D4216" i="106" s="1"/>
  <c r="F128" i="34"/>
  <c r="D5" i="7"/>
  <c r="B1761" i="106" s="1"/>
  <c r="D1761" i="106" s="1"/>
  <c r="B4413" i="106"/>
  <c r="D4413" i="106" s="1"/>
  <c r="F49" i="34"/>
  <c r="F35" i="34"/>
  <c r="J77" i="4"/>
  <c r="B6262" i="106" s="1"/>
  <c r="D6262" i="106" s="1"/>
  <c r="G352" i="29"/>
  <c r="B6191" i="106"/>
  <c r="D6191" i="106" s="1"/>
  <c r="J41" i="3"/>
  <c r="B6216" i="106" s="1"/>
  <c r="D6216" i="106" s="1"/>
  <c r="B1752" i="106"/>
  <c r="D1752" i="106" s="1"/>
  <c r="D11" i="7"/>
  <c r="B1768" i="106" s="1"/>
  <c r="D1768" i="106" s="1"/>
  <c r="B5886" i="106"/>
  <c r="D5886" i="106" s="1"/>
  <c r="H109" i="5"/>
  <c r="H275" i="5" s="1"/>
  <c r="B5518" i="106"/>
  <c r="D5518" i="106" s="1"/>
  <c r="E109" i="5"/>
  <c r="E4" i="4" s="1"/>
  <c r="B2630" i="106" s="1"/>
  <c r="D2630" i="106" s="1"/>
  <c r="B4373" i="106"/>
  <c r="D4373" i="106" s="1"/>
  <c r="I274" i="5"/>
  <c r="B4435" i="106" s="1"/>
  <c r="D4435" i="106" s="1"/>
  <c r="B5730" i="106"/>
  <c r="D5730" i="106" s="1"/>
  <c r="G109" i="5"/>
  <c r="B5112" i="106"/>
  <c r="D5112" i="106" s="1"/>
  <c r="C109" i="5"/>
  <c r="B5121" i="106" s="1"/>
  <c r="D5121" i="106" s="1"/>
  <c r="H173" i="5"/>
  <c r="J274" i="5"/>
  <c r="B7054" i="106" s="1"/>
  <c r="D7054" i="106" s="1"/>
  <c r="B7041" i="106"/>
  <c r="D7041" i="106" s="1"/>
  <c r="B5488" i="106"/>
  <c r="D5488" i="106" s="1"/>
  <c r="F136" i="34"/>
  <c r="B5425" i="106"/>
  <c r="D5425" i="106" s="1"/>
  <c r="F127" i="34"/>
  <c r="B5178" i="106"/>
  <c r="D5178" i="106" s="1"/>
  <c r="C172" i="5"/>
  <c r="B5214" i="106" s="1"/>
  <c r="D5214" i="106" s="1"/>
  <c r="F111" i="34"/>
  <c r="B6858" i="106"/>
  <c r="D6858" i="106" s="1"/>
  <c r="F36" i="34"/>
  <c r="L342" i="29"/>
  <c r="C342" i="29"/>
  <c r="B7216" i="106" s="1"/>
  <c r="D7216" i="106" s="1"/>
  <c r="G5" i="4"/>
  <c r="B3409" i="106" s="1"/>
  <c r="D3409" i="106" s="1"/>
  <c r="K173" i="5"/>
  <c r="K6" i="4" s="1"/>
  <c r="B3570" i="106" s="1"/>
  <c r="D3570" i="106" s="1"/>
  <c r="G172" i="5"/>
  <c r="F172" i="5"/>
  <c r="B5644" i="106" s="1"/>
  <c r="D5644" i="106" s="1"/>
  <c r="L312" i="29"/>
  <c r="F77" i="4"/>
  <c r="B3255" i="106" s="1"/>
  <c r="D3255" i="106" s="1"/>
  <c r="B1223" i="106"/>
  <c r="D1223" i="106" s="1"/>
  <c r="K24" i="12"/>
  <c r="B3621" i="106"/>
  <c r="D3621" i="106" s="1"/>
  <c r="C367" i="29"/>
  <c r="B3622" i="106" s="1"/>
  <c r="D3622" i="106" s="1"/>
  <c r="K41" i="3"/>
  <c r="L15" i="11"/>
  <c r="B3459" i="106" s="1"/>
  <c r="D3459" i="106" s="1"/>
  <c r="L13" i="11"/>
  <c r="B2060" i="106" s="1"/>
  <c r="D2060" i="106" s="1"/>
  <c r="D6103" i="106"/>
  <c r="K76" i="4"/>
  <c r="B3586" i="106" s="1"/>
  <c r="D3586" i="106" s="1"/>
  <c r="I24" i="12"/>
  <c r="B3649" i="106"/>
  <c r="D3649" i="106" s="1"/>
  <c r="G367" i="29"/>
  <c r="B3650" i="106" s="1"/>
  <c r="D3650"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B5914" i="106"/>
  <c r="D5914" i="106" s="1"/>
  <c r="J7" i="4"/>
  <c r="B2657" i="106"/>
  <c r="D2657" i="106" s="1"/>
  <c r="D274" i="5"/>
  <c r="B3447" i="106"/>
  <c r="D3447" i="106" s="1"/>
  <c r="B7270" i="106"/>
  <c r="C114" i="29" l="1"/>
  <c r="B757" i="106" s="1"/>
  <c r="D757" i="106" s="1"/>
  <c r="D44" i="36"/>
  <c r="L114" i="29"/>
  <c r="I7" i="4"/>
  <c r="B4444" i="106" s="1"/>
  <c r="D4444" i="106" s="1"/>
  <c r="B6014" i="106"/>
  <c r="D6014" i="106" s="1"/>
  <c r="H77" i="4"/>
  <c r="B3299" i="106" s="1"/>
  <c r="D3299" i="106" s="1"/>
  <c r="B1317" i="106"/>
  <c r="D1317" i="106" s="1"/>
  <c r="J16" i="4"/>
  <c r="B6226" i="106" s="1"/>
  <c r="D6226" i="106" s="1"/>
  <c r="D51" i="36"/>
  <c r="D19" i="7"/>
  <c r="B1775" i="106" s="1"/>
  <c r="D1775" i="106" s="1"/>
  <c r="C4" i="4"/>
  <c r="B2551" i="106" s="1"/>
  <c r="D2551" i="106" s="1"/>
  <c r="H367" i="29"/>
  <c r="B3660" i="106" s="1"/>
  <c r="D3660" i="106" s="1"/>
  <c r="B1879" i="106"/>
  <c r="D1879" i="106" s="1"/>
  <c r="H22" i="37"/>
  <c r="B5356" i="106"/>
  <c r="D5356" i="106" s="1"/>
  <c r="D4" i="4"/>
  <c r="B2564" i="106" s="1"/>
  <c r="D2564" i="106" s="1"/>
  <c r="B3568" i="106"/>
  <c r="D3568" i="106" s="1"/>
  <c r="D52" i="36"/>
  <c r="G173" i="5"/>
  <c r="B5770" i="106"/>
  <c r="D5770" i="106" s="1"/>
  <c r="B5906" i="106"/>
  <c r="D5906" i="106" s="1"/>
  <c r="H6" i="4"/>
  <c r="B2656" i="106" s="1"/>
  <c r="D2656" i="106" s="1"/>
  <c r="B6024" i="106"/>
  <c r="D6024" i="106" s="1"/>
  <c r="G4" i="4"/>
  <c r="B2603" i="106" s="1"/>
  <c r="D2603" i="106" s="1"/>
  <c r="B3628" i="106"/>
  <c r="D3628" i="106" s="1"/>
  <c r="B5527" i="106"/>
  <c r="D5527" i="106" s="1"/>
  <c r="F274" i="5"/>
  <c r="F275" i="5" s="1"/>
  <c r="B5720" i="106" s="1"/>
  <c r="D5720" i="106" s="1"/>
  <c r="B1996" i="106"/>
  <c r="D1996" i="106" s="1"/>
  <c r="I26" i="12"/>
  <c r="B7741" i="106" s="1"/>
  <c r="D7741" i="106" s="1"/>
  <c r="B6025" i="106"/>
  <c r="D6025" i="106" s="1"/>
  <c r="H4" i="4"/>
  <c r="L16" i="11"/>
  <c r="B2061" i="106" s="1"/>
  <c r="D2061" i="106" s="1"/>
  <c r="K342" i="29"/>
  <c r="F13" i="34" s="1"/>
  <c r="B7733" i="106"/>
  <c r="D7733" i="106" s="1"/>
  <c r="K26" i="12"/>
  <c r="B7743" i="106" s="1"/>
  <c r="D7743"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6222" i="106"/>
  <c r="D6222" i="106" s="1"/>
  <c r="J8" i="4"/>
  <c r="D7" i="4"/>
  <c r="D275" i="5"/>
  <c r="B5507" i="106"/>
  <c r="D5507" i="106" s="1"/>
  <c r="B7298" i="106"/>
  <c r="B7299" i="106"/>
  <c r="G41" i="108" l="1"/>
  <c r="F7" i="4"/>
  <c r="B2594" i="106" s="1"/>
  <c r="D2594" i="106" s="1"/>
  <c r="B5719" i="106"/>
  <c r="D5719" i="106" s="1"/>
  <c r="J17" i="4"/>
  <c r="B6227" i="106" s="1"/>
  <c r="D6227" i="106" s="1"/>
  <c r="F8" i="4"/>
  <c r="E41" i="108"/>
  <c r="E44" i="108" s="1"/>
  <c r="E45" i="108" s="1"/>
  <c r="B5223" i="106"/>
  <c r="D5223" i="106" s="1"/>
  <c r="C6" i="4"/>
  <c r="B2553" i="106" s="1"/>
  <c r="D2553" i="106" s="1"/>
  <c r="B2655" i="106"/>
  <c r="D2655" i="106" s="1"/>
  <c r="H8" i="4"/>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G44" i="108"/>
  <c r="G45" i="108"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J20" i="4" l="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<sst xmlns="http://schemas.openxmlformats.org/spreadsheetml/2006/main" count="5264" uniqueCount="2166">
  <si>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</si>
  <si>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</si>
  <si>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</si>
  <si>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</si>
  <si>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</si>
  <si>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</si>
  <si>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</si>
  <si>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</si>
  <si>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</si>
  <si>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</si>
  <si>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</si>
  <si>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</si>
  <si>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</si>
  <si>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</si>
  <si>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</si>
  <si>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</si>
  <si>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</si>
  <si>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</si>
  <si>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</si>
  <si>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</si>
  <si>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</si>
  <si>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</si>
  <si>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</si>
  <si>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</si>
  <si>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</si>
  <si>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</si>
  <si>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</si>
  <si>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</si>
  <si>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</si>
  <si>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</si>
  <si>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</si>
  <si>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</si>
  <si>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</si>
  <si>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</si>
  <si>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</si>
  <si>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</si>
  <si>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</si>
  <si>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</si>
  <si>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</si>
  <si>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</si>
  <si>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</si>
  <si>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</si>
  <si>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</si>
  <si>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</si>
  <si>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</si>
  <si>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</si>
  <si>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</si>
  <si>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</si>
  <si>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</si>
  <si>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</si>
  <si>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</si>
  <si>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</si>
  <si>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</si>
  <si>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</si>
  <si>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</si>
  <si>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</si>
  <si>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</si>
  <si>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</si>
  <si>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</si>
  <si>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</si>
  <si>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</si>
  <si>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</si>
  <si>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</si>
  <si>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</si>
  <si>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</si>
  <si>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</si>
  <si>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</si>
  <si>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</si>
  <si>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</si>
  <si>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</si>
  <si>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</si>
  <si>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</si>
  <si>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</si>
  <si>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</si>
  <si>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</si>
  <si>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</si>
  <si>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</si>
  <si>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</si>
  <si>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</si>
  <si>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</si>
  <si>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</si>
  <si>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</si>
  <si>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</si>
  <si>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</si>
  <si>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</si>
  <si>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</si>
  <si>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</si>
  <si>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</si>
  <si>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</si>
  <si>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</si>
  <si>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</si>
  <si>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</si>
  <si>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</si>
  <si>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</si>
  <si>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</si>
  <si>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</si>
  <si>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</si>
  <si>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</si>
  <si>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</si>
  <si>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</si>
  <si>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</si>
  <si>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</si>
  <si>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</si>
  <si>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</si>
  <si>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</si>
  <si>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</si>
  <si>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</si>
  <si>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</si>
  <si>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</si>
  <si>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</si>
  <si>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</si>
  <si>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</si>
  <si>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</si>
  <si>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</si>
  <si>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</si>
  <si>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</si>
  <si>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</si>
  <si>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</si>
  <si>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</si>
  <si>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</si>
  <si>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</si>
  <si>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</si>
  <si>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</si>
  <si>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</si>
  <si>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</si>
  <si>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</si>
  <si>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</si>
  <si>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</si>
  <si>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</si>
  <si>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</si>
  <si>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</si>
  <si>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</si>
  <si>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</si>
  <si>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</si>
  <si>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</si>
  <si>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</si>
  <si>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</si>
  <si>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</si>
  <si>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</si>
  <si>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</si>
  <si>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</si>
  <si>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</si>
  <si>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</si>
  <si>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</si>
  <si>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</si>
  <si>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</si>
  <si>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</si>
  <si>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</si>
  <si>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</si>
  <si>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</si>
  <si>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</si>
  <si>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</si>
  <si>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</si>
  <si>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</si>
  <si>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</si>
  <si>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</si>
  <si>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</si>
  <si>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</si>
  <si>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</si>
  <si>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</si>
  <si>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</si>
  <si>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</si>
  <si>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</si>
  <si>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</si>
  <si>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</si>
  <si>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</si>
  <si>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</si>
  <si>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</si>
  <si>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</si>
  <si>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</si>
  <si>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</si>
  <si>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</si>
  <si>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</si>
  <si>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</si>
  <si>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</si>
  <si>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</si>
  <si>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</si>
  <si>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</si>
  <si>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</si>
  <si>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</si>
  <si>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</si>
  <si>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</si>
  <si>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</si>
  <si>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</si>
  <si>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</si>
  <si>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</si>
  <si>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</si>
  <si>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</si>
  <si>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</si>
  <si>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</si>
  <si>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</si>
  <si>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</si>
  <si>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</si>
  <si>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</si>
  <si>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</si>
  <si>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</si>
  <si>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</si>
  <si>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</si>
  <si>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</si>
  <si>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</si>
  <si>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</si>
  <si>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</si>
  <si>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</si>
  <si>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</si>
  <si>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</si>
  <si>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</si>
  <si>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</si>
  <si>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</si>
  <si>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</si>
  <si>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</si>
  <si>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</si>
  <si>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</si>
  <si>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</si>
  <si>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</si>
  <si>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</si>
  <si>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</si>
  <si>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</si>
  <si>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</si>
  <si>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</si>
  <si>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</si>
  <si>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</si>
  <si>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</si>
  <si>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</si>
  <si>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</si>
  <si>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</si>
  <si>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</si>
  <si>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</si>
  <si>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</si>
  <si>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</si>
  <si>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</si>
  <si>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</si>
  <si>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</si>
  <si>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</si>
  <si>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</si>
  <si>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</si>
  <si>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</si>
  <si>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</si>
  <si>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</si>
  <si>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</si>
  <si>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</si>
  <si>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</si>
  <si>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</si>
  <si>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</si>
  <si>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</si>
  <si>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</si>
  <si>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</si>
  <si>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</si>
  <si>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</si>
  <si>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</si>
  <si>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</si>
  <si>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</si>
  <si>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</si>
  <si>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</si>
  <si>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</si>
  <si>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</si>
  <si>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</si>
  <si>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</si>
  <si>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</si>
  <si>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</si>
  <si>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</si>
  <si>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</si>
  <si>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</si>
  <si>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</si>
  <si>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</si>
  <si>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</si>
  <si>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</si>
  <si>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</si>
  <si>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</si>
  <si>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</si>
  <si>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</si>
  <si>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</si>
  <si>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</si>
  <si>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</si>
  <si>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</si>
  <si>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</si>
  <si>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</si>
  <si>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</si>
  <si>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</si>
  <si>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</si>
  <si>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</si>
  <si>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</si>
  <si>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</si>
  <si>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</si>
  <si>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</si>
  <si>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</si>
  <si>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</si>
  <si>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</si>
  <si>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</si>
  <si>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</si>
  <si>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</si>
  <si>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</si>
  <si>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</si>
  <si>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</si>
  <si>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</si>
  <si>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</si>
  <si>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</si>
  <si>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</si>
  <si>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</si>
  <si>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</si>
  <si>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</si>
  <si>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</si>
  <si>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</si>
  <si>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</si>
  <si>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</si>
  <si>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</si>
  <si>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</si>
  <si>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</si>
  <si>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</si>
  <si>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</si>
  <si>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</si>
  <si>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</si>
  <si>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</si>
  <si>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</si>
  <si>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</si>
  <si>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</si>
  <si>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</si>
  <si>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</si>
  <si>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</si>
  <si>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</si>
  <si>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</si>
  <si>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</si>
  <si>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</si>
  <si>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</si>
  <si>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</si>
  <si>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</si>
  <si>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</si>
  <si>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</si>
  <si>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</si>
  <si>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</si>
  <si>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</si>
  <si>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</si>
  <si>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</si>
  <si>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</si>
  <si>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</si>
  <si>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</si>
  <si>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</si>
  <si>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</si>
  <si>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</si>
  <si>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</si>
  <si>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</si>
  <si>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</si>
  <si>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</si>
  <si>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</si>
  <si>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</si>
  <si>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</si>
  <si>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</si>
  <si>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</si>
  <si>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</si>
  <si>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</si>
  <si>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</si>
  <si>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</si>
  <si>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</si>
  <si>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</si>
  <si>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</si>
  <si>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</si>
  <si>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</si>
  <si>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</si>
  <si>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</si>
  <si>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</si>
  <si>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</si>
  <si>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</si>
  <si>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</si>
  <si>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</si>
  <si>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</si>
  <si>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</si>
  <si>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</si>
  <si>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</si>
  <si>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</si>
  <si>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</si>
  <si>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</si>
  <si>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</si>
  <si>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</si>
  <si>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</si>
  <si>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</si>
  <si>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</si>
  <si>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</si>
  <si>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</si>
  <si>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</si>
  <si>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</si>
  <si>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</si>
  <si>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</si>
  <si>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</si>
  <si>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</si>
  <si>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</si>
  <si>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</si>
  <si>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</si>
  <si>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</si>
  <si>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</si>
  <si>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</si>
  <si>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</si>
  <si>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</si>
  <si>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</si>
  <si>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</si>
  <si>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</si>
  <si>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</si>
  <si>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</si>
  <si>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</si>
  <si>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</si>
  <si>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</si>
  <si>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</si>
  <si>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</si>
  <si>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</si>
  <si>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</si>
  <si>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</si>
  <si>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</si>
  <si>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</si>
  <si>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</si>
  <si>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</si>
  <si>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</si>
  <si>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</si>
  <si>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</si>
  <si>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</si>
  <si>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</si>
  <si>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</si>
  <si>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</si>
  <si>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</si>
  <si>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</si>
  <si>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</si>
  <si>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</si>
  <si>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</si>
  <si>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</si>
  <si>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</si>
  <si>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</si>
  <si>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</si>
  <si>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</si>
  <si>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</si>
  <si>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</si>
  <si>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</si>
  <si>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</si>
  <si>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</si>
  <si>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</si>
  <si>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</si>
  <si>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</si>
  <si>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</si>
  <si>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</si>
  <si>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</si>
  <si>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</si>
  <si>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</si>
  <si>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</si>
  <si>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</si>
  <si>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</si>
  <si>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</si>
  <si>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</si>
  <si>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</si>
  <si>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</si>
  <si>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</si>
  <si>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</si>
  <si>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</si>
  <si>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</si>
  <si>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</si>
  <si>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</si>
  <si>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</si>
  <si>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</si>
  <si>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</si>
  <si>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</si>
  <si>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</si>
  <si>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</si>
  <si>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</si>
  <si>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</si>
  <si>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</si>
  <si>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</si>
  <si>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</si>
  <si>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</si>
  <si>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</si>
  <si>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</si>
  <si>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</si>
  <si>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</si>
  <si>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</si>
  <si>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</si>
  <si>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</si>
  <si>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</si>
  <si>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</si>
  <si>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</si>
  <si>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</si>
  <si>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</si>
  <si>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</si>
  <si>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</si>
  <si>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</si>
  <si>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</si>
  <si>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</si>
  <si>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</si>
  <si>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</si>
  <si>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</si>
  <si>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</si>
  <si>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</si>
  <si>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</si>
  <si>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</si>
  <si>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</si>
  <si>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</si>
  <si>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</si>
  <si>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</si>
  <si>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</si>
  <si>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</si>
  <si>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</si>
  <si>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</si>
  <si>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</si>
  <si>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</si>
  <si>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</si>
  <si>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</si>
  <si>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</si>
  <si>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</si>
  <si>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</si>
  <si>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</si>
  <si>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</si>
  <si>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</si>
  <si>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</si>
  <si>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</si>
  <si>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</si>
  <si>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</si>
  <si>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</si>
  <si>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</si>
  <si>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</si>
  <si>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</si>
  <si>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</si>
  <si>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</si>
  <si>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</si>
  <si>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</si>
  <si>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</si>
  <si>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</si>
  <si>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</si>
  <si>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</si>
  <si>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</si>
  <si>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</si>
  <si>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</si>
  <si>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</si>
  <si>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</si>
  <si>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</si>
  <si>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</si>
  <si>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</si>
  <si>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</si>
  <si>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</si>
  <si>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</si>
  <si>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</si>
  <si>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</si>
  <si>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</si>
  <si>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</si>
  <si>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</si>
  <si>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</si>
  <si>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</si>
  <si>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</si>
  <si>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</si>
  <si>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</si>
  <si>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</si>
  <si>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</si>
  <si>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</si>
  <si>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</si>
  <si>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</si>
  <si>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</si>
  <si>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</si>
  <si>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</si>
  <si>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</si>
  <si>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</si>
  <si>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</si>
  <si>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</si>
  <si>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</si>
  <si>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</si>
  <si>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</si>
  <si>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</si>
  <si>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</si>
  <si>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</si>
  <si>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</si>
  <si>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</si>
  <si>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</si>
  <si>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</si>
  <si>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</si>
  <si>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</si>
  <si>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</si>
  <si>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</si>
  <si>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</si>
  <si>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</si>
  <si>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</si>
  <si>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</si>
  <si>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</si>
  <si>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</si>
  <si>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</si>
  <si>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</si>
  <si>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</si>
  <si>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</si>
  <si>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</si>
  <si>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</si>
  <si>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</si>
  <si>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</si>
  <si>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</si>
  <si>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</si>
  <si>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</si>
  <si>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</si>
  <si>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</si>
  <si>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</si>
  <si>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</si>
  <si>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</si>
  <si>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</si>
  <si>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</si>
  <si>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</si>
  <si>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</si>
  <si>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</si>
  <si>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</si>
  <si>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</si>
  <si>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</si>
  <si>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</si>
  <si>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</si>
  <si>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</si>
  <si>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</si>
  <si>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</si>
  <si>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</si>
  <si>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</si>
  <si>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</si>
  <si>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</si>
  <si>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</si>
  <si>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</si>
  <si>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</si>
  <si>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</si>
  <si>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</si>
  <si>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</si>
  <si>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</si>
  <si>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</si>
  <si>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</si>
  <si>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</si>
  <si>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</si>
  <si>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</si>
  <si>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</si>
  <si>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</si>
  <si>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</si>
  <si>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</si>
  <si>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</si>
  <si>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</si>
  <si>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</si>
  <si>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</si>
  <si>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</si>
  <si>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</si>
  <si>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</si>
  <si>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</si>
  <si>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</si>
  <si>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</si>
  <si>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</si>
  <si>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</si>
  <si>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</si>
  <si>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</si>
  <si>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</si>
  <si>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</si>
  <si>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</si>
  <si>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</si>
  <si>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</si>
  <si>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</si>
  <si>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</si>
  <si>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</si>
  <si>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</si>
  <si>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</si>
  <si>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</si>
  <si>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</si>
  <si>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</si>
  <si>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</si>
  <si>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</si>
  <si>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</si>
  <si>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</si>
  <si>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</si>
  <si>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</si>
  <si>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</si>
  <si>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</si>
  <si>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</si>
  <si>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</si>
  <si>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</si>
  <si>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</si>
  <si>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</si>
  <si>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</si>
  <si>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</si>
  <si>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</si>
  <si>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</si>
  <si>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</si>
  <si>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</si>
  <si>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</si>
  <si>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</si>
  <si>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</si>
  <si>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</si>
  <si>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</si>
  <si>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</si>
  <si>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</si>
  <si>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</si>
  <si>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</si>
  <si>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</si>
  <si>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</si>
  <si>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</si>
  <si>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</si>
  <si>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</si>
  <si>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</si>
  <si>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</si>
  <si>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</si>
  <si>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</si>
  <si>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</si>
  <si>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</si>
  <si>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</si>
  <si>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</si>
  <si>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</si>
  <si>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</si>
  <si>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</si>
  <si>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</si>
  <si>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</si>
  <si>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</si>
  <si>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</si>
  <si>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</si>
  <si>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</si>
  <si>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</si>
  <si>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</si>
  <si>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</si>
  <si>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</si>
  <si>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</si>
  <si>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</si>
  <si>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</si>
  <si>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</si>
  <si>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</si>
  <si>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</si>
  <si>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</si>
  <si>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</si>
  <si>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</si>
  <si>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</si>
  <si>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</si>
  <si>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</si>
  <si>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</si>
  <si>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</si>
  <si>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</si>
  <si>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</si>
  <si>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</si>
  <si>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</si>
  <si>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</si>
  <si>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</si>
  <si>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</si>
  <si>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</si>
  <si>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</si>
  <si>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</si>
  <si>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</si>
  <si>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</si>
  <si>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</si>
  <si>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</si>
  <si>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</si>
  <si>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</si>
  <si>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</si>
  <si>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</si>
  <si>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</si>
  <si>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</si>
  <si>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</si>
  <si>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</si>
  <si>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</si>
  <si>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</si>
  <si>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</si>
  <si>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</si>
  <si>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</si>
  <si>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</si>
  <si>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</si>
  <si>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</si>
  <si>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</si>
  <si>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</si>
  <si>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</si>
  <si>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</si>
  <si>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</si>
  <si>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</si>
  <si>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</si>
  <si>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</si>
  <si>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</si>
  <si>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</si>
  <si>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</si>
  <si>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</si>
  <si>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</si>
  <si>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</si>
  <si>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</si>
  <si>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</si>
  <si>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</si>
  <si>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</si>
  <si>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</si>
  <si>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</si>
  <si>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</si>
  <si>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</si>
  <si>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</si>
  <si>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</si>
  <si>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</si>
  <si>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</si>
  <si>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</si>
  <si>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</si>
  <si>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</si>
  <si>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</si>
  <si>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</si>
  <si>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</si>
  <si>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</si>
  <si>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</si>
  <si>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</si>
  <si>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</si>
  <si>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</si>
  <si>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</si>
  <si>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</si>
  <si>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</si>
  <si>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</si>
  <si>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</si>
  <si>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</si>
  <si>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</si>
  <si>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</si>
  <si>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</si>
  <si>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</si>
  <si>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</si>
  <si>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</si>
  <si>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</si>
  <si>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</si>
  <si>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</si>
  <si>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</si>
  <si>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</si>
  <si>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</si>
  <si>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</si>
  <si>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</si>
  <si>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</si>
  <si>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</si>
  <si>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</si>
  <si>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</si>
  <si>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</si>
  <si>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</si>
  <si>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</si>
  <si>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</si>
  <si>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</si>
  <si>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</si>
  <si>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</si>
  <si>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</si>
  <si>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</si>
  <si>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</si>
  <si>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</si>
  <si>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</si>
  <si>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</si>
  <si>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</si>
  <si>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</si>
  <si>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</si>
  <si>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</si>
  <si>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</si>
  <si>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</si>
  <si>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</si>
  <si>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</si>
  <si>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</si>
  <si>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</si>
  <si>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</si>
  <si>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</si>
  <si>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</si>
  <si>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</si>
  <si>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</si>
  <si>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</si>
  <si>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</si>
  <si>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</si>
  <si>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</si>
  <si>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</si>
  <si>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</si>
  <si>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</si>
  <si>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</si>
  <si>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</si>
  <si>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</si>
  <si>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</si>
  <si>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</si>
  <si>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</si>
  <si>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</si>
  <si>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</si>
  <si>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</si>
  <si>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</si>
  <si>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</si>
  <si>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</si>
  <si>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</si>
  <si>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</si>
  <si>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</si>
  <si>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</si>
  <si>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</si>
  <si>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</si>
  <si>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</si>
  <si>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</si>
  <si>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</si>
  <si>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</si>
  <si>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</si>
  <si>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</si>
  <si>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</si>
  <si>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</si>
  <si>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</si>
  <si>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</si>
  <si>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</si>
  <si>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</si>
  <si>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</si>
  <si>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</si>
  <si>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</si>
  <si>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</si>
  <si>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</si>
  <si>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</si>
  <si>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</si>
  <si>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</si>
  <si>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</si>
  <si>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</si>
  <si>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</si>
  <si>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</si>
  <si>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</si>
  <si>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</si>
  <si>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</si>
  <si>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</si>
  <si>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</si>
  <si>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</si>
  <si>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</si>
  <si>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</si>
  <si>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</si>
  <si>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</si>
  <si>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</si>
  <si>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</si>
  <si>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</si>
  <si>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</si>
  <si>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</si>
  <si>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</si>
  <si>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</si>
  <si>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</si>
  <si>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</si>
  <si>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</si>
  <si>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</si>
  <si>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</si>
  <si>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</si>
  <si>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</si>
  <si>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</si>
  <si>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</si>
  <si>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</si>
  <si>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</si>
  <si>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</si>
  <si>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</si>
  <si>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</si>
  <si>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</si>
  <si>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</si>
  <si>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</si>
  <si>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</si>
  <si>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</si>
  <si>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</si>
  <si>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</si>
  <si>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</si>
  <si>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</si>
  <si>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</si>
  <si>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</si>
  <si>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</si>
  <si>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</si>
  <si>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</si>
  <si>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</si>
  <si>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</si>
  <si>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</si>
  <si>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</si>
  <si>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</si>
  <si>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</si>
  <si>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</si>
  <si>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</si>
  <si>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</si>
  <si>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</si>
  <si>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</si>
  <si>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</si>
  <si>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</si>
  <si>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</si>
  <si>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</si>
  <si>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</si>
  <si>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</si>
  <si>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</si>
  <si>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</si>
  <si>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</si>
  <si>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</si>
  <si>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</si>
  <si>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</si>
  <si>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</si>
  <si>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</si>
  <si>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</si>
  <si>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</si>
  <si>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</si>
  <si>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</si>
  <si>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</si>
  <si>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</si>
  <si>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</si>
  <si>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</si>
  <si>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</si>
  <si>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</si>
  <si>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</si>
  <si>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</si>
  <si>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</si>
  <si>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</si>
  <si>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</si>
  <si>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</si>
  <si>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</si>
  <si>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</si>
  <si>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</si>
  <si>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</si>
  <si>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</si>
  <si>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</si>
  <si>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</si>
  <si>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</si>
  <si>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</si>
  <si>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</si>
  <si>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</si>
  <si>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</si>
  <si>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</si>
  <si>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</si>
  <si>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</si>
  <si>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</si>
  <si>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</si>
  <si>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</si>
  <si>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</si>
  <si>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</si>
  <si>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</si>
  <si>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</si>
  <si>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</si>
  <si>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</si>
  <si>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</si>
  <si>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</si>
  <si>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</si>
  <si>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</si>
  <si>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</si>
  <si>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</si>
  <si>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</si>
  <si>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</si>
  <si>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</si>
  <si>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</si>
  <si>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</si>
  <si>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</si>
  <si>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</si>
  <si>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</si>
  <si>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</si>
  <si>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</si>
  <si>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</si>
  <si>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</si>
  <si>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</si>
  <si>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</si>
  <si>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</si>
  <si>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</si>
  <si>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</si>
  <si>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</si>
  <si>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</si>
  <si>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</si>
  <si>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</si>
  <si>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</si>
  <si>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</si>
  <si>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</si>
  <si>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</si>
  <si>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</si>
  <si>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</si>
  <si>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</si>
  <si>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</si>
  <si>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</si>
  <si>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</si>
  <si>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</si>
  <si>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</si>
  <si>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</si>
  <si>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</si>
  <si>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</si>
  <si>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</si>
  <si>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</si>
  <si>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</si>
  <si>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</si>
  <si>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</si>
  <si>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</si>
  <si>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</si>
  <si>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</si>
  <si>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</si>
  <si>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</si>
  <si>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</si>
  <si>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</si>
  <si>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</si>
  <si>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</si>
  <si>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</si>
  <si>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</si>
  <si>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</si>
  <si>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</si>
  <si>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</si>
  <si>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</si>
  <si>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</si>
  <si>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</si>
  <si>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</si>
  <si>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</si>
  <si>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</si>
  <si>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</si>
  <si>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</si>
  <si>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</si>
  <si>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</si>
  <si>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</si>
  <si>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</si>
  <si>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</si>
  <si>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</si>
  <si>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</si>
  <si>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</si>
  <si>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</si>
  <si>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</si>
  <si>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</si>
  <si>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</si>
  <si>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</si>
  <si>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</si>
  <si>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</si>
  <si>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</si>
  <si>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</si>
  <si>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</si>
  <si>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</si>
  <si>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</si>
  <si>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</si>
  <si>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</si>
  <si>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</si>
  <si>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</si>
  <si>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</si>
  <si>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</si>
  <si>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</si>
  <si>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</si>
  <si>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</si>
  <si>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</si>
  <si>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</si>
  <si>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</si>
  <si>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</si>
  <si>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</si>
  <si>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</si>
  <si>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</si>
  <si>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</si>
  <si>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</si>
  <si>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</si>
  <si>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</si>
  <si>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</si>
  <si>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</si>
  <si>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</si>
  <si>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</si>
  <si>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</si>
  <si>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</si>
  <si>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</si>
  <si>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</si>
  <si>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</si>
  <si>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</si>
  <si>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</si>
  <si>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</si>
  <si>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</si>
  <si>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</si>
  <si>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</si>
  <si>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</si>
  <si>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</si>
  <si>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</si>
  <si>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</si>
  <si>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</si>
  <si>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</si>
  <si>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</si>
  <si>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</si>
  <si>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</si>
  <si>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</si>
  <si>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</si>
  <si>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</si>
  <si>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</si>
  <si>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</si>
  <si>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</si>
  <si>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</si>
  <si>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</si>
  <si>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</si>
  <si>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</si>
  <si>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</si>
  <si>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</si>
  <si>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</si>
  <si>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</si>
  <si>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</si>
  <si>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</si>
  <si>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</si>
  <si>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</si>
  <si>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</si>
  <si>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</si>
  <si>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</si>
  <si>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</si>
  <si>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</si>
  <si>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</si>
  <si>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</si>
  <si>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</si>
  <si>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</si>
  <si>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</si>
  <si>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</si>
  <si>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</si>
  <si>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</si>
  <si>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</si>
  <si>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</si>
  <si>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</si>
  <si>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</si>
  <si>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</si>
  <si>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</si>
  <si>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</si>
  <si>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</si>
  <si>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</si>
  <si>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</si>
  <si>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</si>
  <si>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</si>
  <si>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</si>
  <si>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</si>
  <si>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</si>
  <si>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</si>
  <si>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</si>
  <si>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</si>
  <si>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</si>
  <si>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</si>
  <si>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</si>
  <si>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</si>
  <si>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</si>
  <si>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</si>
  <si>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</si>
  <si>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</si>
  <si>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</si>
  <si>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</si>
  <si>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</si>
  <si>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</si>
  <si>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</si>
  <si>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</si>
  <si>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</si>
  <si>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</si>
  <si>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</si>
  <si>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</si>
  <si>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</si>
  <si>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</si>
  <si>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</si>
  <si>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</si>
  <si>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</si>
  <si>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</si>
  <si>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</si>
  <si>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</si>
  <si>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</si>
  <si>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</si>
  <si>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</si>
  <si>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</si>
  <si>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</si>
  <si>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</si>
  <si>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</si>
  <si>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</si>
  <si>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</si>
  <si>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</si>
  <si>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</si>
  <si>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</si>
  <si>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</si>
  <si>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</si>
  <si>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</si>
  <si>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</si>
  <si>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</si>
  <si>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</si>
  <si>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</si>
  <si>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</si>
  <si>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</si>
  <si>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</si>
  <si>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</si>
  <si>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</si>
  <si>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</si>
  <si>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</si>
  <si>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</si>
  <si>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</si>
  <si>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</si>
  <si>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</si>
  <si>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</si>
  <si>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</si>
  <si>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</si>
  <si>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</si>
  <si>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</si>
  <si>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</si>
  <si>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</si>
  <si>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</si>
  <si>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</si>
  <si>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</si>
  <si>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</si>
  <si>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</si>
  <si>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</si>
  <si>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</si>
  <si>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</si>
  <si>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</si>
  <si>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</si>
  <si>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</si>
  <si>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</si>
  <si>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</si>
  <si>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</si>
  <si>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</si>
  <si>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</si>
  <si>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</si>
  <si>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</si>
  <si>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</si>
  <si>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</si>
  <si>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</si>
  <si>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</si>
  <si>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</si>
  <si>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</si>
  <si>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</si>
  <si>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</si>
  <si>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</si>
  <si>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</si>
  <si>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</si>
  <si>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</si>
  <si>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</si>
  <si>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</si>
  <si>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</si>
  <si>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</si>
  <si>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</si>
  <si>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</si>
  <si>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</si>
  <si>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</si>
  <si>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</si>
  <si>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</si>
  <si>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</si>
  <si>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</si>
  <si>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</si>
  <si>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</si>
  <si>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</si>
  <si>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</si>
  <si>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</si>
  <si>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</si>
  <si>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</si>
  <si>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</si>
  <si>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</si>
  <si>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</si>
  <si>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</si>
  <si>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</si>
  <si>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</si>
  <si>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</si>
  <si>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</si>
  <si>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</si>
  <si>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</si>
  <si>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</si>
  <si>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</si>
  <si>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</si>
  <si>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</si>
  <si>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</si>
  <si>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</si>
  <si>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</si>
  <si>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</si>
  <si>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</si>
  <si>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</si>
  <si>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</si>
  <si>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</si>
  <si>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</si>
  <si>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</si>
  <si>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</si>
  <si>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</si>
  <si>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</si>
  <si>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</si>
  <si>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</si>
  <si>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</si>
  <si>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</si>
  <si>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</si>
  <si>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</si>
  <si>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</si>
  <si>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</si>
  <si>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</si>
  <si>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</si>
  <si>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</si>
  <si>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</si>
  <si>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</si>
  <si>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</si>
  <si>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</si>
  <si>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</si>
  <si>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</si>
  <si>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</si>
  <si>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</si>
  <si>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</si>
  <si>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</si>
  <si>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</si>
  <si>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</si>
  <si>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</si>
  <si>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</si>
  <si>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</si>
  <si>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</si>
  <si>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</si>
  <si>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</si>
  <si>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</si>
  <si>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</si>
  <si>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</si>
  <si>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</si>
  <si>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</si>
  <si>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</si>
  <si>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</si>
  <si>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</si>
  <si>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</si>
  <si>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</si>
  <si>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</si>
  <si>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</si>
  <si>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</si>
  <si>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</si>
  <si>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</si>
  <si>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</si>
  <si>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</si>
  <si>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</si>
  <si>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</si>
  <si>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</si>
  <si>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</si>
  <si>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</si>
  <si>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</si>
  <si>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</si>
  <si>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</si>
  <si>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</si>
  <si>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</si>
  <si>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</si>
  <si>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</si>
  <si>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</si>
  <si>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</si>
  <si>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</si>
  <si>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</si>
  <si>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</si>
  <si>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</si>
  <si>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</si>
  <si>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</si>
  <si>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</si>
  <si>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</si>
  <si>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</si>
  <si>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</si>
  <si>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</si>
  <si>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</si>
  <si>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</si>
  <si>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</si>
  <si>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</si>
  <si>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</si>
  <si>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</si>
  <si>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</si>
  <si>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</si>
  <si>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</si>
  <si>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</si>
  <si>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</si>
  <si>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</si>
  <si>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</si>
  <si>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</si>
  <si>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</si>
  <si>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</si>
  <si>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</si>
  <si>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</si>
  <si>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</si>
  <si>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</si>
  <si>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</si>
  <si>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</si>
  <si>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</si>
  <si>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</si>
  <si>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</si>
  <si>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</si>
  <si>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</si>
  <si>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</si>
  <si>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</si>
  <si>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</si>
  <si>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</si>
  <si>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</si>
  <si>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</si>
  <si>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</si>
  <si>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</si>
  <si>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</si>
  <si>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</si>
  <si>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</si>
  <si>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</si>
  <si>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</si>
  <si>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</si>
  <si>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</si>
  <si>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</si>
  <si>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</si>
  <si>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</si>
  <si>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</si>
  <si>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</si>
  <si>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</si>
  <si>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</si>
  <si>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</si>
  <si>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</si>
  <si>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</si>
  <si>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</si>
  <si>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</si>
  <si>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</si>
  <si>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</si>
  <si>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</si>
  <si>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</si>
  <si>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</si>
  <si>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</si>
  <si>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</si>
  <si>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</si>
  <si>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</si>
  <si>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</si>
  <si>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</si>
  <si>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</si>
  <si>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</si>
  <si>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</si>
  <si>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</si>
  <si>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</si>
  <si>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</si>
  <si>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</si>
  <si>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</si>
  <si>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</si>
  <si>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</si>
  <si>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</si>
  <si>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</si>
  <si>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</si>
  <si>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</si>
  <si>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</si>
  <si>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</si>
  <si>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</si>
  <si>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</si>
  <si>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</si>
  <si>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</si>
  <si>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</si>
  <si>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</si>
  <si>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</si>
  <si>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</si>
  <si>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</si>
  <si>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</si>
  <si>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</si>
  <si>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</si>
  <si>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</si>
  <si>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</si>
  <si>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</si>
  <si>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</si>
  <si>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</si>
  <si>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</si>
  <si>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</si>
  <si>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</si>
  <si>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</si>
  <si>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</si>
  <si>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</si>
  <si>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</si>
  <si>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</si>
  <si>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</si>
  <si>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</si>
  <si>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</si>
  <si>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</si>
  <si>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</si>
  <si>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</si>
  <si>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</si>
  <si>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</si>
  <si>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</si>
  <si>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</si>
  <si>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</si>
  <si>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</si>
  <si>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</si>
  <si>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</si>
  <si>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</si>
  <si>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</si>
  <si>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</si>
  <si>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</si>
  <si>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</si>
  <si>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</si>
  <si>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</si>
  <si>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</si>
  <si>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</si>
  <si>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</si>
  <si>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</si>
  <si>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</si>
  <si>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</si>
  <si>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</si>
  <si>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</si>
  <si>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</si>
  <si>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</si>
  <si>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</si>
  <si>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</si>
  <si>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</si>
  <si>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</si>
  <si>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</si>
  <si>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</si>
  <si>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</si>
  <si>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</si>
  <si>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</si>
  <si>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</si>
  <si>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</si>
  <si>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</si>
  <si>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</si>
  <si>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</si>
  <si>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</si>
  <si>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</si>
  <si>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</si>
  <si>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</si>
  <si>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</si>
  <si>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</si>
  <si>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</si>
  <si>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</si>
  <si>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</si>
  <si>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</si>
  <si>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</si>
  <si>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</si>
  <si>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</si>
  <si>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</si>
  <si>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</si>
  <si>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</si>
  <si>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</si>
  <si>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</si>
  <si>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</si>
  <si>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</si>
  <si>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</si>
  <si>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</si>
  <si>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</si>
  <si>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</si>
  <si>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</si>
  <si>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</si>
  <si>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</si>
  <si>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</si>
  <si>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</si>
  <si>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</si>
  <si>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</si>
  <si>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</si>
  <si>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</si>
  <si>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</si>
  <si>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</si>
  <si>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</si>
  <si>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</si>
  <si>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</si>
  <si>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</si>
  <si>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</si>
  <si>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</si>
  <si>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</si>
  <si>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</si>
  <si>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</si>
  <si>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</si>
  <si>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</si>
  <si>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</si>
  <si>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</si>
  <si>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</si>
  <si>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</si>
  <si>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</si>
  <si>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</si>
  <si>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</si>
  <si>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</si>
  <si>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</si>
  <si>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</si>
  <si>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</si>
  <si>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</si>
  <si>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</si>
  <si>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</si>
  <si>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</si>
  <si>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</si>
  <si>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</si>
  <si>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</si>
  <si>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</si>
  <si>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</si>
  <si>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</si>
  <si>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</si>
  <si>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</si>
  <si>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</si>
  <si>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</si>
  <si>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</si>
  <si>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</si>
  <si>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</si>
  <si>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</si>
  <si>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</si>
  <si>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</si>
  <si>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</si>
  <si>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</si>
  <si>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</si>
  <si>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</si>
  <si>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</si>
  <si>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</si>
  <si>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</si>
  <si>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</si>
  <si>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</si>
  <si>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</si>
  <si>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</si>
  <si>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</si>
  <si>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</si>
  <si>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</si>
  <si>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</si>
  <si>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</si>
  <si>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</si>
  <si>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</si>
  <si>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</si>
  <si>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</si>
  <si>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</si>
  <si>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</si>
  <si>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</si>
  <si>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</si>
  <si>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</si>
  <si>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</si>
  <si>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</si>
  <si>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</si>
  <si>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</si>
  <si>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</si>
  <si>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</si>
  <si>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</si>
  <si>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</si>
  <si>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</si>
  <si>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</si>
  <si>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</si>
  <si>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</si>
  <si>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</si>
  <si>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</si>
  <si>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</si>
  <si>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</si>
  <si>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</si>
  <si>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</si>
  <si>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</si>
  <si>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</si>
  <si>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</si>
  <si>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</si>
  <si>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</si>
  <si>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</si>
  <si>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</si>
  <si>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</si>
  <si>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</si>
  <si>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</si>
  <si>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</si>
  <si>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</si>
  <si>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</si>
  <si>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</si>
  <si>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</si>
  <si>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</si>
  <si>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</si>
  <si>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</si>
  <si>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</si>
  <si>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</si>
  <si>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</si>
  <si>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</si>
  <si>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</si>
  <si>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</si>
  <si>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</si>
  <si>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</si>
  <si>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</si>
  <si>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</si>
  <si>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</si>
  <si>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</si>
  <si>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</si>
  <si>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</si>
  <si>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</si>
  <si>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</si>
  <si>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</si>
  <si>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</si>
  <si>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</si>
  <si>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</si>
  <si>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</si>
  <si>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</si>
  <si>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</si>
  <si>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</si>
  <si>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</si>
  <si>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</si>
  <si>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</si>
  <si>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</si>
  <si>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</si>
  <si>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</si>
  <si>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</si>
  <si>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</si>
  <si>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</si>
  <si>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</si>
  <si>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</si>
  <si>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</si>
  <si>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</si>
  <si>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</si>
  <si>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</si>
  <si>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</si>
  <si>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</si>
  <si>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</si>
  <si>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</si>
  <si>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</si>
  <si>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</si>
  <si>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</si>
  <si>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</si>
  <si>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</si>
  <si>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</si>
  <si>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</si>
  <si>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</si>
  <si>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</si>
  <si>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</si>
  <si>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</si>
  <si>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</si>
  <si>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</si>
  <si>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</si>
  <si>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</si>
  <si>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</si>
  <si>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</si>
  <si>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</si>
  <si>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</si>
  <si>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</si>
  <si>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</si>
  <si>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</si>
  <si>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</si>
  <si>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</si>
  <si>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</si>
  <si>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</si>
  <si>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</si>
  <si>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</si>
  <si>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</si>
  <si>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</si>
  <si>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</si>
  <si>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</si>
  <si>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</si>
  <si>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</si>
  <si>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</si>
  <si>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</si>
  <si>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</si>
  <si>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</si>
  <si>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</si>
  <si>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</si>
  <si>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</si>
  <si>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</si>
  <si>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</si>
  <si>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</si>
  <si>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</si>
  <si>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</si>
  <si>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</si>
  <si>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</si>
  <si>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</si>
  <si>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</si>
  <si>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</si>
  <si>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</si>
  <si>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</si>
  <si>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</si>
  <si>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</si>
  <si>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</si>
  <si>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</si>
  <si>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</si>
  <si>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</si>
  <si>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</si>
  <si>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</si>
  <si>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</si>
  <si>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</si>
  <si>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</si>
  <si>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</si>
  <si>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</si>
  <si>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</si>
  <si>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</si>
  <si>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</si>
  <si>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</si>
  <si>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</si>
  <si>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</si>
  <si>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</si>
  <si>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</si>
  <si>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</si>
  <si>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</si>
  <si>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</si>
  <si>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</si>
  <si>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</si>
  <si>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</si>
  <si>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</si>
  <si>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</si>
  <si>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</si>
  <si>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</si>
  <si>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</si>
  <si>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</si>
  <si>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</si>
  <si>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</si>
  <si>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</si>
  <si>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</si>
  <si>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</si>
  <si>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</si>
  <si>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</si>
  <si>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</si>
  <si>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</si>
  <si>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</si>
  <si>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</si>
  <si>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</si>
  <si>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</si>
  <si>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</si>
  <si>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</si>
  <si>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</si>
  <si>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</si>
  <si>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</si>
  <si>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</si>
  <si>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</si>
  <si>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</si>
  <si>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</si>
  <si>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</si>
  <si>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</si>
  <si>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</si>
  <si>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</si>
  <si>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</si>
  <si>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</si>
  <si>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</si>
  <si>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</si>
  <si>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</si>
  <si>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</si>
  <si>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</si>
  <si>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</si>
  <si>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</si>
  <si>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</si>
  <si>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</si>
  <si>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</si>
  <si>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</si>
  <si>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</si>
  <si>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</si>
  <si>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</si>
  <si>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</si>
  <si>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</si>
  <si>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</si>
  <si>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</si>
  <si>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</si>
  <si>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</si>
  <si>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</si>
  <si>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</si>
  <si>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</si>
  <si>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</si>
  <si>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</si>
  <si>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</si>
  <si>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</si>
  <si>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</si>
  <si>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</si>
  <si>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</si>
  <si>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</si>
  <si>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</si>
  <si>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</si>
  <si>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</si>
  <si>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</si>
  <si>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</si>
  <si>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</si>
  <si>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</si>
  <si>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</si>
  <si>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</si>
  <si>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</si>
  <si>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</si>
  <si>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</si>
  <si>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</si>
  <si>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</si>
  <si>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</si>
  <si>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</si>
  <si>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</si>
  <si>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</si>
  <si>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</si>
  <si>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</si>
  <si>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</si>
  <si>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</si>
  <si>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</si>
  <si>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</si>
  <si>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</si>
  <si>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</si>
  <si>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</si>
  <si>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</si>
  <si>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</si>
  <si>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</si>
  <si>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</si>
  <si>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</si>
  <si>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</si>
  <si>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</si>
  <si>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</si>
  <si>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</si>
  <si>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</si>
  <si>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</si>
  <si>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</si>
  <si>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</si>
  <si>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</si>
  <si>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</si>
  <si>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</si>
  <si>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</si>
  <si>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</si>
  <si>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</si>
  <si>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</si>
  <si>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</si>
  <si>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</si>
  <si>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</si>
  <si>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</si>
  <si>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</si>
  <si>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</si>
  <si>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</si>
  <si>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</si>
  <si>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</si>
  <si>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</si>
  <si>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</si>
  <si>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</si>
  <si>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</si>
  <si>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</si>
  <si>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</si>
  <si>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</si>
  <si>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</si>
  <si>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</si>
  <si>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</si>
  <si>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</si>
  <si>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</si>
  <si>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</si>
  <si>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</si>
  <si>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</si>
  <si>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</si>
  <si>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</si>
  <si>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</si>
  <si>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</si>
  <si>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</si>
  <si>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</si>
  <si>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</si>
  <si>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</si>
  <si>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</si>
  <si>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</si>
  <si>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</si>
  <si>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</si>
  <si>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</si>
  <si>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</si>
  <si>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</si>
  <si>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</si>
  <si>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</si>
  <si>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</si>
  <si>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</si>
  <si>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</si>
  <si>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</si>
  <si>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</si>
  <si>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</si>
  <si>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</si>
  <si>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</si>
  <si>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</si>
  <si>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</si>
  <si>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</si>
  <si>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</si>
  <si>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</si>
  <si>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</si>
  <si>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</si>
  <si>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</si>
  <si>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</si>
  <si>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</si>
  <si>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</si>
  <si>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</si>
  <si>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</si>
  <si>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</si>
  <si>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</si>
  <si>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</si>
  <si>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</si>
  <si>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</si>
  <si>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</si>
  <si>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</si>
  <si>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</si>
  <si>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</si>
  <si>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</si>
  <si>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</si>
  <si>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</si>
  <si>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</si>
  <si>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</si>
  <si>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</si>
  <si>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</si>
  <si>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</si>
  <si>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</si>
  <si>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</si>
  <si>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</si>
  <si>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</si>
  <si>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</si>
  <si>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</si>
  <si>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</si>
  <si>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</si>
  <si>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</si>
  <si>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</si>
  <si>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</si>
  <si>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</si>
  <si>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</si>
  <si>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</si>
  <si>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</si>
  <si>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</si>
  <si>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</si>
  <si>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</si>
  <si>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</si>
  <si>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</si>
  <si>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</si>
  <si>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</si>
  <si>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</si>
  <si>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</si>
  <si>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</si>
  <si>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</si>
  <si>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</si>
  <si>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</si>
  <si>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</si>
  <si>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</si>
  <si>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</si>
  <si>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</si>
  <si>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</si>
  <si>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</si>
  <si>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</si>
  <si>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</si>
  <si>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</si>
  <si>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</si>
  <si>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</si>
  <si>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</si>
  <si>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</si>
  <si>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</si>
  <si>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</si>
  <si>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</si>
  <si>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</si>
  <si>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</si>
  <si>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</si>
  <si>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</si>
  <si>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</si>
  <si>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</si>
  <si>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</si>
  <si>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</si>
  <si>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</si>
  <si>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</si>
  <si>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</si>
  <si>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</si>
  <si>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</si>
  <si>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</si>
  <si>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</si>
  <si>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</si>
  <si>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</si>
  <si>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</si>
  <si>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</si>
  <si>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</si>
  <si>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</si>
  <si>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</si>
  <si>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</si>
  <si>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</si>
  <si>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</si>
  <si>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</si>
  <si>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</si>
  <si>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</si>
  <si>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</si>
  <si>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</si>
  <si>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</si>
  <si>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</si>
  <si>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</si>
  <si>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</si>
  <si>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</si>
  <si>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</si>
  <si>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</si>
  <si>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</si>
  <si>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</si>
  <si>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Wipfli LLP</t>
  </si>
  <si>
    <t>Matthew Schueler</t>
  </si>
  <si>
    <t>403 East Third</t>
  </si>
  <si>
    <t>Sterling</t>
  </si>
  <si>
    <t>Illinois</t>
  </si>
  <si>
    <t>815-626-1277</t>
  </si>
  <si>
    <t>815-626-9118</t>
  </si>
  <si>
    <t>066-004023</t>
  </si>
  <si>
    <t>mschueler@wipfli.com</t>
  </si>
  <si>
    <t>x</t>
  </si>
  <si>
    <t>Jo Daviess</t>
  </si>
  <si>
    <t>310 N. West Street</t>
  </si>
  <si>
    <t>Elizabeth</t>
  </si>
  <si>
    <t>carissa.bradt@nwseonline.onmicrosoft.com</t>
  </si>
  <si>
    <t>Tracy Dahl</t>
  </si>
  <si>
    <t>23. Adverse due to not adopting GASB 34.  Unqualified report on the regulatory basis.</t>
  </si>
  <si>
    <t>Medicaid outreach revenue reported on sefa to reconcile to HFS confirmation</t>
  </si>
  <si>
    <t>rounding</t>
  </si>
  <si>
    <t>The accompanying Schedule of Expenditures of Federal Awards includes the federal grant activity of the Northwest Illinois Special Education Cooperative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</si>
  <si>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Dakota CUSD #201 (08-089-2010-26)</t>
  </si>
  <si>
    <t>East Dubuque CUSD #119 (08-043-1190-22)</t>
  </si>
  <si>
    <t>Galena CUSD #120 (08-043-1200-22)</t>
  </si>
  <si>
    <t>Lena-Winslow CUSD #202 (08-089-2020-26)</t>
  </si>
  <si>
    <t>Orangeville CUSD #203 (08-089-2030-26)</t>
  </si>
  <si>
    <t>Pearl City CUSD #200 (08-089-2000-26)</t>
  </si>
  <si>
    <t>River Ridge CUSD #210 (08-043-2100-26)</t>
  </si>
  <si>
    <t>Scales Mound CUSD #211 (08-043-2110-26)</t>
  </si>
  <si>
    <t>Stockton CUSD #206 (08-043-2060-26)</t>
  </si>
  <si>
    <t>Warren CUSD #205 (08-043-2050-26)</t>
  </si>
  <si>
    <t>West Carroll CUSD #314 (08-008-3140-26)</t>
  </si>
  <si>
    <t>84.173A</t>
  </si>
  <si>
    <r>
      <t>The following amounts were expended in the form of non-cash assistance by Northwest Illinois Special Education Cooperative</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</si>
  <si>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t>
  </si>
  <si>
    <t>The accompanying Schedule of Expenditures of Federal Awards includes the federal grant activity of Northwest Illinois Special Education Cooperative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</si>
  <si>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NW IL Special Education Coop  provided federal awards to subrecipients as follows:</t>
  </si>
  <si>
    <t>Of the federal expenditures presented in the schedule, NW IL Special Education Coop provided federal awards to subrecipients as follows:</t>
  </si>
  <si>
    <r>
      <t>The following amounts were expended in the form of non-cash assistance by the joint agreement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</si>
  <si>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84.027A</t>
  </si>
  <si>
    <t>total</t>
  </si>
  <si>
    <t>US DEPARTMENT OF HEALTH &amp; HUMAN SERVICES</t>
  </si>
  <si>
    <t>Passed through Illinois Dept of Healthcare &amp; Family Services</t>
  </si>
  <si>
    <t xml:space="preserve">  Medicaid Administrative Outreach</t>
  </si>
  <si>
    <t>93..778</t>
  </si>
  <si>
    <t>17-4991-00</t>
  </si>
  <si>
    <t>US DEPARTMENT OF EDUCATION</t>
  </si>
  <si>
    <t>Passed through Illinois State Board of Education</t>
  </si>
  <si>
    <t xml:space="preserve">  Fed Spec Ed IDEA Flow Though (M)</t>
  </si>
  <si>
    <t xml:space="preserve">  Fed Spec Ed Preschool Flow Through (M)</t>
  </si>
  <si>
    <t>18-4991-00</t>
  </si>
  <si>
    <t>17-4620-00</t>
  </si>
  <si>
    <t>18-4620-00</t>
  </si>
  <si>
    <t>17-4600-00</t>
  </si>
  <si>
    <t>18-4600-00</t>
  </si>
  <si>
    <t>Passed through Illinois Dept of Human Services</t>
  </si>
  <si>
    <t xml:space="preserve">   DORS- Secondary Transition Experience Program</t>
  </si>
  <si>
    <t>US DEPARTMENT OF AGRICULTURE</t>
  </si>
  <si>
    <t xml:space="preserve">  National School Lunch Program</t>
  </si>
  <si>
    <t>16-4210-00</t>
  </si>
  <si>
    <t>17-4210-00</t>
  </si>
  <si>
    <t>18-4210-00</t>
  </si>
  <si>
    <t>National School Breakfast</t>
  </si>
  <si>
    <t>18-4220-00</t>
  </si>
  <si>
    <t>16-4220-00</t>
  </si>
  <si>
    <t>17-4220-00</t>
  </si>
  <si>
    <t>Total Federal Awards</t>
  </si>
  <si>
    <t>Unmodified</t>
  </si>
  <si>
    <t>84.027A &amp; 84.173A</t>
  </si>
  <si>
    <t>Special Education Cluster</t>
  </si>
  <si>
    <t>Management is responsible for establishing and maintaining internal controls and for the fair presentation of the financial statements including the related disclosures, in accordance with the regulatory basis of accounting.</t>
  </si>
  <si>
    <t>The Joint Agreement does not have an internal control policy in place over annual financing reporting that would enable management to prepare its annual financial statements and ensure related footnote disclosures are complete and presented in accordance with the regulatory basis of accounting.</t>
  </si>
  <si>
    <t>The completeness of the financial statement disclosure and the accuracy of the overall financial presentation are negativley impacted as outside auditors do not have the same comprehensive understanding of the Joint Agreement as its internal financial staff</t>
  </si>
  <si>
    <t xml:space="preserve">The Joint agreeement relies on the audit firm to prepare the annual financial statements and related footnote disclosures. However, they have reviewed and approved the annual financial statemetns and related footnote disclosures. </t>
  </si>
  <si>
    <t>The Joint Agreement should continue to evaluate the cost/benefit of hiring someone capable of producing regulatory basis financial statements</t>
  </si>
  <si>
    <t xml:space="preserve">The Joint Agreement has determined that it is not cost beneficial to hire </t>
  </si>
  <si>
    <t>Due to the limited number of personnel availible, there are situations within the system of internal controls where there is not a complete or adequate segregation of duties</t>
  </si>
  <si>
    <t xml:space="preserve">Errors of irregularities could go undetected due to the inadequate segregation of duties </t>
  </si>
  <si>
    <t xml:space="preserve">There is a limited number of personnel availible to completely segregate duties. </t>
  </si>
  <si>
    <t xml:space="preserve">Continued effective oversight by the governing board and executive management compensates for some of the segrergation issues. We recommend the board continue to stay active in their oversight role and whenever possible, incompatible duties be segregated within the accounting system. </t>
  </si>
  <si>
    <t xml:space="preserve">Agree with auditor reommendation. Board is active in reviewing and approaving financial data and where possible, we will look for ways to segregate duties. </t>
  </si>
  <si>
    <t>2016-001</t>
  </si>
  <si>
    <t>report preparation</t>
  </si>
  <si>
    <t>condition still exists</t>
  </si>
  <si>
    <t>2016-002</t>
  </si>
  <si>
    <t>segregation of duties</t>
  </si>
  <si>
    <t xml:space="preserve">report preparation </t>
  </si>
  <si>
    <t>2017-001</t>
  </si>
  <si>
    <t>2017-002</t>
  </si>
  <si>
    <t>Adverse for GAAP, Unmodified for Regulatory</t>
  </si>
  <si>
    <t>None</t>
  </si>
  <si>
    <t>0</t>
  </si>
  <si>
    <t xml:space="preserve">Internal Controls should be in place so that no one person handles a transation from inception to completion. </t>
  </si>
  <si>
    <t>Northwest SpEd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</si>
</sst>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cellStyleXfs>
  <cellXfs count="253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53" fillId="0" borderId="0" xfId="3" applyFont="1" applyAlignment="1" applyProtection="1">
      <alignment horizontal="center" vertical="center"/>
    </xf>
    <xf numFmtId="0" fontId="53" fillId="0" borderId="0" xfId="3" applyFont="1" applyAlignment="1" applyProtection="1">
      <alignment horizontal="center"/>
    </xf>
    <xf numFmtId="0" fontId="61" fillId="0" borderId="0" xfId="3" applyFont="1" applyBorder="1" applyAlignment="1" applyProtection="1">
      <alignment horizontal="left" vertical="top" wrapText="1"/>
    </xf>
    <xf numFmtId="0" fontId="15" fillId="0" borderId="148" xfId="3" applyFont="1" applyBorder="1" applyProtection="1">
      <protection locked="0"/>
    </xf>
    <xf numFmtId="0" fontId="15" fillId="0" borderId="148" xfId="3" applyFont="1" applyBorder="1" applyProtection="1">
      <protection locked="0"/>
    </xf>
    <xf numFmtId="0" fontId="15" fillId="0" borderId="148" xfId="3" applyFont="1" applyBorder="1" applyProtection="1">
      <protection locked="0"/>
    </xf>
    <xf numFmtId="0" fontId="15" fillId="0" borderId="22" xfId="3" applyFont="1" applyBorder="1" applyAlignment="1" applyProtection="1">
      <alignment horizontal="center"/>
      <protection locked="0"/>
    </xf>
    <xf numFmtId="0" fontId="15" fillId="0" borderId="22" xfId="3" applyFont="1" applyBorder="1" applyAlignment="1" applyProtection="1">
      <alignment horizontal="center"/>
      <protection locked="0"/>
    </xf>
    <xf numFmtId="0" fontId="15" fillId="0" borderId="148" xfId="3" applyFont="1" applyBorder="1" applyProtection="1">
      <protection locked="0"/>
    </xf>
    <xf numFmtId="0" fontId="15" fillId="0" borderId="148" xfId="3" applyFont="1" applyBorder="1" applyProtection="1">
      <protection locked="0"/>
    </xf>
    <xf numFmtId="0" fontId="15" fillId="0" borderId="22" xfId="3" applyFont="1" applyBorder="1" applyAlignment="1" applyProtection="1">
      <alignment horizontal="center"/>
      <protection locked="0"/>
    </xf>
    <xf numFmtId="0" fontId="15" fillId="0" borderId="22" xfId="3"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3" fontId="10" fillId="0" borderId="22" xfId="3" applyNumberFormat="1" applyFont="1" applyFill="1" applyBorder="1" applyAlignment="1" applyProtection="1">
      <alignment horizontal="left" vertical="center" wrapText="1"/>
      <protection locked="0"/>
    </xf>
    <xf numFmtId="3" fontId="10" fillId="0" borderId="22" xfId="3" applyNumberFormat="1" applyFont="1" applyBorder="1" applyAlignment="1" applyProtection="1">
      <alignment horizontal="left" vertical="center" wrapText="1"/>
      <protection locked="0"/>
    </xf>
    <xf numFmtId="169"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1" fontId="10" fillId="0" borderId="22"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1" fontId="10" fillId="0" borderId="22" xfId="3" applyNumberFormat="1" applyFont="1" applyFill="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1" fontId="10" fillId="0" borderId="22"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1" fontId="10" fillId="0" borderId="22"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0" fontId="9" fillId="0" borderId="0" xfId="3" applyProtection="1">
      <protection locked="0"/>
    </xf>
    <xf numFmtId="0" fontId="9" fillId="0" borderId="0" xfId="3" applyBorder="1" applyProtection="1">
      <protection locked="0"/>
    </xf>
    <xf numFmtId="179" fontId="9" fillId="0" borderId="0" xfId="3" applyNumberFormat="1" applyBorder="1" applyProtection="1">
      <protection locked="0"/>
    </xf>
    <xf numFmtId="179" fontId="9" fillId="0" borderId="0" xfId="3" applyNumberFormat="1" applyFont="1" applyBorder="1" applyAlignment="1" applyProtection="1">
      <alignment horizontal="left"/>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3" xfId="20"/>
    <cellStyle name="Normal 3 3"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733425</xdr:colOff>
          <xdr:row>9</xdr:row>
          <xdr:rowOff>19050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A7C0CDA3-0273-4A55-BB3D-FE296F8CF4F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1FD555CA-819C-4B6B-A4DE-470D8C25DE13}"/>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B468CB27-DAC8-4377-B7D0-5600B3EB798D}"/>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c r="C5" s="26" t="s">
        <v>966</v>
      </c>
      <c r="D5" s="84"/>
      <c r="E5" s="84"/>
      <c r="H5" s="38"/>
      <c r="I5" s="2043" t="s">
        <v>701</v>
      </c>
      <c r="J5" s="2042"/>
      <c r="K5" s="2042"/>
      <c r="L5" s="2042"/>
      <c r="M5" s="2042"/>
      <c r="N5" s="2042"/>
      <c r="O5" s="2042"/>
      <c r="P5" s="2042"/>
      <c r="Q5" s="2042"/>
      <c r="R5" s="2042"/>
      <c r="S5" s="2042"/>
    </row>
    <row r="6" spans="1:28" ht="14.1" customHeight="1" x14ac:dyDescent="0.2">
      <c r="B6" s="104" t="s">
        <v>2083</v>
      </c>
      <c r="C6" s="26" t="s">
        <v>967</v>
      </c>
      <c r="D6" s="84"/>
      <c r="E6" s="84"/>
      <c r="I6" s="2041" t="s">
        <v>938</v>
      </c>
      <c r="J6" s="2042"/>
      <c r="K6" s="2042"/>
      <c r="L6" s="2042"/>
      <c r="M6" s="2042"/>
      <c r="N6" s="2042"/>
      <c r="O6" s="2042"/>
      <c r="P6" s="2042"/>
      <c r="Q6" s="2042"/>
      <c r="R6" s="2042"/>
      <c r="S6" s="2042"/>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2054" t="s">
        <v>554</v>
      </c>
      <c r="U9" s="2055"/>
      <c r="V9" s="2055"/>
      <c r="W9" s="2055"/>
      <c r="X9" s="2055"/>
      <c r="Y9" s="2055"/>
      <c r="Z9" s="2055"/>
      <c r="AA9" s="2056"/>
    </row>
    <row r="10" spans="1:28" ht="13.5" customHeight="1" x14ac:dyDescent="0.2">
      <c r="A10" s="2061" t="s">
        <v>696</v>
      </c>
      <c r="B10" s="2062"/>
      <c r="C10" s="2062"/>
      <c r="D10" s="2062"/>
      <c r="E10" s="2062"/>
      <c r="F10" s="2062"/>
      <c r="G10" s="2062"/>
      <c r="H10" s="2063"/>
      <c r="I10" s="29"/>
      <c r="J10" s="30"/>
      <c r="K10" s="28"/>
      <c r="R10" s="30"/>
      <c r="S10" s="30"/>
      <c r="T10" s="2057"/>
      <c r="U10" s="2042"/>
      <c r="V10" s="2042"/>
      <c r="W10" s="2042"/>
      <c r="X10" s="2042"/>
      <c r="Y10" s="2042"/>
      <c r="Z10" s="2042"/>
      <c r="AA10" s="2048"/>
    </row>
    <row r="11" spans="1:28" ht="14.25" customHeight="1" x14ac:dyDescent="0.2">
      <c r="A11" s="2064" t="s">
        <v>1012</v>
      </c>
      <c r="B11" s="2065"/>
      <c r="C11" s="2065"/>
      <c r="D11" s="2065"/>
      <c r="E11" s="2065"/>
      <c r="F11" s="2065"/>
      <c r="G11" s="2065"/>
      <c r="H11" s="2066"/>
      <c r="I11" s="27"/>
      <c r="J11" s="74"/>
      <c r="K11" s="27"/>
      <c r="O11" s="148"/>
      <c r="P11" s="100" t="s">
        <v>210</v>
      </c>
      <c r="Q11" s="30"/>
      <c r="R11" s="28"/>
      <c r="S11" s="27"/>
      <c r="T11" s="2058"/>
      <c r="U11" s="2059"/>
      <c r="V11" s="2059"/>
      <c r="W11" s="2059"/>
      <c r="X11" s="2059"/>
      <c r="Y11" s="2059"/>
      <c r="Z11" s="2059"/>
      <c r="AA11" s="2060"/>
    </row>
    <row r="12" spans="1:28" ht="13.5" customHeight="1" x14ac:dyDescent="0.2">
      <c r="A12" s="85" t="s">
        <v>982</v>
      </c>
      <c r="B12" s="76"/>
      <c r="C12" s="76"/>
      <c r="D12" s="76"/>
      <c r="E12" s="76"/>
      <c r="F12" s="76"/>
      <c r="G12" s="76"/>
      <c r="H12" s="53"/>
      <c r="I12" s="29"/>
      <c r="J12" s="30"/>
      <c r="K12" s="28"/>
      <c r="O12" s="149" t="s">
        <v>2083</v>
      </c>
      <c r="P12" s="100" t="s">
        <v>211</v>
      </c>
      <c r="Q12" s="74"/>
      <c r="R12" s="30"/>
      <c r="S12" s="30"/>
      <c r="T12" s="85" t="s">
        <v>283</v>
      </c>
      <c r="U12" s="51"/>
      <c r="V12" s="51"/>
      <c r="W12" s="51"/>
      <c r="X12" s="51"/>
      <c r="Y12" s="45"/>
      <c r="Z12" s="45"/>
      <c r="AA12" s="46"/>
    </row>
    <row r="13" spans="1:28" ht="13.5" customHeight="1" x14ac:dyDescent="0.2">
      <c r="A13" s="2068">
        <v>8043210061</v>
      </c>
      <c r="B13" s="2069"/>
      <c r="C13" s="2069"/>
      <c r="D13" s="2069"/>
      <c r="E13" s="2069"/>
      <c r="F13" s="2069"/>
      <c r="G13" s="2069"/>
      <c r="H13" s="2070"/>
      <c r="I13" s="31"/>
      <c r="J13" s="30"/>
      <c r="K13" s="28"/>
      <c r="L13" s="30"/>
      <c r="M13" s="30"/>
      <c r="N13" s="30"/>
      <c r="O13" s="30"/>
      <c r="P13" s="30"/>
      <c r="Q13" s="30"/>
      <c r="R13" s="30"/>
      <c r="S13" s="30"/>
      <c r="T13" s="2073" t="s">
        <v>2074</v>
      </c>
      <c r="U13" s="2074"/>
      <c r="V13" s="2074"/>
      <c r="W13" s="2074"/>
      <c r="X13" s="2074"/>
      <c r="Y13" s="2075"/>
      <c r="Z13" s="2075"/>
      <c r="AA13" s="207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67" t="s">
        <v>2084</v>
      </c>
      <c r="B15" s="2071"/>
      <c r="C15" s="2071"/>
      <c r="D15" s="2071"/>
      <c r="E15" s="2071"/>
      <c r="F15" s="2071"/>
      <c r="G15" s="2071"/>
      <c r="H15" s="2072"/>
      <c r="T15" s="2077" t="s">
        <v>2075</v>
      </c>
      <c r="U15" s="2021"/>
      <c r="V15" s="2021"/>
      <c r="W15" s="2021"/>
      <c r="X15" s="2021"/>
      <c r="Y15" s="2078"/>
      <c r="Z15" s="2078"/>
      <c r="AA15" s="207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27" t="s">
        <v>2165</v>
      </c>
      <c r="B17" s="2028"/>
      <c r="C17" s="2028"/>
      <c r="D17" s="2028"/>
      <c r="E17" s="2028"/>
      <c r="F17" s="2028"/>
      <c r="G17" s="2028"/>
      <c r="H17" s="2053"/>
      <c r="T17" s="2084" t="s">
        <v>2076</v>
      </c>
      <c r="U17" s="2085"/>
      <c r="V17" s="2085"/>
      <c r="W17" s="2085"/>
      <c r="X17" s="2085"/>
      <c r="Y17" s="2085"/>
      <c r="Z17" s="2085"/>
      <c r="AA17" s="2086"/>
    </row>
    <row r="18" spans="1:27" ht="13.5" customHeight="1" x14ac:dyDescent="0.2">
      <c r="A18" s="85" t="s">
        <v>551</v>
      </c>
      <c r="B18" s="76"/>
      <c r="C18" s="72"/>
      <c r="D18" s="76"/>
      <c r="E18" s="76"/>
      <c r="F18" s="76"/>
      <c r="G18" s="76"/>
      <c r="H18" s="56"/>
      <c r="I18" s="2052" t="s">
        <v>697</v>
      </c>
      <c r="J18" s="2003"/>
      <c r="K18" s="2003"/>
      <c r="L18" s="2003"/>
      <c r="M18" s="2003"/>
      <c r="N18" s="2003"/>
      <c r="O18" s="2003"/>
      <c r="P18" s="2003"/>
      <c r="Q18" s="2003"/>
      <c r="R18" s="2003"/>
      <c r="S18" s="2004"/>
      <c r="T18" s="85" t="s">
        <v>735</v>
      </c>
      <c r="U18" s="51"/>
      <c r="V18" s="72"/>
      <c r="W18" s="50"/>
      <c r="X18" s="85" t="s">
        <v>284</v>
      </c>
      <c r="Y18" s="81"/>
      <c r="Z18" s="159" t="s">
        <v>698</v>
      </c>
      <c r="AA18" s="46"/>
    </row>
    <row r="19" spans="1:27" ht="13.5" customHeight="1" x14ac:dyDescent="0.2">
      <c r="A19" s="2067" t="s">
        <v>2085</v>
      </c>
      <c r="B19" s="2013"/>
      <c r="C19" s="2013"/>
      <c r="D19" s="2013"/>
      <c r="E19" s="2013"/>
      <c r="F19" s="2013"/>
      <c r="G19" s="2013"/>
      <c r="H19" s="1993"/>
      <c r="I19" s="30"/>
      <c r="J19" s="99"/>
      <c r="K19" s="40"/>
      <c r="L19" s="38"/>
      <c r="M19" s="112" t="s">
        <v>333</v>
      </c>
      <c r="P19" s="27"/>
      <c r="Q19" s="27"/>
      <c r="R19" s="27"/>
      <c r="S19" s="31"/>
      <c r="T19" s="2067" t="s">
        <v>2077</v>
      </c>
      <c r="U19" s="1992"/>
      <c r="V19" s="1992"/>
      <c r="W19" s="1993"/>
      <c r="X19" s="2082" t="s">
        <v>2078</v>
      </c>
      <c r="Y19" s="2083"/>
      <c r="Z19" s="2080">
        <v>61081</v>
      </c>
      <c r="AA19" s="208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1" t="s">
        <v>2086</v>
      </c>
      <c r="B21" s="1992"/>
      <c r="C21" s="1992"/>
      <c r="D21" s="1992"/>
      <c r="E21" s="1992"/>
      <c r="F21" s="1992"/>
      <c r="G21" s="1992"/>
      <c r="H21" s="1993"/>
      <c r="I21" s="2047" t="s">
        <v>699</v>
      </c>
      <c r="J21" s="2042"/>
      <c r="K21" s="2042"/>
      <c r="L21" s="2042"/>
      <c r="M21" s="2042"/>
      <c r="N21" s="2042"/>
      <c r="O21" s="2042"/>
      <c r="P21" s="2042"/>
      <c r="Q21" s="2042"/>
      <c r="R21" s="2042"/>
      <c r="S21" s="2048"/>
      <c r="T21" s="2091" t="s">
        <v>2079</v>
      </c>
      <c r="U21" s="2092"/>
      <c r="V21" s="2092"/>
      <c r="W21" s="2092"/>
      <c r="X21" s="2097" t="s">
        <v>2080</v>
      </c>
      <c r="Y21" s="2098"/>
      <c r="Z21" s="2098"/>
      <c r="AA21" s="2099"/>
    </row>
    <row r="22" spans="1:27" ht="13.5" customHeight="1" x14ac:dyDescent="0.2">
      <c r="A22" s="87" t="s">
        <v>552</v>
      </c>
      <c r="B22" s="59"/>
      <c r="C22" s="59"/>
      <c r="D22" s="59"/>
      <c r="E22" s="59"/>
      <c r="F22" s="59"/>
      <c r="G22" s="59"/>
      <c r="H22" s="60"/>
      <c r="I22" s="2049" t="s">
        <v>1504</v>
      </c>
      <c r="J22" s="2050"/>
      <c r="K22" s="2050"/>
      <c r="L22" s="2050"/>
      <c r="M22" s="2050"/>
      <c r="N22" s="2050"/>
      <c r="O22" s="2050"/>
      <c r="P22" s="2050"/>
      <c r="Q22" s="2050"/>
      <c r="R22" s="2050"/>
      <c r="S22" s="2051"/>
      <c r="T22" s="85" t="s">
        <v>1596</v>
      </c>
      <c r="U22" s="51"/>
      <c r="V22" s="72"/>
      <c r="W22" s="51"/>
      <c r="X22" s="160" t="s">
        <v>1385</v>
      </c>
      <c r="Z22" s="45"/>
      <c r="AA22" s="46"/>
    </row>
    <row r="23" spans="1:27" ht="13.5" customHeight="1" x14ac:dyDescent="0.2">
      <c r="A23" s="2044" t="s">
        <v>2087</v>
      </c>
      <c r="B23" s="2045"/>
      <c r="C23" s="2045"/>
      <c r="D23" s="2045"/>
      <c r="E23" s="2045"/>
      <c r="F23" s="2045"/>
      <c r="G23" s="2045"/>
      <c r="H23" s="2046"/>
      <c r="T23" s="2027" t="s">
        <v>2081</v>
      </c>
      <c r="U23" s="2090"/>
      <c r="V23" s="2090"/>
      <c r="W23" s="2090"/>
      <c r="X23" s="2094">
        <v>43434</v>
      </c>
      <c r="Y23" s="2095"/>
      <c r="Z23" s="2095"/>
      <c r="AA23" s="2096"/>
    </row>
    <row r="24" spans="1:27" ht="14.1" customHeight="1" x14ac:dyDescent="0.2">
      <c r="A24" s="88" t="s">
        <v>698</v>
      </c>
      <c r="B24" s="49"/>
      <c r="C24" s="49"/>
      <c r="D24" s="49"/>
      <c r="E24" s="49"/>
      <c r="F24" s="49"/>
      <c r="G24" s="49"/>
      <c r="H24" s="61"/>
      <c r="J24" s="2014" t="str">
        <f>IF(B5="x",IF(AUDITCHECK!D29="AFR form Incomplete.","",IF(AUDITCHECK!D29="Deficit reduction plan is required.","School District must complete a deficit reduction plan in the 2018-2019 Budget",)),"")</f>
        <v/>
      </c>
      <c r="K24" s="2014"/>
      <c r="L24" s="2014"/>
      <c r="M24" s="2014"/>
      <c r="N24" s="2014"/>
      <c r="O24" s="2014"/>
      <c r="P24" s="2014"/>
      <c r="Q24" s="2014"/>
      <c r="R24" s="2014"/>
      <c r="S24" s="2015"/>
      <c r="T24" s="105" t="s">
        <v>552</v>
      </c>
      <c r="U24" s="106"/>
      <c r="V24" s="106"/>
      <c r="W24" s="106"/>
      <c r="X24" s="107"/>
      <c r="Y24" s="107"/>
      <c r="Z24" s="107"/>
      <c r="AA24" s="108"/>
    </row>
    <row r="25" spans="1:27" ht="14.1" customHeight="1" x14ac:dyDescent="0.2">
      <c r="A25" s="1991">
        <v>61028</v>
      </c>
      <c r="B25" s="1992"/>
      <c r="C25" s="1992"/>
      <c r="D25" s="1992"/>
      <c r="E25" s="1992"/>
      <c r="F25" s="1992"/>
      <c r="G25" s="1992"/>
      <c r="H25" s="1993"/>
      <c r="I25" s="113"/>
      <c r="J25" s="2016"/>
      <c r="K25" s="2016"/>
      <c r="L25" s="2016"/>
      <c r="M25" s="2016"/>
      <c r="N25" s="2016"/>
      <c r="O25" s="2016"/>
      <c r="P25" s="2016"/>
      <c r="Q25" s="2016"/>
      <c r="R25" s="2016"/>
      <c r="S25" s="2017"/>
      <c r="T25" s="2087" t="s">
        <v>2082</v>
      </c>
      <c r="U25" s="2088"/>
      <c r="V25" s="2088"/>
      <c r="W25" s="2088"/>
      <c r="X25" s="2088"/>
      <c r="Y25" s="2088"/>
      <c r="Z25" s="2088"/>
      <c r="AA25" s="208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02" t="s">
        <v>1591</v>
      </c>
      <c r="J27" s="2003"/>
      <c r="K27" s="2003"/>
      <c r="L27" s="2003"/>
      <c r="M27" s="2003"/>
      <c r="N27" s="2003"/>
      <c r="O27" s="2003"/>
      <c r="P27" s="2003"/>
      <c r="Q27" s="2003"/>
      <c r="R27" s="2003"/>
      <c r="S27" s="200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2083</v>
      </c>
      <c r="F29" s="141" t="s">
        <v>1383</v>
      </c>
      <c r="G29" s="114"/>
      <c r="I29" s="54"/>
      <c r="J29" s="148" t="s">
        <v>2083</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2083</v>
      </c>
      <c r="C30" s="124" t="s">
        <v>1226</v>
      </c>
      <c r="D30" s="28"/>
      <c r="E30" s="28"/>
      <c r="F30" s="140"/>
      <c r="G30" s="114"/>
      <c r="H30" s="114"/>
      <c r="I30" s="54"/>
      <c r="J30" s="148" t="s">
        <v>2083</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2083</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3"/>
      <c r="Q35" s="1992"/>
      <c r="R35" s="199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27" t="s">
        <v>2088</v>
      </c>
      <c r="B38" s="2028"/>
      <c r="C38" s="2028"/>
      <c r="D38" s="2028"/>
      <c r="E38" s="2028"/>
      <c r="F38" s="1992"/>
      <c r="G38" s="1992"/>
      <c r="H38" s="1993"/>
      <c r="I38" s="2020"/>
      <c r="J38" s="2021"/>
      <c r="K38" s="2021"/>
      <c r="L38" s="2021"/>
      <c r="M38" s="2021"/>
      <c r="N38" s="2021"/>
      <c r="O38" s="2021"/>
      <c r="P38" s="2022"/>
      <c r="Q38" s="2022"/>
      <c r="R38" s="2022"/>
      <c r="S38" s="2023"/>
      <c r="T38" s="2077"/>
      <c r="U38" s="2021"/>
      <c r="V38" s="2021"/>
      <c r="W38" s="2021"/>
      <c r="X38" s="2022"/>
      <c r="Y38" s="2022"/>
      <c r="Z38" s="2022"/>
      <c r="AA38" s="2023"/>
    </row>
    <row r="39" spans="1:27" ht="12" customHeight="1" x14ac:dyDescent="0.2">
      <c r="A39" s="1997" t="s">
        <v>552</v>
      </c>
      <c r="B39" s="1998"/>
      <c r="C39" s="72"/>
      <c r="D39" s="69"/>
      <c r="E39" s="69"/>
      <c r="F39" s="79"/>
      <c r="G39" s="69"/>
      <c r="H39" s="56"/>
      <c r="I39" s="1997" t="s">
        <v>552</v>
      </c>
      <c r="J39" s="1998"/>
      <c r="K39" s="1998"/>
      <c r="L39" s="1998"/>
      <c r="M39" s="1998"/>
      <c r="N39" s="67"/>
      <c r="O39" s="72"/>
      <c r="P39" s="72"/>
      <c r="Q39" s="78"/>
      <c r="R39" s="72"/>
      <c r="S39" s="56"/>
      <c r="T39" s="72" t="s">
        <v>552</v>
      </c>
      <c r="U39" s="51"/>
      <c r="V39" s="72"/>
      <c r="W39" s="50"/>
      <c r="X39" s="78"/>
      <c r="Y39" s="45"/>
      <c r="Z39" s="45"/>
      <c r="AA39" s="46"/>
    </row>
    <row r="40" spans="1:27" ht="13.5" customHeight="1" x14ac:dyDescent="0.2">
      <c r="A40" s="2005"/>
      <c r="B40" s="2006"/>
      <c r="C40" s="2007"/>
      <c r="D40" s="2007"/>
      <c r="E40" s="2007"/>
      <c r="F40" s="2008"/>
      <c r="G40" s="2008"/>
      <c r="H40" s="2009"/>
      <c r="I40" s="2030"/>
      <c r="J40" s="2031"/>
      <c r="K40" s="2031"/>
      <c r="L40" s="2031"/>
      <c r="M40" s="2031"/>
      <c r="N40" s="2031"/>
      <c r="O40" s="2031"/>
      <c r="P40" s="2031"/>
      <c r="Q40" s="2031"/>
      <c r="R40" s="2031"/>
      <c r="S40" s="2032"/>
      <c r="T40" s="2030"/>
      <c r="U40" s="2093"/>
      <c r="V40" s="2031"/>
      <c r="W40" s="2031"/>
      <c r="X40" s="2031"/>
      <c r="Y40" s="2031"/>
      <c r="Z40" s="2031"/>
      <c r="AA40" s="203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19"/>
      <c r="B42" s="2011"/>
      <c r="C42" s="2012"/>
      <c r="D42" s="2010"/>
      <c r="E42" s="2011"/>
      <c r="F42" s="2011"/>
      <c r="G42" s="2011"/>
      <c r="H42" s="2012"/>
      <c r="I42" s="1994"/>
      <c r="J42" s="1995"/>
      <c r="K42" s="1995"/>
      <c r="L42" s="1995"/>
      <c r="M42" s="1995"/>
      <c r="N42" s="1995"/>
      <c r="O42" s="1996"/>
      <c r="P42" s="2029"/>
      <c r="Q42" s="1995"/>
      <c r="R42" s="1995"/>
      <c r="S42" s="1996"/>
      <c r="T42" s="1994"/>
      <c r="U42" s="1995"/>
      <c r="V42" s="1995"/>
      <c r="W42" s="1996"/>
      <c r="X42" s="2029"/>
      <c r="Y42" s="1995"/>
      <c r="Z42" s="1995"/>
      <c r="AA42" s="199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24"/>
      <c r="B44" s="2025"/>
      <c r="C44" s="2025"/>
      <c r="D44" s="2025"/>
      <c r="E44" s="2025"/>
      <c r="F44" s="2025"/>
      <c r="G44" s="2025"/>
      <c r="H44" s="2026"/>
      <c r="I44" s="1999"/>
      <c r="J44" s="2000"/>
      <c r="K44" s="2000"/>
      <c r="L44" s="2000"/>
      <c r="M44" s="2000"/>
      <c r="N44" s="2000"/>
      <c r="O44" s="2000"/>
      <c r="P44" s="2000"/>
      <c r="Q44" s="2000"/>
      <c r="R44" s="2000"/>
      <c r="S44" s="2001"/>
      <c r="T44" s="1999"/>
      <c r="U44" s="2018"/>
      <c r="V44" s="2018"/>
      <c r="W44" s="2018"/>
      <c r="X44" s="2018"/>
      <c r="Y44" s="2018"/>
      <c r="Z44" s="2000"/>
      <c r="AA44" s="200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5" colorId="8" zoomScale="110" zoomScaleNormal="110" workbookViewId="0">
      <selection activeCell="A42" sqref="A42:A4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33" t="s">
        <v>1902</v>
      </c>
      <c r="B2" s="1549" t="s">
        <v>2034</v>
      </c>
      <c r="C2" s="715" t="s">
        <v>1907</v>
      </c>
      <c r="D2" s="715" t="s">
        <v>1908</v>
      </c>
      <c r="E2" s="715" t="s">
        <v>1909</v>
      </c>
      <c r="F2" s="715" t="s">
        <v>1910</v>
      </c>
    </row>
    <row r="3" spans="1:6" ht="12" customHeight="1" x14ac:dyDescent="0.2">
      <c r="A3" s="2234"/>
      <c r="B3" s="1546"/>
      <c r="C3" s="1547"/>
      <c r="D3" s="1548" t="s">
        <v>274</v>
      </c>
      <c r="E3" s="1547"/>
      <c r="F3" s="1548" t="s">
        <v>275</v>
      </c>
    </row>
    <row r="4" spans="1:6" ht="13.7" customHeight="1" x14ac:dyDescent="0.2">
      <c r="A4" s="716" t="s">
        <v>1217</v>
      </c>
      <c r="B4" s="1770">
        <f>'Revenues 9-14'!C5</f>
        <v>0</v>
      </c>
      <c r="C4" s="1545"/>
      <c r="D4" s="1773">
        <f>B4-C4</f>
        <v>0</v>
      </c>
      <c r="E4" s="1545"/>
      <c r="F4" s="1773">
        <f>E4-C4</f>
        <v>0</v>
      </c>
    </row>
    <row r="5" spans="1:6" ht="13.7" customHeight="1" x14ac:dyDescent="0.2">
      <c r="A5" s="716" t="s">
        <v>925</v>
      </c>
      <c r="B5" s="1771">
        <f>'Revenues 9-14'!D5</f>
        <v>0</v>
      </c>
      <c r="C5" s="585"/>
      <c r="D5" s="1774">
        <f t="shared" ref="D5:D18" si="0">B5-C5</f>
        <v>0</v>
      </c>
      <c r="E5" s="585"/>
      <c r="F5" s="1774">
        <f>E5-C5</f>
        <v>0</v>
      </c>
    </row>
    <row r="6" spans="1:6" ht="13.7" customHeight="1" x14ac:dyDescent="0.2">
      <c r="A6" s="716" t="s">
        <v>431</v>
      </c>
      <c r="B6" s="1771">
        <f>'Revenues 9-14'!E5</f>
        <v>0</v>
      </c>
      <c r="C6" s="585"/>
      <c r="D6" s="1774">
        <f t="shared" si="0"/>
        <v>0</v>
      </c>
      <c r="E6" s="585"/>
      <c r="F6" s="1774">
        <f t="shared" ref="F6:F18" si="1">E6-C6</f>
        <v>0</v>
      </c>
    </row>
    <row r="7" spans="1:6" ht="13.7" customHeight="1" x14ac:dyDescent="0.2">
      <c r="A7" s="716" t="s">
        <v>157</v>
      </c>
      <c r="B7" s="1771">
        <f>'Revenues 9-14'!F5</f>
        <v>0</v>
      </c>
      <c r="C7" s="585"/>
      <c r="D7" s="1774">
        <f t="shared" si="0"/>
        <v>0</v>
      </c>
      <c r="E7" s="585"/>
      <c r="F7" s="1774">
        <f t="shared" si="1"/>
        <v>0</v>
      </c>
    </row>
    <row r="8" spans="1:6" ht="13.7" customHeight="1" x14ac:dyDescent="0.2">
      <c r="A8" s="716" t="s">
        <v>1241</v>
      </c>
      <c r="B8" s="1771">
        <f>'Revenues 9-14'!G5</f>
        <v>0</v>
      </c>
      <c r="C8" s="585"/>
      <c r="D8" s="1774">
        <f t="shared" si="0"/>
        <v>0</v>
      </c>
      <c r="E8" s="585"/>
      <c r="F8" s="1774">
        <f t="shared" si="1"/>
        <v>0</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0</v>
      </c>
      <c r="C10" s="585"/>
      <c r="D10" s="1774">
        <f t="shared" si="0"/>
        <v>0</v>
      </c>
      <c r="E10" s="585"/>
      <c r="F10" s="1774">
        <f t="shared" si="1"/>
        <v>0</v>
      </c>
    </row>
    <row r="11" spans="1:6" x14ac:dyDescent="0.2">
      <c r="A11" s="716" t="s">
        <v>429</v>
      </c>
      <c r="B11" s="1771">
        <f>'Revenues 9-14'!J5</f>
        <v>0</v>
      </c>
      <c r="C11" s="585"/>
      <c r="D11" s="1774">
        <f t="shared" si="0"/>
        <v>0</v>
      </c>
      <c r="E11" s="585"/>
      <c r="F11" s="1774">
        <f t="shared" si="1"/>
        <v>0</v>
      </c>
    </row>
    <row r="12" spans="1:6" ht="13.7" customHeight="1" x14ac:dyDescent="0.2">
      <c r="A12" s="716" t="s">
        <v>159</v>
      </c>
      <c r="B12" s="1771">
        <f>'Revenues 9-14'!K5</f>
        <v>0</v>
      </c>
      <c r="C12" s="585"/>
      <c r="D12" s="1774">
        <f t="shared" si="0"/>
        <v>0</v>
      </c>
      <c r="E12" s="585"/>
      <c r="F12" s="1774">
        <f t="shared" si="1"/>
        <v>0</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0</v>
      </c>
      <c r="C14" s="585"/>
      <c r="D14" s="1774">
        <f t="shared" si="0"/>
        <v>0</v>
      </c>
      <c r="E14" s="585"/>
      <c r="F14" s="1774">
        <f t="shared" si="1"/>
        <v>0</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0</v>
      </c>
      <c r="C16" s="585"/>
      <c r="D16" s="1774">
        <f t="shared" si="0"/>
        <v>0</v>
      </c>
      <c r="E16" s="585"/>
      <c r="F16" s="1774">
        <f t="shared" si="1"/>
        <v>0</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0</v>
      </c>
      <c r="C19" s="1772">
        <f>SUM(C4:C18)</f>
        <v>0</v>
      </c>
      <c r="D19" s="1772">
        <f>SUM(D4:D18)</f>
        <v>0</v>
      </c>
      <c r="E19" s="1772">
        <f>SUM(E4:E18)</f>
        <v>0</v>
      </c>
      <c r="F19" s="1772">
        <f>SUM(F4:F18)</f>
        <v>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activeCell="B29" sqref="B2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5" t="s">
        <v>650</v>
      </c>
      <c r="B1" s="2253"/>
      <c r="C1" s="722"/>
    </row>
    <row r="2" spans="1:7" ht="33.75" x14ac:dyDescent="0.2">
      <c r="A2" s="2260" t="s">
        <v>1902</v>
      </c>
      <c r="B2" s="2261"/>
      <c r="C2" s="1908" t="s">
        <v>2035</v>
      </c>
      <c r="D2" s="724" t="s">
        <v>2042</v>
      </c>
      <c r="E2" s="724" t="s">
        <v>2043</v>
      </c>
      <c r="F2" s="1908" t="s">
        <v>2036</v>
      </c>
    </row>
    <row r="3" spans="1:7" ht="15.75" customHeight="1" x14ac:dyDescent="0.2">
      <c r="A3" s="2262" t="s">
        <v>1176</v>
      </c>
      <c r="B3" s="2263"/>
      <c r="C3" s="2256"/>
      <c r="D3" s="2257"/>
      <c r="E3" s="2257"/>
      <c r="F3" s="2258"/>
    </row>
    <row r="4" spans="1:7" ht="12.75" customHeight="1" thickBot="1" x14ac:dyDescent="0.25">
      <c r="A4" s="2250" t="s">
        <v>651</v>
      </c>
      <c r="B4" s="2251"/>
      <c r="C4" s="581"/>
      <c r="D4" s="581"/>
      <c r="E4" s="581"/>
      <c r="F4" s="1776">
        <f>SUM(C4+D4)-E4</f>
        <v>0</v>
      </c>
    </row>
    <row r="5" spans="1:7" ht="15.75" customHeight="1" thickTop="1" x14ac:dyDescent="0.2">
      <c r="A5" s="2254" t="s">
        <v>1172</v>
      </c>
      <c r="B5" s="2249"/>
      <c r="C5" s="2243"/>
      <c r="D5" s="2244"/>
      <c r="E5" s="2244"/>
      <c r="F5" s="2245"/>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46" t="s">
        <v>652</v>
      </c>
      <c r="B15" s="2247"/>
      <c r="C15" s="1776">
        <f>SUM(C6:C14)</f>
        <v>0</v>
      </c>
      <c r="D15" s="1776">
        <f>SUM(D6:D14)</f>
        <v>0</v>
      </c>
      <c r="E15" s="1776">
        <f>SUM(E6:E14)</f>
        <v>0</v>
      </c>
      <c r="F15" s="1776">
        <f>SUM(F6:F14)</f>
        <v>0</v>
      </c>
      <c r="G15" s="552"/>
    </row>
    <row r="16" spans="1:7" s="202" customFormat="1" ht="15.75" customHeight="1" thickTop="1" x14ac:dyDescent="0.2">
      <c r="A16" s="2259" t="s">
        <v>1173</v>
      </c>
      <c r="B16" s="2249"/>
      <c r="C16" s="2243"/>
      <c r="D16" s="2244"/>
      <c r="E16" s="2244"/>
      <c r="F16" s="2245"/>
    </row>
    <row r="17" spans="1:11" ht="12.75" customHeight="1" thickBot="1" x14ac:dyDescent="0.25">
      <c r="A17" s="2241" t="s">
        <v>66</v>
      </c>
      <c r="B17" s="2242"/>
      <c r="C17" s="727"/>
      <c r="D17" s="585"/>
      <c r="E17" s="727"/>
      <c r="F17" s="1776">
        <f>SUM(C17+D17)-E17</f>
        <v>0</v>
      </c>
    </row>
    <row r="18" spans="1:11" ht="12.75" customHeight="1" thickTop="1" thickBot="1" x14ac:dyDescent="0.25">
      <c r="A18" s="2241" t="s">
        <v>6</v>
      </c>
      <c r="B18" s="2242"/>
      <c r="C18" s="727"/>
      <c r="D18" s="585"/>
      <c r="E18" s="727"/>
      <c r="F18" s="1776">
        <f>SUM(C18+D18)-E18</f>
        <v>0</v>
      </c>
    </row>
    <row r="19" spans="1:11" ht="12.75" customHeight="1" thickTop="1" thickBot="1" x14ac:dyDescent="0.25">
      <c r="A19" s="2241" t="s">
        <v>406</v>
      </c>
      <c r="B19" s="2242"/>
      <c r="C19" s="727"/>
      <c r="D19" s="585"/>
      <c r="E19" s="727"/>
      <c r="F19" s="1776">
        <f>SUM(C19+D19)-E19</f>
        <v>0</v>
      </c>
    </row>
    <row r="20" spans="1:11" ht="12.75" customHeight="1" thickTop="1" thickBot="1" x14ac:dyDescent="0.25">
      <c r="A20" s="2241" t="s">
        <v>468</v>
      </c>
      <c r="B20" s="2242"/>
      <c r="C20" s="727"/>
      <c r="D20" s="585"/>
      <c r="E20" s="727"/>
      <c r="F20" s="1776">
        <f>SUM(C20+D20)-E20</f>
        <v>0</v>
      </c>
    </row>
    <row r="21" spans="1:11" ht="14.25" thickTop="1" thickBot="1" x14ac:dyDescent="0.25">
      <c r="A21" s="2246" t="s">
        <v>653</v>
      </c>
      <c r="B21" s="2247"/>
      <c r="C21" s="1776">
        <f>SUM(C17:C20)</f>
        <v>0</v>
      </c>
      <c r="D21" s="1776">
        <f>SUM(D17:D20)</f>
        <v>0</v>
      </c>
      <c r="E21" s="1776">
        <f>SUM(E17:E20)</f>
        <v>0</v>
      </c>
      <c r="F21" s="1776">
        <f>SUM(F17:F20)</f>
        <v>0</v>
      </c>
      <c r="G21" s="552"/>
    </row>
    <row r="22" spans="1:11" ht="15.75" customHeight="1" thickTop="1" x14ac:dyDescent="0.2">
      <c r="A22" s="2248" t="s">
        <v>1174</v>
      </c>
      <c r="B22" s="2249"/>
      <c r="C22" s="2243"/>
      <c r="D22" s="2244"/>
      <c r="E22" s="2244"/>
      <c r="F22" s="2245"/>
    </row>
    <row r="23" spans="1:11" ht="13.5" thickBot="1" x14ac:dyDescent="0.25">
      <c r="A23" s="2250" t="s">
        <v>654</v>
      </c>
      <c r="B23" s="2251"/>
      <c r="C23" s="581"/>
      <c r="D23" s="581"/>
      <c r="E23" s="581"/>
      <c r="F23" s="1776">
        <f>SUM(C23+D23)-E23</f>
        <v>0</v>
      </c>
      <c r="G23" s="552"/>
    </row>
    <row r="24" spans="1:11" ht="15.75" customHeight="1" thickTop="1" x14ac:dyDescent="0.2">
      <c r="A24" s="2248" t="s">
        <v>1175</v>
      </c>
      <c r="B24" s="2249"/>
      <c r="C24" s="2243"/>
      <c r="D24" s="2244"/>
      <c r="E24" s="2244"/>
      <c r="F24" s="2245"/>
    </row>
    <row r="25" spans="1:11" ht="13.5" thickBot="1" x14ac:dyDescent="0.25">
      <c r="A25" s="2250" t="s">
        <v>655</v>
      </c>
      <c r="B25" s="2251"/>
      <c r="C25" s="581"/>
      <c r="D25" s="581"/>
      <c r="E25" s="581"/>
      <c r="F25" s="1776">
        <f>SUM(C25+D25)-E25</f>
        <v>0</v>
      </c>
      <c r="G25" s="552"/>
    </row>
    <row r="26" spans="1:11" ht="15.75" customHeight="1" thickTop="1" x14ac:dyDescent="0.2">
      <c r="A26" s="2254" t="s">
        <v>678</v>
      </c>
      <c r="B26" s="2249"/>
      <c r="C26" s="728"/>
      <c r="D26" s="728"/>
      <c r="E26" s="728"/>
      <c r="F26" s="729"/>
    </row>
    <row r="27" spans="1:11" ht="13.5" thickBot="1" x14ac:dyDescent="0.25">
      <c r="A27" s="2246" t="s">
        <v>1130</v>
      </c>
      <c r="B27" s="2247"/>
      <c r="C27" s="585"/>
      <c r="D27" s="585"/>
      <c r="E27" s="585"/>
      <c r="F27" s="1776">
        <f>SUM(C27+D27)-E27</f>
        <v>0</v>
      </c>
      <c r="G27" s="552"/>
    </row>
    <row r="28" spans="1:11" ht="7.5" customHeight="1" thickTop="1" x14ac:dyDescent="0.2">
      <c r="A28" s="594"/>
    </row>
    <row r="29" spans="1:11" ht="23.25" customHeight="1" x14ac:dyDescent="0.2">
      <c r="A29" s="2252" t="s">
        <v>603</v>
      </c>
      <c r="B29" s="2253"/>
      <c r="C29" s="730"/>
      <c r="D29" s="730"/>
      <c r="E29" s="730"/>
      <c r="F29" s="730"/>
      <c r="G29" s="730"/>
      <c r="H29" s="730"/>
      <c r="I29" s="730"/>
      <c r="J29" s="730"/>
    </row>
    <row r="30" spans="1:11" ht="33.75" x14ac:dyDescent="0.2">
      <c r="A30" s="1550" t="s">
        <v>1131</v>
      </c>
      <c r="B30" s="731" t="s">
        <v>1186</v>
      </c>
      <c r="C30" s="1909" t="s">
        <v>604</v>
      </c>
      <c r="D30" s="1909" t="s">
        <v>1772</v>
      </c>
      <c r="E30" s="1909" t="s">
        <v>2037</v>
      </c>
      <c r="F30" s="1909" t="s">
        <v>2038</v>
      </c>
      <c r="G30" s="1909" t="s">
        <v>2041</v>
      </c>
      <c r="H30" s="1909" t="s">
        <v>2039</v>
      </c>
      <c r="I30" s="1909" t="s">
        <v>2040</v>
      </c>
      <c r="J30" s="1910"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0</v>
      </c>
      <c r="D49" s="746"/>
      <c r="E49" s="1777">
        <f t="shared" ref="E49:J49" si="2">SUM(E31:E48)</f>
        <v>0</v>
      </c>
      <c r="F49" s="1777">
        <f t="shared" si="2"/>
        <v>0</v>
      </c>
      <c r="G49" s="1777">
        <f t="shared" si="2"/>
        <v>0</v>
      </c>
      <c r="H49" s="1777">
        <f t="shared" si="2"/>
        <v>0</v>
      </c>
      <c r="I49" s="1777">
        <f t="shared" si="2"/>
        <v>0</v>
      </c>
      <c r="J49" s="1777">
        <f t="shared" si="2"/>
        <v>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35" t="s">
        <v>605</v>
      </c>
      <c r="C52" s="2236"/>
      <c r="D52" s="2236"/>
      <c r="E52" s="750" t="s">
        <v>900</v>
      </c>
      <c r="F52" s="2237"/>
      <c r="G52" s="2238"/>
      <c r="H52" s="737"/>
      <c r="I52" s="737"/>
      <c r="J52" s="747"/>
    </row>
    <row r="53" spans="1:11" ht="11.25" customHeight="1" x14ac:dyDescent="0.2">
      <c r="A53" s="751" t="s">
        <v>969</v>
      </c>
      <c r="B53" s="752" t="s">
        <v>1008</v>
      </c>
      <c r="C53" s="747"/>
      <c r="D53" s="738"/>
      <c r="E53" s="750" t="s">
        <v>518</v>
      </c>
      <c r="F53" s="2239"/>
      <c r="G53" s="2240"/>
      <c r="H53" s="737"/>
      <c r="I53" s="737"/>
      <c r="J53" s="747"/>
    </row>
    <row r="54" spans="1:11" ht="11.25" customHeight="1" x14ac:dyDescent="0.2">
      <c r="A54" s="753" t="s">
        <v>970</v>
      </c>
      <c r="B54" s="748" t="s">
        <v>1009</v>
      </c>
      <c r="C54" s="747"/>
      <c r="D54" s="738"/>
      <c r="E54" s="750" t="s">
        <v>519</v>
      </c>
      <c r="F54" s="2239"/>
      <c r="G54" s="224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B29" sqref="B2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4" t="s">
        <v>911</v>
      </c>
      <c r="B1" s="2265"/>
      <c r="C1" s="2265"/>
      <c r="D1" s="2265"/>
      <c r="E1" s="2265"/>
      <c r="F1" s="2265"/>
      <c r="G1" s="2266"/>
      <c r="H1" s="1551"/>
      <c r="I1" s="761"/>
      <c r="J1" s="433"/>
    </row>
    <row r="2" spans="1:11" ht="26.25" x14ac:dyDescent="0.2">
      <c r="A2" s="2283" t="s">
        <v>1776</v>
      </c>
      <c r="B2" s="2284"/>
      <c r="C2" s="2284"/>
      <c r="D2" s="2284"/>
      <c r="E2" s="2285"/>
      <c r="F2" s="762" t="s">
        <v>960</v>
      </c>
      <c r="G2" s="763" t="s">
        <v>1773</v>
      </c>
      <c r="H2" s="763" t="s">
        <v>430</v>
      </c>
      <c r="I2" s="763" t="s">
        <v>1220</v>
      </c>
      <c r="J2" s="763" t="s">
        <v>1916</v>
      </c>
      <c r="K2" s="763" t="s">
        <v>140</v>
      </c>
    </row>
    <row r="3" spans="1:11" x14ac:dyDescent="0.2">
      <c r="A3" s="2286" t="s">
        <v>1698</v>
      </c>
      <c r="B3" s="2287"/>
      <c r="C3" s="2287"/>
      <c r="D3" s="2287"/>
      <c r="E3" s="2288"/>
      <c r="F3" s="764"/>
      <c r="G3" s="765"/>
      <c r="H3" s="765"/>
      <c r="I3" s="765"/>
      <c r="J3" s="766"/>
      <c r="K3" s="766"/>
    </row>
    <row r="4" spans="1:11" x14ac:dyDescent="0.2">
      <c r="A4" s="2289" t="s">
        <v>387</v>
      </c>
      <c r="B4" s="2290"/>
      <c r="C4" s="2290"/>
      <c r="D4" s="2290"/>
      <c r="E4" s="2236"/>
      <c r="F4" s="767"/>
      <c r="G4" s="768"/>
      <c r="H4" s="769"/>
      <c r="I4" s="768"/>
      <c r="J4" s="770"/>
      <c r="K4" s="770"/>
    </row>
    <row r="5" spans="1:11" x14ac:dyDescent="0.2">
      <c r="A5" s="2267" t="s">
        <v>1129</v>
      </c>
      <c r="B5" s="2268"/>
      <c r="C5" s="2268"/>
      <c r="D5" s="2268"/>
      <c r="E5" s="2269"/>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7" t="s">
        <v>1917</v>
      </c>
      <c r="B10" s="2268"/>
      <c r="C10" s="2268"/>
      <c r="D10" s="2268"/>
      <c r="E10" s="2270"/>
      <c r="F10" s="784" t="s">
        <v>917</v>
      </c>
      <c r="G10" s="783"/>
      <c r="H10" s="785"/>
      <c r="I10" s="765"/>
      <c r="J10" s="766"/>
      <c r="K10" s="766"/>
    </row>
    <row r="11" spans="1:11" x14ac:dyDescent="0.2">
      <c r="A11" s="2267" t="s">
        <v>162</v>
      </c>
      <c r="B11" s="2268"/>
      <c r="C11" s="2268"/>
      <c r="D11" s="2268"/>
      <c r="E11" s="2269"/>
      <c r="F11" s="771" t="s">
        <v>907</v>
      </c>
      <c r="G11" s="772"/>
      <c r="H11" s="765"/>
      <c r="I11" s="765"/>
      <c r="J11" s="766"/>
      <c r="K11" s="774"/>
    </row>
    <row r="12" spans="1:11" ht="13.5" thickBot="1" x14ac:dyDescent="0.25">
      <c r="A12" s="2294" t="s">
        <v>961</v>
      </c>
      <c r="B12" s="2295"/>
      <c r="C12" s="2295"/>
      <c r="D12" s="2295"/>
      <c r="E12" s="2296"/>
      <c r="F12" s="1778"/>
      <c r="G12" s="1779">
        <f>SUM(G5:G11)</f>
        <v>0</v>
      </c>
      <c r="H12" s="1779">
        <f>SUM(H5:H11)</f>
        <v>0</v>
      </c>
      <c r="I12" s="1779">
        <f>SUM(I5:I11)</f>
        <v>0</v>
      </c>
      <c r="J12" s="1779">
        <f>SUM(J5:J11)</f>
        <v>0</v>
      </c>
      <c r="K12" s="1779">
        <f>SUM(K5:K11)</f>
        <v>0</v>
      </c>
    </row>
    <row r="13" spans="1:11" ht="13.5" thickTop="1" x14ac:dyDescent="0.2">
      <c r="A13" s="2291" t="s">
        <v>388</v>
      </c>
      <c r="B13" s="2292"/>
      <c r="C13" s="2292"/>
      <c r="D13" s="2292"/>
      <c r="E13" s="2293"/>
      <c r="F13" s="786"/>
      <c r="G13" s="787"/>
      <c r="H13" s="788"/>
      <c r="I13" s="789"/>
      <c r="J13" s="789"/>
      <c r="K13" s="789"/>
    </row>
    <row r="14" spans="1:11" x14ac:dyDescent="0.2">
      <c r="A14" s="2274" t="s">
        <v>476</v>
      </c>
      <c r="B14" s="2274"/>
      <c r="C14" s="2274"/>
      <c r="D14" s="2274"/>
      <c r="E14" s="2275"/>
      <c r="F14" s="790" t="s">
        <v>909</v>
      </c>
      <c r="G14" s="783"/>
      <c r="H14" s="765"/>
      <c r="I14" s="772"/>
      <c r="J14" s="774"/>
      <c r="K14" s="766"/>
    </row>
    <row r="15" spans="1:11" x14ac:dyDescent="0.2">
      <c r="A15" s="2268" t="s">
        <v>4</v>
      </c>
      <c r="B15" s="2268"/>
      <c r="C15" s="2268"/>
      <c r="D15" s="2268"/>
      <c r="E15" s="2269"/>
      <c r="F15" s="790" t="s">
        <v>910</v>
      </c>
      <c r="G15" s="772"/>
      <c r="H15" s="765"/>
      <c r="I15" s="765"/>
      <c r="J15" s="766"/>
      <c r="K15" s="766"/>
    </row>
    <row r="16" spans="1:11" x14ac:dyDescent="0.2">
      <c r="A16" s="2268" t="s">
        <v>316</v>
      </c>
      <c r="B16" s="2268"/>
      <c r="C16" s="2268"/>
      <c r="D16" s="2268"/>
      <c r="E16" s="2269"/>
      <c r="F16" s="790" t="s">
        <v>980</v>
      </c>
      <c r="G16" s="773"/>
      <c r="H16" s="768"/>
      <c r="I16" s="768"/>
      <c r="J16" s="770"/>
      <c r="K16" s="770"/>
    </row>
    <row r="17" spans="1:11" x14ac:dyDescent="0.2">
      <c r="A17" s="2299" t="s">
        <v>992</v>
      </c>
      <c r="B17" s="2299"/>
      <c r="C17" s="2299"/>
      <c r="D17" s="2299"/>
      <c r="E17" s="2300"/>
      <c r="F17" s="791"/>
      <c r="G17" s="792"/>
      <c r="H17" s="793"/>
      <c r="I17" s="793"/>
      <c r="J17" s="794"/>
      <c r="K17" s="795"/>
    </row>
    <row r="18" spans="1:11" x14ac:dyDescent="0.2">
      <c r="A18" s="2278" t="s">
        <v>386</v>
      </c>
      <c r="B18" s="2279"/>
      <c r="C18" s="2279"/>
      <c r="D18" s="2279"/>
      <c r="E18" s="2280"/>
      <c r="F18" s="790" t="s">
        <v>989</v>
      </c>
      <c r="G18" s="783"/>
      <c r="H18" s="783"/>
      <c r="I18" s="783"/>
      <c r="J18" s="766"/>
      <c r="K18" s="796"/>
    </row>
    <row r="19" spans="1:11" ht="21.75" customHeight="1" x14ac:dyDescent="0.2">
      <c r="A19" s="2276" t="s">
        <v>1913</v>
      </c>
      <c r="B19" s="2276"/>
      <c r="C19" s="2276"/>
      <c r="D19" s="2276"/>
      <c r="E19" s="2277"/>
      <c r="F19" s="790" t="s">
        <v>990</v>
      </c>
      <c r="G19" s="783"/>
      <c r="H19" s="783"/>
      <c r="I19" s="783"/>
      <c r="J19" s="766"/>
      <c r="K19" s="796"/>
    </row>
    <row r="20" spans="1:11" x14ac:dyDescent="0.2">
      <c r="A20" s="2278" t="s">
        <v>1918</v>
      </c>
      <c r="B20" s="2279"/>
      <c r="C20" s="2279"/>
      <c r="D20" s="2279"/>
      <c r="E20" s="2280"/>
      <c r="F20" s="790" t="s">
        <v>991</v>
      </c>
      <c r="G20" s="783"/>
      <c r="H20" s="783"/>
      <c r="I20" s="783"/>
      <c r="J20" s="766"/>
      <c r="K20" s="796"/>
    </row>
    <row r="21" spans="1:11" ht="13.5" thickBot="1" x14ac:dyDescent="0.25">
      <c r="A21" s="2297" t="s">
        <v>659</v>
      </c>
      <c r="B21" s="2297"/>
      <c r="C21" s="2297"/>
      <c r="D21" s="2297"/>
      <c r="E21" s="2297"/>
      <c r="F21" s="1780"/>
      <c r="G21" s="793"/>
      <c r="H21" s="797"/>
      <c r="I21" s="797"/>
      <c r="J21" s="1781">
        <f>SUM(J18:J20)</f>
        <v>0</v>
      </c>
      <c r="K21" s="794"/>
    </row>
    <row r="22" spans="1:11" ht="13.5" thickTop="1" x14ac:dyDescent="0.2">
      <c r="A22" s="2268" t="s">
        <v>1919</v>
      </c>
      <c r="B22" s="2268"/>
      <c r="C22" s="2268"/>
      <c r="D22" s="2268"/>
      <c r="E22" s="2269"/>
      <c r="F22" s="790" t="s">
        <v>917</v>
      </c>
      <c r="G22" s="783"/>
      <c r="H22" s="765"/>
      <c r="I22" s="765"/>
      <c r="J22" s="798"/>
      <c r="K22" s="766"/>
    </row>
    <row r="23" spans="1:11" ht="13.5" thickBot="1" x14ac:dyDescent="0.25">
      <c r="A23" s="2298" t="s">
        <v>962</v>
      </c>
      <c r="B23" s="2297"/>
      <c r="C23" s="2297"/>
      <c r="D23" s="2297"/>
      <c r="E23" s="2297"/>
      <c r="F23" s="1782"/>
      <c r="G23" s="1779">
        <f>SUM(G14:G16,G21,G22)</f>
        <v>0</v>
      </c>
      <c r="H23" s="1779">
        <f>SUM(H14:H16,H21,H22)</f>
        <v>0</v>
      </c>
      <c r="I23" s="1779">
        <f>SUM(I14:I16,I21,I22)</f>
        <v>0</v>
      </c>
      <c r="J23" s="1779">
        <f>SUM(J14:J16,J21,J22)</f>
        <v>0</v>
      </c>
      <c r="K23" s="1779">
        <f>SUM(K14:K16,K21,K22)</f>
        <v>0</v>
      </c>
    </row>
    <row r="24" spans="1:11" ht="14.25" thickTop="1" thickBot="1" x14ac:dyDescent="0.25">
      <c r="A24" s="2298" t="s">
        <v>2023</v>
      </c>
      <c r="B24" s="2297"/>
      <c r="C24" s="2297"/>
      <c r="D24" s="2297"/>
      <c r="E24" s="2297"/>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2033</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71"/>
      <c r="I31" s="2272"/>
      <c r="J31" s="2272"/>
      <c r="K31" s="2272"/>
    </row>
    <row r="32" spans="1:11" x14ac:dyDescent="0.2">
      <c r="A32" s="810"/>
      <c r="B32" s="237"/>
      <c r="C32" s="237"/>
      <c r="D32" s="237"/>
      <c r="E32" s="806"/>
      <c r="F32" s="812" t="s">
        <v>561</v>
      </c>
      <c r="G32" s="765"/>
      <c r="H32" s="2273"/>
      <c r="I32" s="2272"/>
      <c r="J32" s="2272"/>
      <c r="K32" s="2272"/>
    </row>
    <row r="33" spans="1:11" ht="1.5" customHeight="1" x14ac:dyDescent="0.2">
      <c r="A33" s="813" t="s">
        <v>1231</v>
      </c>
      <c r="B33" s="364"/>
      <c r="C33" s="364"/>
      <c r="D33" s="364"/>
      <c r="E33" s="364"/>
      <c r="F33" s="364"/>
      <c r="G33" s="814"/>
      <c r="H33" s="2273"/>
      <c r="I33" s="2272"/>
      <c r="J33" s="2272"/>
      <c r="K33" s="2272"/>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68" t="s">
        <v>562</v>
      </c>
      <c r="B41" s="2281"/>
      <c r="C41" s="2281"/>
      <c r="D41" s="2281"/>
      <c r="E41" s="2281"/>
      <c r="F41" s="228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1914</v>
      </c>
      <c r="B46" s="408" t="s">
        <v>1774</v>
      </c>
    </row>
    <row r="47" spans="1:11" s="824" customFormat="1" ht="12.75" customHeight="1" x14ac:dyDescent="0.2">
      <c r="A47" s="822"/>
      <c r="B47" s="823" t="s">
        <v>1775</v>
      </c>
      <c r="E47" s="823"/>
      <c r="K47" s="825"/>
    </row>
    <row r="48" spans="1:11" ht="12.75" customHeight="1" x14ac:dyDescent="0.2">
      <c r="A48" s="1553"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10" sqref="D1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3" t="s">
        <v>2032</v>
      </c>
      <c r="B1" s="2304"/>
      <c r="C1" s="2305"/>
      <c r="D1" s="827"/>
      <c r="E1" s="828"/>
      <c r="F1" s="828"/>
      <c r="G1" s="829"/>
      <c r="H1" s="830"/>
      <c r="I1" s="831"/>
      <c r="J1" s="2301"/>
      <c r="K1" s="2302"/>
      <c r="L1" s="2302"/>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c r="D5" s="842"/>
      <c r="E5" s="842"/>
      <c r="F5" s="1781">
        <f>(C5+D5)-E5</f>
        <v>0</v>
      </c>
      <c r="G5" s="838"/>
      <c r="H5" s="843"/>
      <c r="I5" s="843"/>
      <c r="J5" s="843"/>
      <c r="K5" s="794"/>
      <c r="L5" s="1790">
        <f>F5-K5</f>
        <v>0</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c r="D8" s="845"/>
      <c r="E8" s="845"/>
      <c r="F8" s="1781">
        <f>(C8+D8)-E8</f>
        <v>0</v>
      </c>
      <c r="G8" s="844">
        <v>50</v>
      </c>
      <c r="H8" s="766"/>
      <c r="I8" s="766"/>
      <c r="J8" s="766"/>
      <c r="K8" s="1790">
        <f>(H8+I8)-J8</f>
        <v>0</v>
      </c>
      <c r="L8" s="1790">
        <f>F8-K8</f>
        <v>0</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c r="D10" s="847"/>
      <c r="E10" s="847"/>
      <c r="F10" s="1785">
        <f>(C10+D10)-E10</f>
        <v>0</v>
      </c>
      <c r="G10" s="844">
        <v>20</v>
      </c>
      <c r="H10" s="848"/>
      <c r="I10" s="848"/>
      <c r="J10" s="848"/>
      <c r="K10" s="1790">
        <f>(H10+I10)-J10</f>
        <v>0</v>
      </c>
      <c r="L10" s="1790">
        <f>F10-K10</f>
        <v>0</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180715</v>
      </c>
      <c r="D12" s="845">
        <v>8521</v>
      </c>
      <c r="E12" s="845"/>
      <c r="F12" s="1781">
        <f>(C12+D12)-E12</f>
        <v>189236</v>
      </c>
      <c r="G12" s="844">
        <v>10</v>
      </c>
      <c r="H12" s="766">
        <v>152499</v>
      </c>
      <c r="I12" s="766">
        <v>6157</v>
      </c>
      <c r="J12" s="766"/>
      <c r="K12" s="1790">
        <f>(H12+I12)-J12</f>
        <v>158656</v>
      </c>
      <c r="L12" s="1790">
        <f>F12-K12</f>
        <v>30580</v>
      </c>
    </row>
    <row r="13" spans="1:14" ht="14.25" thickTop="1" thickBot="1" x14ac:dyDescent="0.25">
      <c r="A13" s="849" t="s">
        <v>1184</v>
      </c>
      <c r="B13" s="841">
        <v>252</v>
      </c>
      <c r="C13" s="845"/>
      <c r="D13" s="845"/>
      <c r="E13" s="845"/>
      <c r="F13" s="1781">
        <f>(C13+D13)-E13</f>
        <v>0</v>
      </c>
      <c r="G13" s="844">
        <v>5</v>
      </c>
      <c r="H13" s="766"/>
      <c r="I13" s="766"/>
      <c r="J13" s="766"/>
      <c r="K13" s="1790">
        <f>(H13+I13)-J13</f>
        <v>0</v>
      </c>
      <c r="L13" s="1790">
        <f>F13-K13</f>
        <v>0</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180715</v>
      </c>
      <c r="D16" s="1781">
        <f>SUM(D3,D5:D6,D8:D10,D12:D15)</f>
        <v>8521</v>
      </c>
      <c r="E16" s="1781">
        <f>SUM(E3,E5:E6,E8:E10,E12:E15)</f>
        <v>0</v>
      </c>
      <c r="F16" s="1781">
        <f>SUM(F3,F5:F6,F8:F10,F12:F15)</f>
        <v>189236</v>
      </c>
      <c r="G16" s="844"/>
      <c r="H16" s="1781">
        <f>SUM(H3,H6,H8:H10,H12:H14,)</f>
        <v>152499</v>
      </c>
      <c r="I16" s="1781">
        <f>SUM(I3,I6,I8:I10,I12:I14,)</f>
        <v>6157</v>
      </c>
      <c r="J16" s="1781">
        <f>SUM(J3,J6,J8:J10,J12:J14,)</f>
        <v>0</v>
      </c>
      <c r="K16" s="1781">
        <f>(H16+I16)-J16</f>
        <v>158656</v>
      </c>
      <c r="L16" s="1781">
        <f>F16-K16</f>
        <v>30580</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6157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B29" sqref="B29"/>
      <selection pane="bottomLeft" activeCell="B29" sqref="B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09" t="s">
        <v>1699</v>
      </c>
      <c r="B1" s="2310"/>
      <c r="C1" s="2310"/>
      <c r="D1" s="2310"/>
      <c r="E1" s="2310"/>
      <c r="F1" s="2311"/>
      <c r="G1" s="856"/>
    </row>
    <row r="2" spans="1:7" ht="15" customHeight="1" thickBot="1" x14ac:dyDescent="0.25">
      <c r="A2" s="2312" t="s">
        <v>498</v>
      </c>
      <c r="B2" s="2313"/>
      <c r="C2" s="2313"/>
      <c r="D2" s="2313"/>
      <c r="E2" s="2313"/>
      <c r="F2" s="231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15"/>
      <c r="B5" s="2316"/>
      <c r="C5" s="2316"/>
      <c r="D5" s="2316"/>
      <c r="E5" s="2316"/>
      <c r="F5" s="2316"/>
    </row>
    <row r="6" spans="1:7" ht="13.5" customHeight="1" thickBot="1" x14ac:dyDescent="0.25">
      <c r="A6" s="2306" t="s">
        <v>1166</v>
      </c>
      <c r="B6" s="2307"/>
      <c r="C6" s="2307"/>
      <c r="D6" s="2307"/>
      <c r="E6" s="2307"/>
      <c r="F6" s="230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4619130</v>
      </c>
      <c r="G8" s="866"/>
    </row>
    <row r="9" spans="1:7" x14ac:dyDescent="0.2">
      <c r="A9" s="870" t="s">
        <v>480</v>
      </c>
      <c r="B9" s="871" t="s">
        <v>1986</v>
      </c>
      <c r="C9" s="872"/>
      <c r="D9" s="870" t="s">
        <v>522</v>
      </c>
      <c r="E9" s="869"/>
      <c r="F9" s="1934">
        <f>'Expenditures 15-22'!K151</f>
        <v>0</v>
      </c>
      <c r="G9" s="873"/>
    </row>
    <row r="10" spans="1:7" x14ac:dyDescent="0.2">
      <c r="A10" s="870" t="s">
        <v>520</v>
      </c>
      <c r="B10" s="871" t="s">
        <v>1987</v>
      </c>
      <c r="C10" s="872"/>
      <c r="D10" s="870" t="s">
        <v>522</v>
      </c>
      <c r="E10" s="869"/>
      <c r="F10" s="1934">
        <f>'Expenditures 15-22'!K174</f>
        <v>0</v>
      </c>
      <c r="G10" s="873"/>
    </row>
    <row r="11" spans="1:7" x14ac:dyDescent="0.2">
      <c r="A11" s="870" t="s">
        <v>481</v>
      </c>
      <c r="B11" s="871" t="s">
        <v>1988</v>
      </c>
      <c r="C11" s="872"/>
      <c r="D11" s="870" t="s">
        <v>522</v>
      </c>
      <c r="E11" s="869"/>
      <c r="F11" s="1934">
        <f>'Expenditures 15-22'!K210</f>
        <v>0</v>
      </c>
      <c r="G11" s="873"/>
    </row>
    <row r="12" spans="1:7" x14ac:dyDescent="0.2">
      <c r="A12" s="870" t="s">
        <v>482</v>
      </c>
      <c r="B12" s="871" t="s">
        <v>1989</v>
      </c>
      <c r="C12" s="872"/>
      <c r="D12" s="870" t="s">
        <v>522</v>
      </c>
      <c r="E12" s="869"/>
      <c r="F12" s="1934">
        <f>'Expenditures 15-22'!K295</f>
        <v>0</v>
      </c>
      <c r="G12" s="873"/>
    </row>
    <row r="13" spans="1:7" x14ac:dyDescent="0.2">
      <c r="A13" s="870" t="s">
        <v>108</v>
      </c>
      <c r="B13" s="871" t="s">
        <v>1990</v>
      </c>
      <c r="C13" s="872"/>
      <c r="D13" s="870" t="s">
        <v>522</v>
      </c>
      <c r="E13" s="869"/>
      <c r="F13" s="1934">
        <f>'Expenditures 15-22'!K342</f>
        <v>0</v>
      </c>
      <c r="G13" s="874"/>
    </row>
    <row r="14" spans="1:7" ht="12" customHeight="1" thickBot="1" x14ac:dyDescent="0.25">
      <c r="A14" s="1791"/>
      <c r="B14" s="1792"/>
      <c r="C14" s="1793"/>
      <c r="D14" s="1794" t="s">
        <v>522</v>
      </c>
      <c r="E14" s="1795" t="s">
        <v>1015</v>
      </c>
      <c r="F14" s="1796">
        <f>SUM(F8:F13)</f>
        <v>4619130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370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2049791</v>
      </c>
      <c r="G53" s="866"/>
    </row>
    <row r="54" spans="1:7" x14ac:dyDescent="0.2">
      <c r="A54" s="870" t="s">
        <v>479</v>
      </c>
      <c r="B54" s="870" t="s">
        <v>1552</v>
      </c>
      <c r="C54" s="890" t="s">
        <v>1039</v>
      </c>
      <c r="D54" s="886" t="s">
        <v>1157</v>
      </c>
      <c r="E54" s="869"/>
      <c r="F54" s="1938">
        <f>'Expenditures 15-22'!G114</f>
        <v>8521</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8">
        <f>'Expenditures 15-22'!K139</f>
        <v>0</v>
      </c>
      <c r="G57" s="866"/>
    </row>
    <row r="58" spans="1:7" x14ac:dyDescent="0.2">
      <c r="A58" s="870" t="s">
        <v>480</v>
      </c>
      <c r="B58" s="870" t="s">
        <v>1992</v>
      </c>
      <c r="C58" s="887" t="s">
        <v>1039</v>
      </c>
      <c r="D58" s="886" t="s">
        <v>1157</v>
      </c>
      <c r="E58" s="869"/>
      <c r="F58" s="1940">
        <f>'Expenditures 15-22'!G151</f>
        <v>0</v>
      </c>
      <c r="G58" s="866"/>
    </row>
    <row r="59" spans="1:7" x14ac:dyDescent="0.2">
      <c r="A59" s="894" t="s">
        <v>480</v>
      </c>
      <c r="B59" s="857" t="s">
        <v>1993</v>
      </c>
      <c r="C59" s="895" t="s">
        <v>1039</v>
      </c>
      <c r="D59" s="857" t="s">
        <v>309</v>
      </c>
      <c r="F59" s="1941">
        <f>'Expenditures 15-22'!I151</f>
        <v>0</v>
      </c>
      <c r="G59" s="866"/>
    </row>
    <row r="60" spans="1:7" x14ac:dyDescent="0.2">
      <c r="A60" s="894" t="s">
        <v>520</v>
      </c>
      <c r="B60" s="857" t="s">
        <v>1994</v>
      </c>
      <c r="C60" s="895">
        <v>4000</v>
      </c>
      <c r="D60" s="857" t="s">
        <v>330</v>
      </c>
      <c r="F60" s="1939">
        <f>'Expenditures 15-22'!K160</f>
        <v>0</v>
      </c>
      <c r="G60" s="866"/>
    </row>
    <row r="61" spans="1:7" x14ac:dyDescent="0.2">
      <c r="A61" s="896" t="s">
        <v>520</v>
      </c>
      <c r="B61" s="896" t="s">
        <v>1995</v>
      </c>
      <c r="C61" s="897" t="str">
        <f>'Expenditures 15-22'!B170</f>
        <v>5300</v>
      </c>
      <c r="D61" s="898" t="s">
        <v>329</v>
      </c>
      <c r="E61" s="880"/>
      <c r="F61" s="1938">
        <f>'Expenditures 15-22'!K170</f>
        <v>0</v>
      </c>
      <c r="G61" s="866"/>
    </row>
    <row r="62" spans="1:7" x14ac:dyDescent="0.2">
      <c r="A62" s="870" t="s">
        <v>481</v>
      </c>
      <c r="B62" s="870" t="s">
        <v>1996</v>
      </c>
      <c r="C62" s="887">
        <f>'Expenditures 15-22'!B185</f>
        <v>3000</v>
      </c>
      <c r="D62" s="877" t="s">
        <v>469</v>
      </c>
      <c r="E62" s="869"/>
      <c r="F62" s="1938">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8">
        <f>'Expenditures 15-22'!K196</f>
        <v>0</v>
      </c>
      <c r="G63" s="866"/>
    </row>
    <row r="64" spans="1:7" x14ac:dyDescent="0.2">
      <c r="A64" s="896" t="s">
        <v>481</v>
      </c>
      <c r="B64" s="896" t="s">
        <v>1998</v>
      </c>
      <c r="C64" s="897" t="str">
        <f>'Expenditures 15-22'!B206</f>
        <v>5300</v>
      </c>
      <c r="D64" s="893" t="s">
        <v>329</v>
      </c>
      <c r="E64" s="869"/>
      <c r="F64" s="1938">
        <f>'Expenditures 15-22'!K206</f>
        <v>0</v>
      </c>
      <c r="G64" s="866"/>
    </row>
    <row r="65" spans="1:8" x14ac:dyDescent="0.2">
      <c r="A65" s="870" t="s">
        <v>481</v>
      </c>
      <c r="B65" s="870" t="s">
        <v>1999</v>
      </c>
      <c r="C65" s="887" t="s">
        <v>1039</v>
      </c>
      <c r="D65" s="886" t="s">
        <v>1157</v>
      </c>
      <c r="E65" s="869"/>
      <c r="F65" s="1938">
        <f>'Expenditures 15-22'!G210</f>
        <v>0</v>
      </c>
      <c r="G65" s="866"/>
    </row>
    <row r="66" spans="1:8" x14ac:dyDescent="0.2">
      <c r="A66" s="870" t="s">
        <v>481</v>
      </c>
      <c r="B66" s="870" t="s">
        <v>2000</v>
      </c>
      <c r="C66" s="887" t="s">
        <v>1039</v>
      </c>
      <c r="D66" s="886" t="s">
        <v>309</v>
      </c>
      <c r="E66" s="869"/>
      <c r="F66" s="1938">
        <f>'Expenditures 15-22'!I210</f>
        <v>0</v>
      </c>
      <c r="G66" s="866"/>
    </row>
    <row r="67" spans="1:8" x14ac:dyDescent="0.2">
      <c r="A67" s="870" t="s">
        <v>482</v>
      </c>
      <c r="B67" s="870" t="s">
        <v>2001</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2003</v>
      </c>
      <c r="C70" s="887">
        <f>'Expenditures 15-22'!B221</f>
        <v>1300</v>
      </c>
      <c r="D70" s="888" t="str">
        <f>'Expenditures 15-22'!A221</f>
        <v>Adult/Continuing Education Programs</v>
      </c>
      <c r="E70" s="869"/>
      <c r="F70" s="1938">
        <f>'Expenditures 15-22'!K221</f>
        <v>0</v>
      </c>
      <c r="G70" s="866"/>
    </row>
    <row r="71" spans="1:8" x14ac:dyDescent="0.2">
      <c r="A71" s="870" t="s">
        <v>482</v>
      </c>
      <c r="B71" s="870" t="s">
        <v>2004</v>
      </c>
      <c r="C71" s="887">
        <f>'Expenditures 15-22'!B224</f>
        <v>1600</v>
      </c>
      <c r="D71" s="888" t="str">
        <f>'Expenditures 15-22'!A224</f>
        <v>Summer School Programs</v>
      </c>
      <c r="E71" s="869"/>
      <c r="F71" s="1938">
        <f>'Expenditures 15-22'!K224</f>
        <v>0</v>
      </c>
      <c r="G71" s="866"/>
    </row>
    <row r="72" spans="1:8" x14ac:dyDescent="0.2">
      <c r="A72" s="870" t="s">
        <v>482</v>
      </c>
      <c r="B72" s="870" t="s">
        <v>2005</v>
      </c>
      <c r="C72" s="887">
        <f>'Expenditures 15-22'!B280</f>
        <v>3000</v>
      </c>
      <c r="D72" s="877" t="s">
        <v>469</v>
      </c>
      <c r="E72" s="869"/>
      <c r="F72" s="1938">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2007</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2008</v>
      </c>
      <c r="E76" s="1795" t="s">
        <v>1015</v>
      </c>
      <c r="F76" s="1799">
        <f>SUM(F18:F74)</f>
        <v>2058682</v>
      </c>
      <c r="G76" s="866"/>
    </row>
    <row r="77" spans="1:8" s="894" customFormat="1" ht="12" customHeight="1" thickTop="1" thickBot="1" x14ac:dyDescent="0.25">
      <c r="A77" s="1800"/>
      <c r="B77" s="1797"/>
      <c r="C77" s="1793"/>
      <c r="D77" s="1798" t="s">
        <v>2009</v>
      </c>
      <c r="E77" s="1795"/>
      <c r="F77" s="1801">
        <f>(F14-F76)</f>
        <v>2560448</v>
      </c>
      <c r="G77" s="870"/>
    </row>
    <row r="78" spans="1:8" s="894" customFormat="1" ht="12" customHeight="1" thickTop="1" x14ac:dyDescent="0.2">
      <c r="A78" s="1802"/>
      <c r="B78" s="1797"/>
      <c r="C78" s="1793"/>
      <c r="D78" s="1798" t="s">
        <v>2056</v>
      </c>
      <c r="E78" s="1795"/>
      <c r="F78" s="899">
        <v>0</v>
      </c>
      <c r="G78" s="900"/>
      <c r="H78" s="870"/>
    </row>
    <row r="79" spans="1:8" s="894" customFormat="1" ht="12" customHeight="1" thickBot="1" x14ac:dyDescent="0.25">
      <c r="A79" s="1803"/>
      <c r="B79" s="1797"/>
      <c r="C79" s="1793"/>
      <c r="D79" s="1798" t="s">
        <v>2010</v>
      </c>
      <c r="E79" s="1795" t="s">
        <v>1015</v>
      </c>
      <c r="F79" s="1804"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306" t="s">
        <v>1167</v>
      </c>
      <c r="B81" s="2307"/>
      <c r="C81" s="2307"/>
      <c r="D81" s="2307"/>
      <c r="E81" s="2307"/>
      <c r="F81" s="230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0</v>
      </c>
      <c r="G94" s="913"/>
    </row>
    <row r="95" spans="1:7" x14ac:dyDescent="0.2">
      <c r="A95" s="909" t="s">
        <v>142</v>
      </c>
      <c r="B95" s="909" t="s">
        <v>177</v>
      </c>
      <c r="C95" s="911">
        <v>1700</v>
      </c>
      <c r="D95" s="919" t="str">
        <f>'Revenues 9-14'!A82</f>
        <v>Total District/School Activity Income</v>
      </c>
      <c r="E95" s="907"/>
      <c r="F95" s="1810">
        <f>SUM('Revenues 9-14'!C82,'Revenues 9-14'!D82)</f>
        <v>0</v>
      </c>
      <c r="G95" s="913"/>
    </row>
    <row r="96" spans="1:7" x14ac:dyDescent="0.2">
      <c r="A96" s="909" t="s">
        <v>479</v>
      </c>
      <c r="B96" s="909" t="s">
        <v>178</v>
      </c>
      <c r="C96" s="911">
        <f>'Revenues 9-14'!B84</f>
        <v>1811</v>
      </c>
      <c r="D96" s="912" t="str">
        <f>'Revenues 9-14'!A84</f>
        <v>Rentals - Regular Textbooks</v>
      </c>
      <c r="E96" s="907"/>
      <c r="F96" s="1810">
        <f>'Revenues 9-14'!C84</f>
        <v>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1764516</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0</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96</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8490</v>
      </c>
      <c r="G129" s="931"/>
    </row>
    <row r="130" spans="1:7" x14ac:dyDescent="0.2">
      <c r="A130" s="928" t="s">
        <v>689</v>
      </c>
      <c r="B130" s="928" t="s">
        <v>804</v>
      </c>
      <c r="C130" s="933">
        <v>4300</v>
      </c>
      <c r="D130" s="934" t="str">
        <f>'Revenues 9-14'!A211</f>
        <v>Total Title I</v>
      </c>
      <c r="E130" s="907"/>
      <c r="F130" s="1810">
        <f>SUM('Revenues 9-14'!C211,'Revenues 9-14'!D211,'Revenues 9-14'!F211,'Revenues 9-14'!G211)</f>
        <v>0</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2012376</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27365</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61055</v>
      </c>
      <c r="G174" s="928"/>
    </row>
    <row r="175" spans="1:7" x14ac:dyDescent="0.2">
      <c r="A175" s="1943" t="s">
        <v>5</v>
      </c>
      <c r="B175" s="1944" t="s">
        <v>2055</v>
      </c>
      <c r="C175" s="1945">
        <v>3100</v>
      </c>
      <c r="D175" s="1946" t="s">
        <v>2058</v>
      </c>
      <c r="E175" s="907"/>
      <c r="F175" s="1930"/>
      <c r="G175" s="928"/>
    </row>
    <row r="176" spans="1:7" x14ac:dyDescent="0.2">
      <c r="A176" s="1943" t="s">
        <v>685</v>
      </c>
      <c r="B176" s="1944" t="s">
        <v>2055</v>
      </c>
      <c r="C176" s="1945">
        <v>3300</v>
      </c>
      <c r="D176" s="1946" t="s">
        <v>2059</v>
      </c>
      <c r="E176" s="907"/>
      <c r="F176" s="1930"/>
      <c r="G176" s="928"/>
    </row>
    <row r="177" spans="1:7" ht="6" customHeight="1" x14ac:dyDescent="0.2">
      <c r="A177" s="928"/>
      <c r="B177" s="928"/>
      <c r="C177" s="950"/>
      <c r="D177" s="928"/>
      <c r="E177" s="907"/>
      <c r="F177" s="951"/>
      <c r="G177" s="948"/>
    </row>
    <row r="178" spans="1:7" x14ac:dyDescent="0.2">
      <c r="A178" s="1791"/>
      <c r="B178" s="1805"/>
      <c r="C178" s="1806"/>
      <c r="D178" s="1807" t="s">
        <v>2011</v>
      </c>
      <c r="E178" s="1808" t="s">
        <v>1015</v>
      </c>
      <c r="F178" s="1809">
        <f>SUM(F84:F136,F161:F176)</f>
        <v>3873898</v>
      </c>
    </row>
    <row r="179" spans="1:7" ht="12" customHeight="1" x14ac:dyDescent="0.2">
      <c r="A179" s="1791"/>
      <c r="B179" s="1805"/>
      <c r="C179" s="1806"/>
      <c r="D179" s="1807" t="s">
        <v>2012</v>
      </c>
      <c r="E179" s="1808"/>
      <c r="F179" s="1810">
        <f>'PCTC-OEPP 27-28'!F77-F178</f>
        <v>-1313450</v>
      </c>
    </row>
    <row r="180" spans="1:7" ht="12" customHeight="1" x14ac:dyDescent="0.2">
      <c r="A180" s="1791"/>
      <c r="B180" s="1805"/>
      <c r="C180" s="1806"/>
      <c r="D180" s="1807" t="s">
        <v>1921</v>
      </c>
      <c r="E180" s="1808"/>
      <c r="F180" s="1810">
        <f>'Cap Outlay Deprec 26'!I18</f>
        <v>6157</v>
      </c>
    </row>
    <row r="181" spans="1:7" ht="12" customHeight="1" x14ac:dyDescent="0.2">
      <c r="A181" s="1791"/>
      <c r="B181" s="1805"/>
      <c r="C181" s="1806"/>
      <c r="D181" s="1807" t="s">
        <v>2013</v>
      </c>
      <c r="E181" s="1808"/>
      <c r="F181" s="1810">
        <f>F179+F180</f>
        <v>-1307293</v>
      </c>
    </row>
    <row r="182" spans="1:7" ht="12" customHeight="1" x14ac:dyDescent="0.2">
      <c r="A182" s="1791"/>
      <c r="B182" s="1811"/>
      <c r="C182" s="1806"/>
      <c r="D182" s="1807" t="str">
        <f>D78</f>
        <v>9 Month ADA from District Average Daily Attendance/Prior General State Aid Inquiry 2017-2018</v>
      </c>
      <c r="E182" s="1808"/>
      <c r="F182" s="1812">
        <f>'PCTC-OEPP 27-28'!F78</f>
        <v>0</v>
      </c>
      <c r="G182" s="931"/>
    </row>
    <row r="183" spans="1:7" ht="12" customHeight="1" thickBot="1" x14ac:dyDescent="0.25">
      <c r="A183" s="1791"/>
      <c r="B183" s="1811"/>
      <c r="C183" s="1806"/>
      <c r="D183" s="1807" t="s">
        <v>2014</v>
      </c>
      <c r="E183" s="1808" t="s">
        <v>1626</v>
      </c>
      <c r="F183" s="1813" t="e">
        <f>F181/F182</f>
        <v>#DIV/0!</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7" customFormat="1" ht="12.2" customHeight="1" x14ac:dyDescent="0.2">
      <c r="A186" s="1947" t="s">
        <v>2062</v>
      </c>
      <c r="B186" s="1948"/>
      <c r="C186" s="1949"/>
      <c r="D186" s="1948"/>
      <c r="E186" s="1949"/>
      <c r="F186" s="1948"/>
      <c r="G186" s="1948"/>
    </row>
    <row r="187" spans="1:7" s="1947" customFormat="1" ht="12.2" customHeight="1" x14ac:dyDescent="0.2">
      <c r="A187" s="1950" t="s">
        <v>2063</v>
      </c>
      <c r="C187" s="1949"/>
      <c r="D187" s="1948"/>
      <c r="E187" s="1949"/>
      <c r="F187" s="1948"/>
      <c r="G187" s="1948"/>
    </row>
    <row r="188" spans="1:7" ht="12" customHeight="1" x14ac:dyDescent="0.2">
      <c r="C188" s="950"/>
      <c r="D188" s="931"/>
      <c r="E188" s="950"/>
      <c r="F188" s="931"/>
      <c r="G188" s="931"/>
    </row>
    <row r="189" spans="1:7" x14ac:dyDescent="0.2">
      <c r="A189" s="1951" t="s">
        <v>2061</v>
      </c>
      <c r="B189" s="1952"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B29" sqref="B29"/>
      <selection pane="bottomLeft" activeCell="C18" sqref="C18"/>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1937</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320" t="s">
        <v>1922</v>
      </c>
      <c r="B4" s="2321"/>
      <c r="C4" s="2321"/>
      <c r="D4" s="2321"/>
      <c r="E4" s="2321"/>
      <c r="F4" s="2321"/>
      <c r="G4" s="2322"/>
    </row>
    <row r="5" spans="1:7" x14ac:dyDescent="0.25">
      <c r="A5" s="2323"/>
      <c r="B5" s="2324"/>
      <c r="C5" s="2324"/>
      <c r="D5" s="2324"/>
      <c r="E5" s="2324"/>
      <c r="F5" s="2324"/>
      <c r="G5" s="2325"/>
    </row>
    <row r="6" spans="1:7" ht="18.75" x14ac:dyDescent="0.25">
      <c r="A6" s="1555" t="s">
        <v>1923</v>
      </c>
      <c r="B6" s="1556"/>
      <c r="C6" s="1556"/>
      <c r="D6" s="1556"/>
      <c r="E6" s="1556"/>
      <c r="F6" s="1556"/>
      <c r="G6" s="1557"/>
    </row>
    <row r="7" spans="1:7" ht="30.75" customHeight="1" x14ac:dyDescent="0.25">
      <c r="A7" s="2326" t="s">
        <v>2072</v>
      </c>
      <c r="B7" s="2327"/>
      <c r="C7" s="2327"/>
      <c r="D7" s="2327"/>
      <c r="E7" s="2327"/>
      <c r="F7" s="2327"/>
      <c r="G7" s="2328"/>
    </row>
    <row r="8" spans="1:7" ht="15.75" customHeight="1" x14ac:dyDescent="0.25">
      <c r="A8" s="2329" t="s">
        <v>2021</v>
      </c>
      <c r="B8" s="2330"/>
      <c r="C8" s="2330"/>
      <c r="D8" s="2330"/>
      <c r="E8" s="2330"/>
      <c r="F8" s="2330"/>
      <c r="G8" s="2331"/>
    </row>
    <row r="9" spans="1:7" ht="35.25" customHeight="1" x14ac:dyDescent="0.25">
      <c r="A9" s="2326" t="s">
        <v>2020</v>
      </c>
      <c r="B9" s="2327"/>
      <c r="C9" s="2327"/>
      <c r="D9" s="2327"/>
      <c r="E9" s="2327"/>
      <c r="F9" s="2327"/>
      <c r="G9" s="2328"/>
    </row>
    <row r="10" spans="1:7" ht="15" customHeight="1" x14ac:dyDescent="0.25">
      <c r="A10" s="1558" t="s">
        <v>1924</v>
      </c>
      <c r="B10" s="1559"/>
      <c r="C10" s="1559"/>
      <c r="D10" s="1559"/>
      <c r="E10" s="1559"/>
      <c r="F10" s="1559"/>
      <c r="G10" s="1560"/>
    </row>
    <row r="11" spans="1:7" ht="17.25" customHeight="1" x14ac:dyDescent="0.25">
      <c r="A11" s="2326" t="s">
        <v>1938</v>
      </c>
      <c r="B11" s="2327"/>
      <c r="C11" s="2327"/>
      <c r="D11" s="2327"/>
      <c r="E11" s="2327"/>
      <c r="F11" s="2327"/>
      <c r="G11" s="2328"/>
    </row>
    <row r="12" spans="1:7" ht="15" customHeight="1" x14ac:dyDescent="0.25">
      <c r="A12" s="1558" t="s">
        <v>1929</v>
      </c>
      <c r="B12" s="1559"/>
      <c r="C12" s="1559"/>
      <c r="D12" s="1559"/>
      <c r="E12" s="1559"/>
      <c r="F12" s="1559"/>
      <c r="G12" s="1560"/>
    </row>
    <row r="13" spans="1:7" ht="32.25" customHeight="1" x14ac:dyDescent="0.25">
      <c r="A13" s="2317" t="s">
        <v>1930</v>
      </c>
      <c r="B13" s="2318"/>
      <c r="C13" s="2318"/>
      <c r="D13" s="2318"/>
      <c r="E13" s="2318"/>
      <c r="F13" s="2318"/>
      <c r="G13" s="2319"/>
    </row>
    <row r="14" spans="1:7" x14ac:dyDescent="0.25">
      <c r="A14" s="1682" t="s">
        <v>1939</v>
      </c>
      <c r="B14" s="1683"/>
      <c r="C14" s="1683"/>
      <c r="D14" s="1683"/>
      <c r="E14" s="1683"/>
      <c r="F14" s="1683"/>
      <c r="G14" s="1684"/>
    </row>
    <row r="15" spans="1:7" ht="61.5" customHeight="1" x14ac:dyDescent="0.25">
      <c r="A15" s="1567" t="s">
        <v>1931</v>
      </c>
      <c r="B15" s="1567" t="s">
        <v>1932</v>
      </c>
      <c r="C15" s="1567" t="s">
        <v>1933</v>
      </c>
      <c r="D15" s="1568" t="s">
        <v>1934</v>
      </c>
      <c r="E15" s="1568" t="s">
        <v>1925</v>
      </c>
      <c r="F15" s="1568" t="s">
        <v>1935</v>
      </c>
      <c r="G15" s="1568" t="s">
        <v>1936</v>
      </c>
    </row>
    <row r="16" spans="1:7" x14ac:dyDescent="0.25">
      <c r="A16" s="1669" t="s">
        <v>1940</v>
      </c>
      <c r="B16" s="1670" t="s">
        <v>1928</v>
      </c>
      <c r="C16" s="1671" t="s">
        <v>1926</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89" t="s">
        <v>2162</v>
      </c>
      <c r="B17" s="1990" t="s">
        <v>2163</v>
      </c>
      <c r="C17" s="1677">
        <v>0</v>
      </c>
      <c r="D17" s="1866">
        <v>0</v>
      </c>
      <c r="E17" s="1561">
        <f t="shared" ref="E17:E141" si="1">IF(D17&lt;=25000,D17,IF(D17&gt;25000,25000,0))</f>
        <v>0</v>
      </c>
      <c r="F17" s="1814">
        <f t="shared" si="0"/>
        <v>0</v>
      </c>
      <c r="G17" s="1815">
        <f>IF(F17=0,0,D17-F17)</f>
        <v>0</v>
      </c>
      <c r="H17" s="1668"/>
    </row>
    <row r="18" spans="1:8" x14ac:dyDescent="0.25">
      <c r="A18" s="1674"/>
      <c r="B18" s="1867"/>
      <c r="C18" s="1677"/>
      <c r="D18" s="1866"/>
      <c r="E18" s="1561">
        <f t="shared" ref="E18:E140" si="2">IF(D18&lt;=25000,D18,IF(D18&gt;25000,25000,0))</f>
        <v>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140" si="4">IF(F18=0,0,D18-F18)</f>
        <v>0</v>
      </c>
    </row>
    <row r="19" spans="1:8" x14ac:dyDescent="0.25">
      <c r="A19" s="1674"/>
      <c r="B19" s="1868"/>
      <c r="C19" s="1677"/>
      <c r="D19" s="1866"/>
      <c r="E19" s="1561">
        <f t="shared" si="2"/>
        <v>0</v>
      </c>
      <c r="F19" s="1814">
        <f t="shared" si="3"/>
        <v>0</v>
      </c>
      <c r="G19" s="1815">
        <f t="shared" si="4"/>
        <v>0</v>
      </c>
    </row>
    <row r="20" spans="1:8" x14ac:dyDescent="0.25">
      <c r="A20" s="1674"/>
      <c r="B20" s="1867"/>
      <c r="C20" s="1677"/>
      <c r="D20" s="1866"/>
      <c r="E20" s="1561">
        <f t="shared" si="2"/>
        <v>0</v>
      </c>
      <c r="F20" s="1814">
        <f t="shared" si="3"/>
        <v>0</v>
      </c>
      <c r="G20" s="1815">
        <f t="shared" si="4"/>
        <v>0</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0</v>
      </c>
      <c r="E141" s="1562">
        <f t="shared" si="1"/>
        <v>0</v>
      </c>
      <c r="F141" s="1816">
        <f>SUM(F17:F140)</f>
        <v>0</v>
      </c>
      <c r="G141" s="1817">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B29" sqref="B2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32" t="s">
        <v>1778</v>
      </c>
      <c r="B5" s="2333"/>
      <c r="C5" s="2333"/>
      <c r="D5" s="2333"/>
      <c r="E5" s="2333"/>
      <c r="F5" s="2333"/>
      <c r="G5" s="2334"/>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37" t="s">
        <v>1942</v>
      </c>
      <c r="B11" s="2338"/>
      <c r="C11" s="2338"/>
      <c r="D11" s="2339"/>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702718</v>
      </c>
      <c r="F19" s="1821"/>
      <c r="G19" s="1823">
        <f>'Expenditures 15-22'!K33-SUM('Expenditures 15-22'!G33,'Expenditures 15-22'!I33)+'Expenditures 15-22'!D229</f>
        <v>702718</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1230874</v>
      </c>
      <c r="F21" s="1824"/>
      <c r="G21" s="1827">
        <f>'Expenditures 15-22'!K42-SUM('Expenditures 15-22'!G42,'Expenditures 15-22'!I42)+'Expenditures 15-22'!K120-SUM('Expenditures 15-22'!G120,'Expenditures 15-22'!I120)+'Expenditures 15-22'!K180-SUM('Expenditures 15-22'!G180,'Expenditures 15-22'!I180)+'Expenditures 15-22'!D238</f>
        <v>1230874</v>
      </c>
      <c r="H21" s="988"/>
      <c r="I21" s="162"/>
    </row>
    <row r="22" spans="1:9" s="669" customFormat="1" ht="12" customHeight="1" x14ac:dyDescent="0.2">
      <c r="A22" s="995" t="s">
        <v>585</v>
      </c>
      <c r="B22" s="996"/>
      <c r="C22" s="994">
        <v>2200</v>
      </c>
      <c r="D22" s="1824"/>
      <c r="E22" s="1826">
        <f>'Expenditures 15-22'!K47-SUM('Expenditures 15-22'!G47,'Expenditures 15-22'!I47)+'Expenditures 15-22'!D243</f>
        <v>56264</v>
      </c>
      <c r="F22" s="1824"/>
      <c r="G22" s="1827">
        <f>'Expenditures 15-22'!K47-SUM('Expenditures 15-22'!G47,'Expenditures 15-22'!I47)+'Expenditures 15-22'!D243</f>
        <v>56264</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329334</v>
      </c>
      <c r="F23" s="1824"/>
      <c r="G23" s="1826">
        <f>'Expenditures 15-22'!K53-SUM('Expenditures 15-22'!G53,'Expenditures 15-22'!I53)+'Expenditures 15-22'!D257+'Expenditures 15-22'!K330-SUM('Expenditures 15-22'!G330,'Expenditures 15-22'!I330)</f>
        <v>329334</v>
      </c>
      <c r="H23" s="988"/>
      <c r="I23" s="162"/>
    </row>
    <row r="24" spans="1:9" s="669" customFormat="1" ht="12" customHeight="1" x14ac:dyDescent="0.2">
      <c r="A24" s="995" t="s">
        <v>587</v>
      </c>
      <c r="B24" s="996"/>
      <c r="C24" s="994">
        <v>2400</v>
      </c>
      <c r="D24" s="1824"/>
      <c r="E24" s="1826">
        <f>'Expenditures 15-22'!K57-SUM('Expenditures 15-22'!G57,'Expenditures 15-22'!I57)+'Expenditures 15-22'!D261</f>
        <v>0</v>
      </c>
      <c r="F24" s="1824"/>
      <c r="G24" s="1827">
        <f>'Expenditures 15-22'!K57-SUM('Expenditures 15-22'!G57,'Expenditures 15-22'!I57)+'Expenditures 15-22'!D261</f>
        <v>0</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173047</v>
      </c>
      <c r="E26" s="1826">
        <f>'Expenditures 15-22'!K122-SUM('Expenditures 15-22'!G122,'Expenditures 15-22'!I122)+E7</f>
        <v>0</v>
      </c>
      <c r="F26" s="1826">
        <f>'Expenditures 15-22'!K59-SUM('Expenditures 15-22'!G59,'Expenditures 15-22'!I59)+'Expenditures 15-22'!D263-E7</f>
        <v>173047</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68581</v>
      </c>
      <c r="E27" s="1826">
        <f>E8</f>
        <v>0</v>
      </c>
      <c r="F27" s="1826">
        <f>'Expenditures 15-22'!K60-SUM('Expenditures 15-22'!G60,'Expenditures 15-22'!I60)+'Expenditures 15-22'!D264-E8</f>
        <v>68581</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0</v>
      </c>
      <c r="F28" s="1828">
        <f>'Expenditures 15-22'!K61-SUM('Expenditures 15-22'!G61,'Expenditures 15-22'!I61)+'Expenditures 15-22'!K124-SUM('Expenditures 15-22'!G124,'Expenditures 15-22'!I124)+'Expenditures 15-22'!D266-E9</f>
        <v>0</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0</v>
      </c>
      <c r="F29" s="1824"/>
      <c r="G29" s="1827">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4"/>
      <c r="E30" s="1826">
        <f>'Expenditures 15-22'!K63-SUM('Expenditures 15-22'!G63,'Expenditures 15-22'!I63)+'Expenditures 15-22'!D268-E10</f>
        <v>0</v>
      </c>
      <c r="F30" s="1824"/>
      <c r="G30" s="1826">
        <f>'Expenditures 15-22'!K63-SUM('Expenditures 15-22'!G63,'Expenditures 15-22'!I63)+'Expenditures 15-22'!D268-E10</f>
        <v>0</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1927</v>
      </c>
      <c r="B40" s="992"/>
      <c r="C40" s="994"/>
      <c r="D40" s="1824"/>
      <c r="E40" s="1828">
        <f>-'Contracts Paid in CY 29'!G141</f>
        <v>0</v>
      </c>
      <c r="F40" s="1824"/>
      <c r="G40" s="1828">
        <f>-'Contracts Paid in CY 29'!G141</f>
        <v>0</v>
      </c>
    </row>
    <row r="41" spans="1:7" ht="12" customHeight="1" x14ac:dyDescent="0.2">
      <c r="A41" s="999" t="s">
        <v>158</v>
      </c>
      <c r="B41" s="1000"/>
      <c r="C41" s="1001"/>
      <c r="D41" s="1828">
        <f>SUM(D19:D39)</f>
        <v>241628</v>
      </c>
      <c r="E41" s="1828">
        <f>SUM(E19:E40)</f>
        <v>2319190</v>
      </c>
      <c r="F41" s="1828">
        <f>SUM(F19:F39)</f>
        <v>241628</v>
      </c>
      <c r="G41" s="1828">
        <f>SUM(G19:G40)</f>
        <v>2319190</v>
      </c>
    </row>
    <row r="42" spans="1:7" x14ac:dyDescent="0.2">
      <c r="A42" s="988"/>
      <c r="B42" s="162"/>
      <c r="C42" s="1002"/>
      <c r="D42" s="2335" t="s">
        <v>543</v>
      </c>
      <c r="E42" s="2336"/>
      <c r="F42" s="1003" t="s">
        <v>544</v>
      </c>
      <c r="G42" s="1004"/>
    </row>
    <row r="43" spans="1:7" ht="12" customHeight="1" x14ac:dyDescent="0.2">
      <c r="A43" s="988"/>
      <c r="B43" s="162"/>
      <c r="C43" s="1002"/>
      <c r="D43" s="1829" t="s">
        <v>493</v>
      </c>
      <c r="E43" s="1830">
        <f>D41</f>
        <v>241628</v>
      </c>
      <c r="F43" s="1829" t="s">
        <v>495</v>
      </c>
      <c r="G43" s="1830">
        <f>F41</f>
        <v>241628</v>
      </c>
    </row>
    <row r="44" spans="1:7" ht="12" customHeight="1" x14ac:dyDescent="0.2">
      <c r="A44" s="988"/>
      <c r="B44" s="162"/>
      <c r="C44" s="1002"/>
      <c r="D44" s="1829" t="s">
        <v>494</v>
      </c>
      <c r="E44" s="1830">
        <f>E41</f>
        <v>2319190</v>
      </c>
      <c r="F44" s="1829" t="s">
        <v>494</v>
      </c>
      <c r="G44" s="1830">
        <f>G41</f>
        <v>2319190</v>
      </c>
    </row>
    <row r="45" spans="1:7" ht="12" customHeight="1" x14ac:dyDescent="0.2">
      <c r="A45" s="988"/>
      <c r="B45" s="162"/>
      <c r="C45" s="162"/>
      <c r="D45" s="1831" t="s">
        <v>1063</v>
      </c>
      <c r="E45" s="1832">
        <f>(E43/E44)</f>
        <v>0.10418637541555457</v>
      </c>
      <c r="F45" s="1831" t="s">
        <v>1063</v>
      </c>
      <c r="G45" s="1832">
        <f>(G43/G44)</f>
        <v>0.10418637541555457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B29" sqref="B29"/>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54" t="s">
        <v>1446</v>
      </c>
      <c r="B1" s="2354"/>
      <c r="C1" s="2354"/>
      <c r="D1" s="2354"/>
      <c r="E1" s="2354"/>
      <c r="F1" s="2354"/>
    </row>
    <row r="2" spans="1:10" x14ac:dyDescent="0.2">
      <c r="A2" s="1911" t="s">
        <v>2045</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55" t="s">
        <v>1627</v>
      </c>
      <c r="B5" s="2356"/>
      <c r="C5" s="2357"/>
      <c r="D5" s="2357"/>
      <c r="E5" s="2357"/>
      <c r="F5" s="2357"/>
    </row>
    <row r="6" spans="1:10" ht="12" customHeight="1" x14ac:dyDescent="0.25">
      <c r="A6" s="1874"/>
      <c r="B6" s="1875"/>
      <c r="C6" s="2358" t="str">
        <f>COVER!A17</f>
        <v>Northwest SpEd Coop</v>
      </c>
      <c r="D6" s="2358"/>
      <c r="E6" s="2358"/>
      <c r="F6" s="1876"/>
    </row>
    <row r="7" spans="1:10" ht="11.25" customHeight="1" thickBot="1" x14ac:dyDescent="0.3">
      <c r="A7" s="1874"/>
      <c r="B7" s="1875"/>
      <c r="C7" s="2359">
        <f>COVER!A13</f>
        <v>8043210061</v>
      </c>
      <c r="D7" s="2359"/>
      <c r="E7" s="2359"/>
      <c r="F7" s="1876"/>
    </row>
    <row r="8" spans="1:10" ht="25.5" customHeight="1" thickBot="1" x14ac:dyDescent="0.25">
      <c r="A8" s="1917" t="s">
        <v>2022</v>
      </c>
      <c r="B8" s="1877" t="s">
        <v>2083</v>
      </c>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c r="D26" s="1889"/>
      <c r="E26" s="1892"/>
      <c r="F26" s="1891"/>
      <c r="H26" s="1902">
        <f t="shared" si="0"/>
        <v>0</v>
      </c>
      <c r="I26" s="1902">
        <f t="shared" si="1"/>
        <v>0</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0</v>
      </c>
      <c r="I34" s="1902">
        <f>SUM(I11:I32)</f>
        <v>0</v>
      </c>
      <c r="J34" s="1902">
        <f>SUM(J11:J32)</f>
        <v>0</v>
      </c>
      <c r="K34" s="1902">
        <f>SUM(H34:J34)</f>
        <v>0</v>
      </c>
    </row>
    <row r="35" spans="1:11" ht="12" customHeight="1" x14ac:dyDescent="0.2">
      <c r="A35" s="1895" t="s">
        <v>1459</v>
      </c>
      <c r="B35" s="1896"/>
      <c r="C35" s="2360"/>
      <c r="D35" s="2360"/>
      <c r="E35" s="2360"/>
      <c r="F35" s="2361"/>
    </row>
    <row r="36" spans="1:11" ht="12" customHeight="1" x14ac:dyDescent="0.2">
      <c r="A36" s="2343"/>
      <c r="B36" s="2344"/>
      <c r="C36" s="2344"/>
      <c r="D36" s="2344"/>
      <c r="E36" s="2344"/>
      <c r="F36" s="2345"/>
    </row>
    <row r="37" spans="1:11" ht="12" customHeight="1" x14ac:dyDescent="0.2">
      <c r="A37" s="2343"/>
      <c r="B37" s="2344"/>
      <c r="C37" s="2344"/>
      <c r="D37" s="2344"/>
      <c r="E37" s="2344"/>
      <c r="F37" s="2345"/>
    </row>
    <row r="38" spans="1:11" ht="12" customHeight="1" x14ac:dyDescent="0.2">
      <c r="A38" s="2346"/>
      <c r="B38" s="2347"/>
      <c r="C38" s="2347"/>
      <c r="D38" s="2347"/>
      <c r="E38" s="2347"/>
      <c r="F38" s="2348"/>
    </row>
    <row r="39" spans="1:11" ht="4.5" hidden="1" customHeight="1" x14ac:dyDescent="0.2">
      <c r="A39" s="1897"/>
      <c r="B39" s="1897"/>
      <c r="C39" s="1897"/>
      <c r="D39" s="1897"/>
      <c r="E39" s="1897"/>
      <c r="F39" s="1897"/>
    </row>
    <row r="40" spans="1:11" s="1894" customFormat="1" ht="12" customHeight="1" x14ac:dyDescent="0.25">
      <c r="A40" s="1898" t="s">
        <v>1458</v>
      </c>
      <c r="B40" s="1899"/>
      <c r="C40" s="2349"/>
      <c r="D40" s="2349"/>
      <c r="E40" s="2349"/>
      <c r="F40" s="2350"/>
      <c r="H40" s="1903"/>
      <c r="I40" s="1903"/>
      <c r="J40" s="1903"/>
      <c r="K40" s="1903"/>
    </row>
    <row r="41" spans="1:11" s="1894" customFormat="1" ht="12" customHeight="1" x14ac:dyDescent="0.25">
      <c r="A41" s="2351"/>
      <c r="B41" s="2352"/>
      <c r="C41" s="2352"/>
      <c r="D41" s="2352"/>
      <c r="E41" s="2352"/>
      <c r="F41" s="2353"/>
      <c r="H41" s="1903"/>
      <c r="I41" s="1903"/>
      <c r="J41" s="1903"/>
      <c r="K41" s="1903"/>
    </row>
    <row r="42" spans="1:11" s="1894" customFormat="1" ht="12" customHeight="1" x14ac:dyDescent="0.25">
      <c r="A42" s="2351"/>
      <c r="B42" s="2352"/>
      <c r="C42" s="2352"/>
      <c r="D42" s="2352"/>
      <c r="E42" s="2352"/>
      <c r="F42" s="2353"/>
      <c r="H42" s="1903"/>
      <c r="I42" s="1903"/>
      <c r="J42" s="1903"/>
      <c r="K42" s="1903"/>
    </row>
    <row r="43" spans="1:11" s="1894" customFormat="1" ht="15" x14ac:dyDescent="0.25">
      <c r="A43" s="2340"/>
      <c r="B43" s="2341"/>
      <c r="C43" s="2341"/>
      <c r="D43" s="2341"/>
      <c r="E43" s="2341"/>
      <c r="F43" s="2342"/>
      <c r="H43" s="1903"/>
      <c r="I43" s="1903"/>
      <c r="J43" s="1903"/>
      <c r="K43" s="1903"/>
    </row>
    <row r="44" spans="1:11" s="1894" customFormat="1" ht="12" hidden="1" customHeight="1" x14ac:dyDescent="0.25">
      <c r="A44" s="2340"/>
      <c r="B44" s="2341"/>
      <c r="C44" s="2341"/>
      <c r="D44" s="2341"/>
      <c r="E44" s="2341"/>
      <c r="F44" s="2342"/>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B29" sqref="B2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67" t="str">
        <f>COVER!A17</f>
        <v>Northwest SpEd Coop</v>
      </c>
      <c r="J6" s="2368"/>
      <c r="Q6" s="1685"/>
    </row>
    <row r="7" spans="1:17" x14ac:dyDescent="0.2">
      <c r="A7" s="2369" t="s">
        <v>924</v>
      </c>
      <c r="B7" s="2370"/>
      <c r="C7" s="2370"/>
      <c r="D7" s="2370"/>
      <c r="E7" s="2371"/>
      <c r="F7" s="1018"/>
      <c r="G7" s="1010"/>
      <c r="H7" s="1017" t="s">
        <v>390</v>
      </c>
      <c r="I7" s="2372">
        <f>COVER!A13</f>
        <v>8043210061</v>
      </c>
      <c r="J7" s="2372"/>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73" t="s">
        <v>502</v>
      </c>
      <c r="B11" s="2374"/>
      <c r="C11" s="237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330653</v>
      </c>
      <c r="F12" s="1040"/>
      <c r="G12" s="1833">
        <f t="shared" ref="G12:G18" si="0">SUM(E12:F12)</f>
        <v>330653</v>
      </c>
      <c r="H12" s="1041"/>
      <c r="I12" s="1040"/>
      <c r="J12" s="1833">
        <f t="shared" ref="J12:J18" si="1">SUM(H12:I12)</f>
        <v>0</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173047</v>
      </c>
      <c r="F15" s="1833">
        <f>'Expenditures 15-22'!K122</f>
        <v>0</v>
      </c>
      <c r="G15" s="1833">
        <f t="shared" si="0"/>
        <v>173047</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76" t="s">
        <v>7</v>
      </c>
      <c r="C18" s="2377"/>
      <c r="D18" s="2378"/>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503700</v>
      </c>
      <c r="F19" s="1835">
        <f t="shared" si="2"/>
        <v>0</v>
      </c>
      <c r="G19" s="1835">
        <f t="shared" si="2"/>
        <v>503700</v>
      </c>
      <c r="H19" s="1835">
        <f t="shared" si="2"/>
        <v>0</v>
      </c>
      <c r="I19" s="1835">
        <f t="shared" si="2"/>
        <v>0</v>
      </c>
      <c r="J19" s="1835">
        <f t="shared" si="2"/>
        <v>0</v>
      </c>
    </row>
    <row r="20" spans="1:10" ht="13.5" thickTop="1" x14ac:dyDescent="0.2">
      <c r="A20" s="1036">
        <v>9</v>
      </c>
      <c r="B20" s="2379" t="s">
        <v>1703</v>
      </c>
      <c r="C20" s="2379"/>
      <c r="D20" s="2380"/>
      <c r="E20" s="1047"/>
      <c r="F20" s="1047"/>
      <c r="G20" s="1047"/>
      <c r="H20" s="1047"/>
      <c r="I20" s="1047"/>
      <c r="J20" s="1836"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85"/>
      <c r="D26" s="2385"/>
      <c r="E26" s="1051"/>
      <c r="F26" s="2384"/>
      <c r="G26" s="2384"/>
    </row>
    <row r="27" spans="1:10" x14ac:dyDescent="0.2">
      <c r="B27" s="1048"/>
      <c r="C27" s="1052" t="s">
        <v>1093</v>
      </c>
      <c r="D27" s="1053"/>
      <c r="E27" s="1054"/>
      <c r="F27" s="2381" t="s">
        <v>1589</v>
      </c>
      <c r="G27" s="2381"/>
    </row>
    <row r="28" spans="1:10" ht="28.5" customHeight="1" x14ac:dyDescent="0.2">
      <c r="B28" s="1048"/>
      <c r="C28" s="2383"/>
      <c r="D28" s="2383"/>
      <c r="E28" s="1055"/>
      <c r="F28" s="2383"/>
      <c r="G28" s="2383"/>
    </row>
    <row r="29" spans="1:10" x14ac:dyDescent="0.2">
      <c r="B29" s="1048"/>
      <c r="C29" s="1056" t="s">
        <v>1642</v>
      </c>
      <c r="E29" s="1057"/>
      <c r="F29" s="2382" t="s">
        <v>1590</v>
      </c>
      <c r="G29" s="238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64" t="s">
        <v>134</v>
      </c>
      <c r="D33" s="2365"/>
      <c r="E33" s="2365"/>
      <c r="F33" s="2365"/>
      <c r="G33" s="2365"/>
      <c r="H33" s="2365"/>
      <c r="I33" s="2365"/>
    </row>
    <row r="34" spans="1:10" ht="10.35" customHeight="1" x14ac:dyDescent="0.2">
      <c r="C34" s="2365"/>
      <c r="D34" s="2365"/>
      <c r="E34" s="2365"/>
      <c r="F34" s="2365"/>
      <c r="G34" s="2365"/>
      <c r="H34" s="2365"/>
      <c r="I34" s="2365"/>
    </row>
    <row r="35" spans="1:10" ht="7.5" customHeight="1" x14ac:dyDescent="0.2">
      <c r="C35" s="1063"/>
    </row>
    <row r="36" spans="1:10" ht="13.5" customHeight="1" x14ac:dyDescent="0.2">
      <c r="B36" s="1062"/>
      <c r="C36" s="2366" t="s">
        <v>1941</v>
      </c>
      <c r="D36" s="2365"/>
      <c r="E36" s="2365"/>
      <c r="F36" s="2365"/>
      <c r="G36" s="2365"/>
      <c r="H36" s="2365"/>
      <c r="I36" s="2365"/>
      <c r="J36" s="1064"/>
    </row>
    <row r="37" spans="1:10" ht="22.5" customHeight="1" x14ac:dyDescent="0.2">
      <c r="C37" s="2365"/>
      <c r="D37" s="2365"/>
      <c r="E37" s="2365"/>
      <c r="F37" s="2365"/>
      <c r="G37" s="2365"/>
      <c r="H37" s="2365"/>
      <c r="I37" s="2365"/>
      <c r="J37" s="1064"/>
    </row>
    <row r="38" spans="1:10" ht="7.5" customHeight="1" x14ac:dyDescent="0.2">
      <c r="C38" s="1063"/>
      <c r="D38" s="1065"/>
      <c r="E38" s="1066"/>
      <c r="F38" s="1067"/>
      <c r="G38" s="1066"/>
    </row>
    <row r="39" spans="1:10" ht="13.5" customHeight="1" x14ac:dyDescent="0.2">
      <c r="B39" s="1062"/>
      <c r="C39" s="2362" t="s">
        <v>937</v>
      </c>
      <c r="D39" s="2363"/>
      <c r="E39" s="2363"/>
      <c r="F39" s="2363"/>
      <c r="G39" s="2363"/>
      <c r="H39" s="2363"/>
      <c r="I39" s="236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29" sqref="B2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Northwest SpEd Coop</v>
      </c>
    </row>
    <row r="65" spans="2:2" x14ac:dyDescent="0.2">
      <c r="B65" s="1071">
        <f>COVER!A13</f>
        <v>8043210061</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55" zoomScale="110" zoomScaleNormal="110" workbookViewId="0">
      <selection activeCell="B29" sqref="B2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8" t="s">
        <v>1709</v>
      </c>
    </row>
    <row r="23" spans="1:5" x14ac:dyDescent="0.2">
      <c r="A23" s="168"/>
      <c r="B23" s="162" t="s">
        <v>1966</v>
      </c>
      <c r="D23" s="167" t="s">
        <v>658</v>
      </c>
      <c r="E23" s="1858"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03" t="s">
        <v>1125</v>
      </c>
      <c r="B35" s="2103"/>
      <c r="C35" s="2103"/>
      <c r="D35" s="2103"/>
      <c r="E35" s="210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0" t="s">
        <v>715</v>
      </c>
      <c r="B40" s="2100"/>
      <c r="C40" s="2100"/>
      <c r="D40" s="2100"/>
      <c r="E40" s="2100"/>
    </row>
    <row r="41" spans="1:5" x14ac:dyDescent="0.2">
      <c r="A41" s="2101" t="s">
        <v>1706</v>
      </c>
      <c r="B41" s="2101"/>
      <c r="C41" s="2101"/>
      <c r="D41" s="2101"/>
      <c r="E41" s="2101"/>
    </row>
    <row r="42" spans="1:5" ht="12.75" customHeight="1" x14ac:dyDescent="0.2">
      <c r="A42" s="2102" t="s">
        <v>1080</v>
      </c>
      <c r="B42" s="2102"/>
      <c r="C42" s="2102"/>
      <c r="D42" s="2102"/>
      <c r="E42" s="2102"/>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6" t="s">
        <v>1876</v>
      </c>
    </row>
    <row r="60" spans="1:3" x14ac:dyDescent="0.2">
      <c r="A60" s="196"/>
      <c r="B60" s="1506"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8"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7"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B29" sqref="B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86" t="s">
        <v>1784</v>
      </c>
      <c r="B18" s="238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6866" r:id="rId4">
          <objectPr defaultSize="0" r:id="rId5">
            <anchor moveWithCells="1">
              <from>
                <xdr:col>1</xdr:col>
                <xdr:colOff>0</xdr:colOff>
                <xdr:row>6</xdr:row>
                <xdr:rowOff>0</xdr:rowOff>
              </from>
              <to>
                <xdr:col>1</xdr:col>
                <xdr:colOff>733425</xdr:colOff>
                <xdr:row>9</xdr:row>
                <xdr:rowOff>19050</xdr:rowOff>
              </to>
            </anchor>
          </objectPr>
        </oleObject>
      </mc:Choice>
      <mc:Fallback>
        <oleObject progId="Acrobat.Document.2015" dvAspect="DVASPECT_ICON" shapeId="36866"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B29" sqref="B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7" t="s">
        <v>1790</v>
      </c>
      <c r="B1" s="2388"/>
      <c r="C1" s="2388"/>
      <c r="D1" s="2388"/>
      <c r="E1" s="2388"/>
      <c r="F1" s="2389"/>
    </row>
    <row r="2" spans="1:8" ht="45" customHeight="1" x14ac:dyDescent="0.2">
      <c r="A2" s="2397" t="s">
        <v>1791</v>
      </c>
      <c r="B2" s="2398"/>
      <c r="C2" s="2398"/>
      <c r="D2" s="2398"/>
      <c r="E2" s="2398"/>
      <c r="F2" s="2399"/>
      <c r="G2" s="1075"/>
      <c r="H2" s="1075"/>
    </row>
    <row r="3" spans="1:8" ht="57" customHeight="1" x14ac:dyDescent="0.2">
      <c r="A3" s="2400" t="s">
        <v>1786</v>
      </c>
      <c r="B3" s="2401"/>
      <c r="C3" s="2401"/>
      <c r="D3" s="2401"/>
      <c r="E3" s="2401"/>
      <c r="F3" s="2402"/>
      <c r="G3" s="1075"/>
      <c r="H3" s="1075"/>
    </row>
    <row r="4" spans="1:8" ht="14.25" customHeight="1" x14ac:dyDescent="0.2">
      <c r="A4" s="2406" t="s">
        <v>2053</v>
      </c>
      <c r="B4" s="2407"/>
      <c r="C4" s="2407"/>
      <c r="D4" s="2407"/>
      <c r="E4" s="2407"/>
      <c r="F4" s="2408"/>
      <c r="G4" s="1075"/>
      <c r="H4" s="1075"/>
    </row>
    <row r="5" spans="1:8" ht="14.25" customHeight="1" x14ac:dyDescent="0.2">
      <c r="A5" s="2409" t="s">
        <v>2054</v>
      </c>
      <c r="B5" s="2410"/>
      <c r="C5" s="2410"/>
      <c r="D5" s="2410"/>
      <c r="E5" s="2410"/>
      <c r="F5" s="2411"/>
      <c r="G5" s="1075"/>
      <c r="H5" s="1075"/>
    </row>
    <row r="6" spans="1:8" s="1076" customFormat="1" ht="41.25" customHeight="1" x14ac:dyDescent="0.2">
      <c r="A6" s="2403" t="s">
        <v>1792</v>
      </c>
      <c r="B6" s="2404"/>
      <c r="C6" s="2404"/>
      <c r="D6" s="2404"/>
      <c r="E6" s="2404"/>
      <c r="F6" s="240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4900437</v>
      </c>
      <c r="C8" s="1837">
        <f>'Acct Summary 7-8'!D8</f>
        <v>0</v>
      </c>
      <c r="D8" s="1837">
        <f>'Acct Summary 7-8'!F8</f>
        <v>0</v>
      </c>
      <c r="E8" s="1837">
        <f>'Acct Summary 7-8'!I8</f>
        <v>0</v>
      </c>
      <c r="F8" s="1837">
        <f>SUM(B8:E8)</f>
        <v>4900437</v>
      </c>
    </row>
    <row r="9" spans="1:8" s="1080" customFormat="1" ht="14.25" customHeight="1" thickBot="1" x14ac:dyDescent="0.25">
      <c r="A9" s="1079" t="s">
        <v>1436</v>
      </c>
      <c r="B9" s="1838">
        <f>'Acct Summary 7-8'!C17</f>
        <v>4619130</v>
      </c>
      <c r="C9" s="1838">
        <f>'Acct Summary 7-8'!D17</f>
        <v>0</v>
      </c>
      <c r="D9" s="1838">
        <f>'Acct Summary 7-8'!F17</f>
        <v>0</v>
      </c>
      <c r="E9" s="1837"/>
      <c r="F9" s="1837">
        <f>SUM(B9:E9)</f>
        <v>4619130</v>
      </c>
    </row>
    <row r="10" spans="1:8" s="1080" customFormat="1" ht="14.25" thickTop="1" thickBot="1" x14ac:dyDescent="0.25">
      <c r="A10" s="1081" t="s">
        <v>1437</v>
      </c>
      <c r="B10" s="1839">
        <f>(B8-B9)</f>
        <v>281307</v>
      </c>
      <c r="C10" s="1839">
        <f>(C8-C9)</f>
        <v>0</v>
      </c>
      <c r="D10" s="1839">
        <f>(D8-D9)</f>
        <v>0</v>
      </c>
      <c r="E10" s="1838">
        <f>(E8-E9)</f>
        <v>0</v>
      </c>
      <c r="F10" s="1840">
        <f>SUM(F8-F9)</f>
        <v>281307</v>
      </c>
    </row>
    <row r="11" spans="1:8" s="1080" customFormat="1" ht="14.25" thickTop="1" thickBot="1" x14ac:dyDescent="0.25">
      <c r="A11" s="1082" t="s">
        <v>1785</v>
      </c>
      <c r="B11" s="1841">
        <f>'Acct Summary 7-8'!C81</f>
        <v>1166869</v>
      </c>
      <c r="C11" s="1841">
        <f>'Acct Summary 7-8'!D81</f>
        <v>0</v>
      </c>
      <c r="D11" s="1841">
        <f>'Acct Summary 7-8'!F81</f>
        <v>0</v>
      </c>
      <c r="E11" s="1841">
        <f>'Acct Summary 7-8'!I81</f>
        <v>0</v>
      </c>
      <c r="F11" s="1842">
        <f>SUM(B11:E11)</f>
        <v>1166869</v>
      </c>
    </row>
    <row r="12" spans="1:8" ht="16.5" customHeight="1" thickTop="1" x14ac:dyDescent="0.2">
      <c r="A12" s="1083"/>
      <c r="B12" s="1084"/>
      <c r="C12" s="2391" t="str">
        <f>IF(AND(F10&lt;0,F11&gt;=0,ABS(F10*3)&gt;ABS(F11)),A16,IF(AND(F10&lt;0,F11&gt;0,ABS(F10*3)&lt;=ABS(F11)),A17,IF(AND(F10&lt;0,F11&lt;0),A16,IF(F11=0,A19,A18))))</f>
        <v>Balanced - no deficit reduction plan is required.</v>
      </c>
      <c r="D12" s="2392"/>
      <c r="E12" s="2392"/>
      <c r="F12" s="2393"/>
    </row>
    <row r="13" spans="1:8" ht="19.5" customHeight="1" x14ac:dyDescent="0.2">
      <c r="A13" s="1085"/>
      <c r="B13" s="1086"/>
      <c r="C13" s="2391"/>
      <c r="D13" s="2392"/>
      <c r="E13" s="2392"/>
      <c r="F13" s="2393"/>
      <c r="H13" s="1075"/>
    </row>
    <row r="14" spans="1:8" ht="19.5" customHeight="1" x14ac:dyDescent="0.2">
      <c r="A14" s="1085"/>
      <c r="B14" s="1086"/>
      <c r="C14" s="2391"/>
      <c r="D14" s="2392"/>
      <c r="E14" s="2392"/>
      <c r="F14" s="2393"/>
      <c r="H14" s="1075"/>
    </row>
    <row r="15" spans="1:8" ht="17.25" customHeight="1" x14ac:dyDescent="0.2">
      <c r="A15" s="1085"/>
      <c r="B15" s="1086"/>
      <c r="C15" s="2394"/>
      <c r="D15" s="2395"/>
      <c r="E15" s="2395"/>
      <c r="F15" s="2396"/>
      <c r="H15" s="1075"/>
    </row>
    <row r="16" spans="1:8" s="310" customFormat="1" ht="51.75" hidden="1" customHeight="1" x14ac:dyDescent="0.2">
      <c r="A16" s="2390" t="s">
        <v>1787</v>
      </c>
      <c r="B16" s="2390"/>
      <c r="C16" s="2390"/>
      <c r="D16" s="2390"/>
      <c r="E16" s="239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412" t="s">
        <v>686</v>
      </c>
      <c r="B3" s="2413"/>
      <c r="C3" s="2413"/>
      <c r="D3" s="2414"/>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23" t="s">
        <v>1584</v>
      </c>
      <c r="D7" s="2424"/>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15" t="s">
        <v>1065</v>
      </c>
      <c r="B15" s="2416"/>
      <c r="C15" s="2416"/>
      <c r="D15" s="2417"/>
    </row>
    <row r="16" spans="1:4" s="669" customFormat="1" ht="24" customHeight="1" x14ac:dyDescent="0.2">
      <c r="A16" s="2418" t="s">
        <v>684</v>
      </c>
      <c r="B16" s="2419"/>
      <c r="C16" s="2419"/>
      <c r="D16" s="242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27" t="s">
        <v>332</v>
      </c>
      <c r="D21" s="2428"/>
    </row>
    <row r="22" spans="1:10" ht="12.75" x14ac:dyDescent="0.2">
      <c r="A22" s="1140"/>
      <c r="B22" s="1141">
        <v>2</v>
      </c>
      <c r="C22" s="2425" t="s">
        <v>1605</v>
      </c>
      <c r="D22" s="2426"/>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29" t="s">
        <v>557</v>
      </c>
      <c r="D43" s="243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21" t="s">
        <v>817</v>
      </c>
      <c r="D56" s="242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421" t="s">
        <v>1797</v>
      </c>
      <c r="D70" s="242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8043210061</v>
      </c>
    </row>
    <row r="3" spans="1:2" x14ac:dyDescent="0.2">
      <c r="A3" t="s">
        <v>1013</v>
      </c>
      <c r="B3" s="138" t="str">
        <f>COVER!A15</f>
        <v>Jo Daviess</v>
      </c>
    </row>
    <row r="4" spans="1:2" x14ac:dyDescent="0.2">
      <c r="A4" t="s">
        <v>1064</v>
      </c>
      <c r="B4" s="138" t="str">
        <f>COVER!A17</f>
        <v>Northwest SpEd Coop</v>
      </c>
    </row>
    <row r="5" spans="1:2" x14ac:dyDescent="0.2">
      <c r="A5" t="s">
        <v>728</v>
      </c>
      <c r="B5" s="138" t="str">
        <f>COVER!A38</f>
        <v>Tracy Dahl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066-004023</v>
      </c>
    </row>
    <row r="16" spans="1:2" x14ac:dyDescent="0.2">
      <c r="A16" t="s">
        <v>442</v>
      </c>
      <c r="B16" s="138" t="str">
        <f>COVER!T13</f>
        <v>Wipfli LLP</v>
      </c>
    </row>
    <row r="17" spans="1:2" x14ac:dyDescent="0.2">
      <c r="A17" t="s">
        <v>939</v>
      </c>
      <c r="B17" s="138" t="str">
        <f>COVER!T15</f>
        <v>Matthew Schueler</v>
      </c>
    </row>
    <row r="18" spans="1:2" x14ac:dyDescent="0.2">
      <c r="A18" t="s">
        <v>1212</v>
      </c>
      <c r="B18" s="138" t="str">
        <f>COVER!T17</f>
        <v>403 East Third</v>
      </c>
    </row>
    <row r="19" spans="1:2" x14ac:dyDescent="0.2">
      <c r="A19" t="s">
        <v>941</v>
      </c>
      <c r="B19" s="138" t="str">
        <f>COVER!T25</f>
        <v>mschueler@wipfli.com</v>
      </c>
    </row>
    <row r="20" spans="1:2" x14ac:dyDescent="0.2">
      <c r="A20" t="s">
        <v>942</v>
      </c>
      <c r="B20" s="138" t="str">
        <f>COVER!T19</f>
        <v>Sterling</v>
      </c>
    </row>
    <row r="21" spans="1:2" x14ac:dyDescent="0.2">
      <c r="A21" t="s">
        <v>500</v>
      </c>
      <c r="B21" s="138" t="str">
        <f>COVER!X19</f>
        <v>Illinois</v>
      </c>
    </row>
    <row r="22" spans="1:2" x14ac:dyDescent="0.2">
      <c r="A22" t="s">
        <v>943</v>
      </c>
      <c r="B22" s="138">
        <f>COVER!Z19</f>
        <v>61081</v>
      </c>
    </row>
    <row r="23" spans="1:2" x14ac:dyDescent="0.2">
      <c r="A23" t="s">
        <v>1214</v>
      </c>
      <c r="B23" s="138" t="str">
        <f>COVER!T21</f>
        <v>815-626-1277</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280912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1738317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571448</v>
      </c>
      <c r="C91" s="2" t="s">
        <v>594</v>
      </c>
      <c r="D91" s="2" t="str">
        <f t="shared" si="0"/>
        <v>Error?</v>
      </c>
    </row>
    <row r="92" spans="1:4" x14ac:dyDescent="0.2">
      <c r="A92" s="5">
        <v>31</v>
      </c>
      <c r="B92" s="138">
        <f>'Assets-Liab 5-6'!C39</f>
        <v>1166869</v>
      </c>
      <c r="D92" s="2" t="str">
        <f t="shared" si="0"/>
        <v>Error?</v>
      </c>
    </row>
    <row r="93" spans="1:4" x14ac:dyDescent="0.2">
      <c r="A93" s="5">
        <v>32</v>
      </c>
      <c r="B93" s="138">
        <f>'Assets-Liab 5-6'!C41</f>
        <v>1738317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30580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30580</v>
      </c>
      <c r="C279" s="2" t="s">
        <v>594</v>
      </c>
      <c r="D279" s="2" t="str">
        <f t="shared" si="3"/>
        <v>Error?</v>
      </c>
    </row>
    <row r="280" spans="1:4" x14ac:dyDescent="0.2">
      <c r="A280" s="5">
        <v>219</v>
      </c>
      <c r="B280" s="138">
        <f>'Assets-Liab 5-6'!M40</f>
        <v>30580</v>
      </c>
      <c r="D280" s="2" t="str">
        <f t="shared" si="3"/>
        <v>Error?</v>
      </c>
    </row>
    <row r="281" spans="1:4" x14ac:dyDescent="0.2">
      <c r="A281" s="5">
        <v>220</v>
      </c>
      <c r="B281" s="138">
        <f>'Assets-Liab 5-6'!M41</f>
        <v>30580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47041</v>
      </c>
      <c r="D717" s="2" t="str">
        <f t="shared" si="10"/>
        <v>Error?</v>
      </c>
    </row>
    <row r="718" spans="1:4" x14ac:dyDescent="0.2">
      <c r="A718" s="5">
        <v>657</v>
      </c>
      <c r="B718" s="138">
        <f>'Expenditures 15-22'!C14</f>
        <v>0</v>
      </c>
      <c r="D718" s="2" t="str">
        <f t="shared" si="10"/>
        <v>Error?</v>
      </c>
    </row>
    <row r="719" spans="1:4" x14ac:dyDescent="0.2">
      <c r="A719" s="5">
        <v>658</v>
      </c>
      <c r="B719" s="138">
        <f>'Expenditures 15-22'!C15</f>
        <v>350</v>
      </c>
      <c r="D719" s="2" t="str">
        <f t="shared" si="10"/>
        <v>Error?</v>
      </c>
    </row>
    <row r="720" spans="1:4" x14ac:dyDescent="0.2">
      <c r="A720" s="5">
        <v>659</v>
      </c>
      <c r="B720" s="138">
        <f>'Expenditures 15-22'!C33</f>
        <v>502379</v>
      </c>
      <c r="C720" s="2" t="s">
        <v>594</v>
      </c>
      <c r="D720" s="2" t="str">
        <f t="shared" si="10"/>
        <v>Error?</v>
      </c>
    </row>
    <row r="721" spans="1:4" x14ac:dyDescent="0.2">
      <c r="A721" s="5">
        <v>660</v>
      </c>
      <c r="B721" s="138">
        <f>'Expenditures 15-22'!C36</f>
        <v>192265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363371</v>
      </c>
      <c r="D723" s="2" t="str">
        <f t="shared" si="10"/>
        <v>Error?</v>
      </c>
    </row>
    <row r="724" spans="1:4" x14ac:dyDescent="0.2">
      <c r="A724" s="5">
        <v>663</v>
      </c>
      <c r="B724" s="138">
        <f>'Expenditures 15-22'!C39</f>
        <v>359411</v>
      </c>
      <c r="D724" s="2" t="str">
        <f t="shared" si="10"/>
        <v>Error?</v>
      </c>
    </row>
    <row r="725" spans="1:4" x14ac:dyDescent="0.2">
      <c r="A725" s="5">
        <v>664</v>
      </c>
      <c r="B725" s="138">
        <f>'Expenditures 15-22'!C40</f>
        <v>0</v>
      </c>
      <c r="D725" s="2" t="str">
        <f t="shared" si="10"/>
        <v>Error?</v>
      </c>
    </row>
    <row r="726" spans="1:4" x14ac:dyDescent="0.2">
      <c r="A726" s="5">
        <v>665</v>
      </c>
      <c r="B726" s="138">
        <f>'Expenditures 15-22'!C41</f>
        <v>25629</v>
      </c>
      <c r="D726" s="2" t="str">
        <f t="shared" si="10"/>
        <v>Error?</v>
      </c>
    </row>
    <row r="727" spans="1:4" x14ac:dyDescent="0.2">
      <c r="A727" s="5">
        <v>666</v>
      </c>
      <c r="B727" s="138">
        <f>'Expenditures 15-22'!C42</f>
        <v>940676</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229775</v>
      </c>
      <c r="D733" s="2" t="str">
        <f t="shared" si="10"/>
        <v>Error?</v>
      </c>
    </row>
    <row r="734" spans="1:4" x14ac:dyDescent="0.2">
      <c r="A734" s="5">
        <v>673</v>
      </c>
      <c r="B734" s="138">
        <f>'Expenditures 15-22'!C53</f>
        <v>229775</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58525</v>
      </c>
      <c r="D738" s="2" t="str">
        <f t="shared" si="10"/>
        <v>Error?</v>
      </c>
    </row>
    <row r="739" spans="1:4" x14ac:dyDescent="0.2">
      <c r="A739" s="5">
        <v>678</v>
      </c>
      <c r="B739" s="138">
        <f>'Expenditures 15-22'!C60</f>
        <v>38648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97173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1267624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1770003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14420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20</v>
      </c>
      <c r="D777" s="2" t="str">
        <f t="shared" si="11"/>
        <v>Error?</v>
      </c>
    </row>
    <row r="778" spans="1:4" x14ac:dyDescent="0.2">
      <c r="A778" s="5">
        <v>717</v>
      </c>
      <c r="B778" s="138">
        <f>'Expenditures 15-22'!D33</f>
        <v>126311</v>
      </c>
      <c r="C778" s="2" t="s">
        <v>594</v>
      </c>
      <c r="D778" s="2" t="str">
        <f t="shared" si="11"/>
        <v>Error?</v>
      </c>
    </row>
    <row r="779" spans="1:4" x14ac:dyDescent="0.2">
      <c r="A779" s="5">
        <v>718</v>
      </c>
      <c r="B779" s="138">
        <f>'Expenditures 15-22'!D36</f>
        <v>52373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88766</v>
      </c>
      <c r="D781" s="2" t="str">
        <f t="shared" si="11"/>
        <v>Error?</v>
      </c>
    </row>
    <row r="782" spans="1:4" x14ac:dyDescent="0.2">
      <c r="A782" s="5">
        <v>721</v>
      </c>
      <c r="B782" s="138">
        <f>'Expenditures 15-22'!D39</f>
        <v>73961</v>
      </c>
      <c r="D782" s="2" t="str">
        <f t="shared" si="11"/>
        <v>Error?</v>
      </c>
    </row>
    <row r="783" spans="1:4" x14ac:dyDescent="0.2">
      <c r="A783" s="5">
        <v>722</v>
      </c>
      <c r="B783" s="138">
        <f>'Expenditures 15-22'!D40</f>
        <v>0</v>
      </c>
      <c r="D783" s="2" t="str">
        <f t="shared" si="11"/>
        <v>Error?</v>
      </c>
    </row>
    <row r="784" spans="1:4" x14ac:dyDescent="0.2">
      <c r="A784" s="5">
        <v>723</v>
      </c>
      <c r="B784" s="138">
        <f>'Expenditures 15-22'!D41</f>
        <v>13903</v>
      </c>
      <c r="D784" s="2" t="str">
        <f t="shared" si="11"/>
        <v>Error?</v>
      </c>
    </row>
    <row r="785" spans="1:4" x14ac:dyDescent="0.2">
      <c r="A785" s="5">
        <v>724</v>
      </c>
      <c r="B785" s="138">
        <f>'Expenditures 15-22'!D42</f>
        <v>229003</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77484</v>
      </c>
      <c r="D791" s="2" t="str">
        <f t="shared" si="11"/>
        <v>Error?</v>
      </c>
    </row>
    <row r="792" spans="1:4" x14ac:dyDescent="0.2">
      <c r="A792" s="5">
        <v>731</v>
      </c>
      <c r="B792" s="138">
        <f>'Expenditures 15-22'!D53</f>
        <v>77484</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22056</v>
      </c>
      <c r="D796" s="2" t="str">
        <f t="shared" si="11"/>
        <v>Error?</v>
      </c>
    </row>
    <row r="797" spans="1:4" x14ac:dyDescent="0.2">
      <c r="A797" s="5">
        <v>736</v>
      </c>
      <c r="B797" s="138">
        <f>'Expenditures 15-22'!D60</f>
        <v>16108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38164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344651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470962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1283</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67585</v>
      </c>
      <c r="C836" s="2" t="s">
        <v>594</v>
      </c>
      <c r="D836" s="2" t="str">
        <f t="shared" si="12"/>
        <v>Error?</v>
      </c>
    </row>
    <row r="837" spans="1:4" x14ac:dyDescent="0.2">
      <c r="A837" s="5">
        <v>776</v>
      </c>
      <c r="B837" s="138">
        <f>'Expenditures 15-22'!E36</f>
        <v>23091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12279</v>
      </c>
      <c r="D839" s="2" t="str">
        <f t="shared" si="12"/>
        <v>Error?</v>
      </c>
    </row>
    <row r="840" spans="1:4" x14ac:dyDescent="0.2">
      <c r="A840" s="5">
        <v>779</v>
      </c>
      <c r="B840" s="138">
        <f>'Expenditures 15-22'!E39</f>
        <v>9419</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2185</v>
      </c>
      <c r="D842" s="2" t="str">
        <f t="shared" si="12"/>
        <v>Error?</v>
      </c>
    </row>
    <row r="843" spans="1:4" x14ac:dyDescent="0.2">
      <c r="A843" s="5">
        <v>782</v>
      </c>
      <c r="B843" s="138">
        <f>'Expenditures 15-22'!E42</f>
        <v>46974</v>
      </c>
      <c r="C843" s="2" t="s">
        <v>594</v>
      </c>
      <c r="D843" s="2" t="str">
        <f t="shared" si="12"/>
        <v>Error?</v>
      </c>
    </row>
    <row r="844" spans="1:4" x14ac:dyDescent="0.2">
      <c r="A844" s="5">
        <v>783</v>
      </c>
      <c r="B844" s="138">
        <f>'Expenditures 15-22'!E44</f>
        <v>42491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42491</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16688</v>
      </c>
      <c r="D849" s="2" t="str">
        <f t="shared" si="12"/>
        <v>Error?</v>
      </c>
    </row>
    <row r="850" spans="1:4" x14ac:dyDescent="0.2">
      <c r="A850" s="5">
        <v>789</v>
      </c>
      <c r="B850" s="138">
        <f>'Expenditures 15-22'!E53</f>
        <v>16688</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89890</v>
      </c>
      <c r="D854" s="2" t="str">
        <f t="shared" si="12"/>
        <v>Error?</v>
      </c>
    </row>
    <row r="855" spans="1:4" x14ac:dyDescent="0.2">
      <c r="A855" s="5">
        <v>794</v>
      </c>
      <c r="B855" s="138">
        <f>'Expenditures 15-22'!E60</f>
        <v>11245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101135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207288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274873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6443</v>
      </c>
      <c r="C894" s="2" t="s">
        <v>594</v>
      </c>
      <c r="D894" s="2" t="str">
        <f t="shared" si="12"/>
        <v>Error?</v>
      </c>
    </row>
    <row r="895" spans="1:4" x14ac:dyDescent="0.2">
      <c r="A895" s="5">
        <v>834</v>
      </c>
      <c r="B895" s="138">
        <f>'Expenditures 15-22'!F36</f>
        <v>2524</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7010</v>
      </c>
      <c r="D897" s="2" t="str">
        <f t="shared" si="13"/>
        <v>Error?</v>
      </c>
    </row>
    <row r="898" spans="1:4" x14ac:dyDescent="0.2">
      <c r="A898" s="5">
        <v>837</v>
      </c>
      <c r="B898" s="138">
        <f>'Expenditures 15-22'!F39</f>
        <v>4687</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14221</v>
      </c>
      <c r="C901" s="2" t="s">
        <v>594</v>
      </c>
      <c r="D901" s="2" t="str">
        <f t="shared" si="13"/>
        <v>Error?</v>
      </c>
    </row>
    <row r="902" spans="1:4" x14ac:dyDescent="0.2">
      <c r="A902" s="5">
        <v>841</v>
      </c>
      <c r="B902" s="138">
        <f>'Expenditures 15-22'!F44</f>
        <v>9277</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9277</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2576</v>
      </c>
      <c r="D912" s="2" t="str">
        <f t="shared" si="13"/>
        <v>Error?</v>
      </c>
    </row>
    <row r="913" spans="1:4" x14ac:dyDescent="0.2">
      <c r="A913" s="5">
        <v>852</v>
      </c>
      <c r="B913" s="138">
        <f>'Expenditures 15-22'!F60</f>
        <v>2580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5156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28654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35097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2586</v>
      </c>
      <c r="C952" s="2" t="s">
        <v>594</v>
      </c>
      <c r="D952" s="2" t="str">
        <f t="shared" si="13"/>
        <v>Error?</v>
      </c>
    </row>
    <row r="953" spans="1:4" x14ac:dyDescent="0.2">
      <c r="A953" s="5">
        <v>892</v>
      </c>
      <c r="B953" s="138">
        <f>'Expenditures 15-22'!G36</f>
        <v>1319</v>
      </c>
      <c r="D953" s="2" t="str">
        <f t="shared" si="13"/>
        <v>Error?</v>
      </c>
    </row>
    <row r="954" spans="1:4" x14ac:dyDescent="0.2">
      <c r="A954" s="5">
        <v>893</v>
      </c>
      <c r="B954" s="138">
        <f>'Expenditures 15-22'!G37</f>
        <v>0</v>
      </c>
      <c r="D954" s="2" t="str">
        <f t="shared" si="13"/>
        <v>Error?</v>
      </c>
    </row>
    <row r="955" spans="1:4" x14ac:dyDescent="0.2">
      <c r="A955" s="5">
        <v>894</v>
      </c>
      <c r="B955" s="138">
        <f>'Expenditures 15-22'!G38</f>
        <v>3297</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4616</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1319</v>
      </c>
      <c r="D965" s="2" t="str">
        <f t="shared" si="14"/>
        <v>Error?</v>
      </c>
    </row>
    <row r="966" spans="1:4" x14ac:dyDescent="0.2">
      <c r="A966" s="5">
        <v>905</v>
      </c>
      <c r="B966" s="138">
        <f>'Expenditures 15-22'!G53</f>
        <v>1319</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5935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8521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4496</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4496</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5387</v>
      </c>
      <c r="D1023" s="2" t="str">
        <f t="shared" ref="D1023:D1086" si="15">IF(ISBLANK(B1023),"OK",IF(A1023-B1023=0,"OK","Error?"))</f>
        <v>Error?</v>
      </c>
    </row>
    <row r="1024" spans="1:4" x14ac:dyDescent="0.2">
      <c r="A1024" s="5">
        <v>963</v>
      </c>
      <c r="B1024" s="138">
        <f>'Expenditures 15-22'!H53</f>
        <v>5387</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9883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2049791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2059674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62744</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370</v>
      </c>
      <c r="C1107" s="2" t="s">
        <v>594</v>
      </c>
      <c r="D1107" s="2" t="str">
        <f t="shared" si="16"/>
        <v>Error?</v>
      </c>
    </row>
    <row r="1108" spans="1:4" x14ac:dyDescent="0.2">
      <c r="A1108" s="5">
        <v>1047</v>
      </c>
      <c r="B1108" s="138">
        <f>'Expenditures 15-22'!K33</f>
        <v>705304</v>
      </c>
      <c r="C1108" s="2" t="s">
        <v>594</v>
      </c>
      <c r="D1108" s="2" t="str">
        <f t="shared" si="16"/>
        <v>Error?</v>
      </c>
    </row>
    <row r="1109" spans="1:4" x14ac:dyDescent="0.2">
      <c r="A1109" s="5">
        <v>1048</v>
      </c>
      <c r="B1109" s="138">
        <f>'Expenditures 15-22'!K36</f>
        <v>271572</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474723</v>
      </c>
      <c r="C1111" s="2" t="s">
        <v>594</v>
      </c>
      <c r="D1111" s="2" t="str">
        <f t="shared" si="16"/>
        <v>Error?</v>
      </c>
    </row>
    <row r="1112" spans="1:4" x14ac:dyDescent="0.2">
      <c r="A1112" s="5">
        <v>1051</v>
      </c>
      <c r="B1112" s="138">
        <f>'Expenditures 15-22'!K39</f>
        <v>447478</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41717</v>
      </c>
      <c r="C1114" s="2" t="s">
        <v>594</v>
      </c>
      <c r="D1114" s="2" t="str">
        <f t="shared" si="16"/>
        <v>Error?</v>
      </c>
    </row>
    <row r="1115" spans="1:4" x14ac:dyDescent="0.2">
      <c r="A1115" s="5">
        <v>1054</v>
      </c>
      <c r="B1115" s="138">
        <f>'Expenditures 15-22'!K42</f>
        <v>1235490</v>
      </c>
      <c r="C1115" s="2" t="s">
        <v>594</v>
      </c>
      <c r="D1115" s="2" t="str">
        <f t="shared" si="16"/>
        <v>Error?</v>
      </c>
    </row>
    <row r="1116" spans="1:4" x14ac:dyDescent="0.2">
      <c r="A1116" s="5">
        <v>1055</v>
      </c>
      <c r="B1116" s="138">
        <f>'Expenditures 15-22'!K44</f>
        <v>56264</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56264</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330653</v>
      </c>
      <c r="C1121" s="2" t="s">
        <v>594</v>
      </c>
      <c r="D1121" s="2" t="str">
        <f t="shared" si="16"/>
        <v>Error?</v>
      </c>
    </row>
    <row r="1122" spans="1:4" x14ac:dyDescent="0.2">
      <c r="A1122" s="5">
        <v>1061</v>
      </c>
      <c r="B1122" s="138">
        <f>'Expenditures 15-22'!K53</f>
        <v>330653</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173047</v>
      </c>
      <c r="C1126" s="2" t="s">
        <v>594</v>
      </c>
      <c r="D1126" s="2" t="str">
        <f t="shared" si="16"/>
        <v>Error?</v>
      </c>
    </row>
    <row r="1127" spans="1:4" x14ac:dyDescent="0.2">
      <c r="A1127" s="5">
        <v>1066</v>
      </c>
      <c r="B1127" s="138">
        <f>'Expenditures 15-22'!K60</f>
        <v>68581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241628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1864035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2049791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4619130</v>
      </c>
      <c r="C1152" s="2" t="s">
        <v>594</v>
      </c>
      <c r="D1152" s="2" t="str">
        <f t="shared" si="17"/>
        <v>Error?</v>
      </c>
    </row>
    <row r="1153" spans="1:4" x14ac:dyDescent="0.2">
      <c r="A1153" s="5">
        <v>1092</v>
      </c>
      <c r="B1153" s="138">
        <f>'Expenditures 15-22'!K115</f>
        <v>281307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885562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1166869</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180715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180715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8521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8521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189236</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189236</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152499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152499</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6157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6157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158656</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158656</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30580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30580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2471491</v>
      </c>
      <c r="C2551" s="2" t="s">
        <v>594</v>
      </c>
      <c r="D2551" s="2" t="str">
        <f t="shared" si="38"/>
        <v>Error?</v>
      </c>
    </row>
    <row r="2552" spans="1:4" x14ac:dyDescent="0.2">
      <c r="A2552" s="10">
        <v>2491</v>
      </c>
      <c r="D2552" s="2" t="str">
        <f t="shared" si="38"/>
        <v>OK</v>
      </c>
    </row>
    <row r="2553" spans="1:4" x14ac:dyDescent="0.2">
      <c r="A2553" s="5">
        <v>2492</v>
      </c>
      <c r="B2553" s="138">
        <f>'Acct Summary 7-8'!C6</f>
        <v>225582</v>
      </c>
      <c r="C2553" s="2" t="s">
        <v>594</v>
      </c>
      <c r="D2553" s="2" t="str">
        <f t="shared" si="38"/>
        <v>Error?</v>
      </c>
    </row>
    <row r="2554" spans="1:4" x14ac:dyDescent="0.2">
      <c r="A2554" s="5">
        <v>2493</v>
      </c>
      <c r="B2554" s="138">
        <f>'Acct Summary 7-8'!C7</f>
        <v>2203364</v>
      </c>
      <c r="C2554" s="2" t="s">
        <v>594</v>
      </c>
      <c r="D2554" s="2" t="str">
        <f t="shared" si="38"/>
        <v>Error?</v>
      </c>
    </row>
    <row r="2555" spans="1:4" x14ac:dyDescent="0.2">
      <c r="A2555" s="5">
        <v>2494</v>
      </c>
      <c r="B2555" s="138">
        <f>'Acct Summary 7-8'!C8</f>
        <v>4900437</v>
      </c>
      <c r="C2555" s="2" t="s">
        <v>594</v>
      </c>
      <c r="D2555" s="2" t="str">
        <f t="shared" si="38"/>
        <v>Error?</v>
      </c>
    </row>
    <row r="2556" spans="1:4" x14ac:dyDescent="0.2">
      <c r="A2556" s="5">
        <v>2495</v>
      </c>
      <c r="B2556" s="138">
        <f>'Acct Summary 7-8'!C12</f>
        <v>705304</v>
      </c>
      <c r="C2556" s="2" t="s">
        <v>594</v>
      </c>
      <c r="D2556" s="2" t="str">
        <f t="shared" si="38"/>
        <v>Error?</v>
      </c>
    </row>
    <row r="2557" spans="1:4" x14ac:dyDescent="0.2">
      <c r="A2557" s="5">
        <v>2496</v>
      </c>
      <c r="B2557" s="138">
        <f>'Acct Summary 7-8'!C13</f>
        <v>1864035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2049791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4619130</v>
      </c>
      <c r="C2561" s="2" t="s">
        <v>594</v>
      </c>
      <c r="D2561" s="2" t="str">
        <f t="shared" si="39"/>
        <v>Error?</v>
      </c>
    </row>
    <row r="2562" spans="1:4" x14ac:dyDescent="0.2">
      <c r="A2562" s="5">
        <v>2501</v>
      </c>
      <c r="B2562" s="138">
        <f>'Acct Summary 7-8'!C20</f>
        <v>281307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1711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1711</v>
      </c>
      <c r="D2914" s="2" t="str">
        <f t="shared" si="44"/>
        <v>Error?</v>
      </c>
    </row>
    <row r="2915" spans="1:4" x14ac:dyDescent="0.2">
      <c r="A2915" s="10">
        <v>2854</v>
      </c>
      <c r="D2915" s="2" t="str">
        <f t="shared" si="44"/>
        <v>OK</v>
      </c>
    </row>
    <row r="2916" spans="1:4" x14ac:dyDescent="0.2">
      <c r="A2916" s="5">
        <v>2855</v>
      </c>
      <c r="B2916" s="138">
        <f>'Assets-Liab 5-6'!L34</f>
        <v>1711</v>
      </c>
      <c r="C2916" s="2" t="s">
        <v>594</v>
      </c>
      <c r="D2916" s="2" t="str">
        <f t="shared" si="44"/>
        <v>Error?</v>
      </c>
    </row>
    <row r="2917" spans="1:4" x14ac:dyDescent="0.2">
      <c r="A2917" s="5">
        <v>2856</v>
      </c>
      <c r="B2917" s="138">
        <f>'Assets-Liab 5-6'!L41</f>
        <v>1711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281307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454988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111871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66302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6443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2586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642190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928841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1711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930058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5830495</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930058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5549188</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1166869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27365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61055</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706498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706498</v>
      </c>
      <c r="C5087" s="2" t="s">
        <v>594</v>
      </c>
      <c r="D5087" s="2" t="str">
        <f t="shared" si="78"/>
        <v>Error?</v>
      </c>
    </row>
    <row r="5088" spans="1:4" x14ac:dyDescent="0.2">
      <c r="A5088" s="5">
        <v>5027</v>
      </c>
      <c r="B5088" s="138">
        <f>'Revenues 9-14'!C65</f>
        <v>1235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1235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1764516</v>
      </c>
      <c r="D5115" s="2" t="str">
        <f t="shared" si="78"/>
        <v>Error?</v>
      </c>
    </row>
    <row r="5116" spans="1:4" x14ac:dyDescent="0.2">
      <c r="A5116" s="5">
        <v>5055</v>
      </c>
      <c r="B5116" s="138">
        <f>'Revenues 9-14'!C99</f>
        <v>-758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1763758</v>
      </c>
      <c r="C5120" s="2" t="s">
        <v>594</v>
      </c>
      <c r="D5120" s="2" t="str">
        <f t="shared" si="79"/>
        <v>Error?</v>
      </c>
    </row>
    <row r="5121" spans="1:4" x14ac:dyDescent="0.2">
      <c r="A5121" s="5">
        <v>5060</v>
      </c>
      <c r="B5121" s="138">
        <f>'Revenues 9-14'!C109</f>
        <v>2471491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225486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225486</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96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225582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6579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1911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8490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94078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2012376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2106454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2203364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2203364</v>
      </c>
      <c r="C5326" s="2" t="s">
        <v>594</v>
      </c>
      <c r="D5326" s="2" t="str">
        <f t="shared" si="82"/>
        <v>Error?</v>
      </c>
    </row>
    <row r="5327" spans="1:4" x14ac:dyDescent="0.2">
      <c r="A5327" s="5">
        <v>5266</v>
      </c>
      <c r="B5327" s="138">
        <f>'Revenues 9-14'!C275</f>
        <v>4900437</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521145</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7419</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317442</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4086</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249920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281307</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0.24107847581862232</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2049791</v>
      </c>
      <c r="D6998" s="2" t="str">
        <f t="shared" si="108"/>
        <v>Error?</v>
      </c>
    </row>
    <row r="6999" spans="1:4" x14ac:dyDescent="0.2">
      <c r="A6999">
        <v>6938</v>
      </c>
      <c r="B6999" s="138">
        <f>'Expenditures 15-22'!K94</f>
        <v>2049791</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2049791</v>
      </c>
      <c r="D7012" s="2" t="str">
        <f t="shared" si="108"/>
        <v>Error?</v>
      </c>
    </row>
    <row r="7013" spans="1:4" x14ac:dyDescent="0.2">
      <c r="A7013">
        <v>6952</v>
      </c>
      <c r="B7013" s="138">
        <f>'Expenditures 15-22'!K100</f>
        <v>2049791</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6157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0</v>
      </c>
      <c r="D7797" s="2" t="str">
        <f t="shared" si="127"/>
        <v>Error?</v>
      </c>
      <c r="E7797" s="4" t="s">
        <v>2017</v>
      </c>
    </row>
    <row r="7798" spans="1:5" x14ac:dyDescent="0.2">
      <c r="A7798">
        <v>7737</v>
      </c>
      <c r="B7798" s="138">
        <f>'Contracts Paid in CY 29'!F141</f>
        <v>0</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42" sqref="B4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54" t="s">
        <v>1253</v>
      </c>
      <c r="B2" s="2454"/>
      <c r="C2" s="2454"/>
      <c r="D2" s="2454"/>
      <c r="E2" s="2454"/>
      <c r="F2" s="2454"/>
      <c r="G2" s="2454"/>
      <c r="H2" s="2454"/>
      <c r="I2" s="2454"/>
      <c r="J2" s="2454"/>
      <c r="K2" s="2454"/>
      <c r="L2" s="2454"/>
    </row>
    <row r="3" spans="1:29" ht="13.5" customHeight="1" x14ac:dyDescent="0.2">
      <c r="A3" s="2440" t="s">
        <v>1252</v>
      </c>
      <c r="B3" s="2440"/>
      <c r="C3" s="2440"/>
      <c r="D3" s="2440"/>
      <c r="E3" s="2440"/>
      <c r="F3" s="2440"/>
      <c r="G3" s="2440"/>
      <c r="H3" s="2440"/>
      <c r="I3" s="2440"/>
      <c r="J3" s="2440"/>
      <c r="K3" s="2440"/>
      <c r="L3" s="2440"/>
    </row>
    <row r="4" spans="1:29" ht="13.5" customHeight="1" x14ac:dyDescent="0.2">
      <c r="A4" s="2454" t="s">
        <v>1799</v>
      </c>
      <c r="B4" s="2471"/>
      <c r="C4" s="2471"/>
      <c r="D4" s="2471"/>
      <c r="E4" s="2471"/>
      <c r="F4" s="2471"/>
      <c r="G4" s="2471"/>
      <c r="H4" s="2471"/>
      <c r="I4" s="2471"/>
      <c r="J4" s="2471"/>
      <c r="K4" s="2471"/>
      <c r="L4" s="247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34" t="str">
        <f>COVER!A17</f>
        <v>Northwest SpEd Coop</v>
      </c>
      <c r="B7" s="2435"/>
      <c r="C7" s="2435"/>
      <c r="D7" s="2472"/>
      <c r="E7" s="2473">
        <f>COVER!A13</f>
        <v>8043210061</v>
      </c>
      <c r="F7" s="2474"/>
      <c r="G7" s="2441" t="str">
        <f>COVER!T23</f>
        <v>066-004023</v>
      </c>
      <c r="H7" s="2442"/>
      <c r="I7" s="2442"/>
      <c r="J7" s="2442"/>
      <c r="K7" s="2442"/>
      <c r="L7" s="244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44"/>
      <c r="B9" s="2445"/>
      <c r="C9" s="2445"/>
      <c r="D9" s="2445"/>
      <c r="E9" s="2445"/>
      <c r="F9" s="2446"/>
      <c r="G9" s="2447" t="str">
        <f>COVER!T13</f>
        <v>Wipfli LLP</v>
      </c>
      <c r="H9" s="2448"/>
      <c r="I9" s="2448"/>
      <c r="J9" s="2448"/>
      <c r="K9" s="2448"/>
      <c r="L9" s="2449"/>
    </row>
    <row r="10" spans="1:29" ht="13.5" customHeight="1" x14ac:dyDescent="0.2">
      <c r="A10" s="2431" t="str">
        <f>COVER!A38</f>
        <v>Tracy Dahl</v>
      </c>
      <c r="B10" s="2432"/>
      <c r="C10" s="2432"/>
      <c r="D10" s="2432"/>
      <c r="E10" s="2432"/>
      <c r="F10" s="2433"/>
      <c r="G10" s="2447" t="str">
        <f>COVER!T17</f>
        <v>403 East Third</v>
      </c>
      <c r="H10" s="2460"/>
      <c r="I10" s="2460"/>
      <c r="J10" s="2460"/>
      <c r="K10" s="2460"/>
      <c r="L10" s="2461"/>
    </row>
    <row r="11" spans="1:29" ht="13.5" customHeight="1" x14ac:dyDescent="0.2">
      <c r="A11" s="1185" t="s">
        <v>1599</v>
      </c>
      <c r="B11" s="1186"/>
      <c r="C11" s="1187"/>
      <c r="D11" s="1192"/>
      <c r="E11" s="1187"/>
      <c r="F11" s="1191"/>
      <c r="G11" s="2447" t="str">
        <f>COVER!T19</f>
        <v>Sterling</v>
      </c>
      <c r="H11" s="2460"/>
      <c r="I11" s="2460"/>
      <c r="J11" s="2460"/>
      <c r="K11" s="2460"/>
      <c r="L11" s="2461"/>
    </row>
    <row r="12" spans="1:29" ht="13.5" customHeight="1" x14ac:dyDescent="0.2">
      <c r="A12" s="2465" t="s">
        <v>1598</v>
      </c>
      <c r="B12" s="2466"/>
      <c r="C12" s="2466"/>
      <c r="D12" s="2466"/>
      <c r="E12" s="2466"/>
      <c r="F12" s="2467"/>
      <c r="G12" s="2462"/>
      <c r="H12" s="2463"/>
      <c r="I12" s="2463"/>
      <c r="J12" s="2463"/>
      <c r="K12" s="2463"/>
      <c r="L12" s="2464"/>
    </row>
    <row r="13" spans="1:29" ht="13.5" customHeight="1" x14ac:dyDescent="0.2">
      <c r="A13" s="2447"/>
      <c r="B13" s="2460"/>
      <c r="C13" s="2460"/>
      <c r="D13" s="2460"/>
      <c r="E13" s="2460"/>
      <c r="F13" s="2461"/>
      <c r="G13" s="2455" t="s">
        <v>1600</v>
      </c>
      <c r="H13" s="2456"/>
      <c r="I13" s="2468" t="str">
        <f>COVER!T25</f>
        <v>mschueler@wipfli.com</v>
      </c>
      <c r="J13" s="2469"/>
      <c r="K13" s="2469"/>
      <c r="L13" s="2470"/>
    </row>
    <row r="14" spans="1:29" ht="13.5" customHeight="1" x14ac:dyDescent="0.2">
      <c r="A14" s="2447" t="str">
        <f>COVER!A19</f>
        <v>310 N. West Street</v>
      </c>
      <c r="B14" s="2460"/>
      <c r="C14" s="2460"/>
      <c r="D14" s="2460"/>
      <c r="E14" s="2460"/>
      <c r="F14" s="2461"/>
      <c r="G14" s="1196" t="s">
        <v>1247</v>
      </c>
      <c r="H14" s="1194"/>
      <c r="I14" s="1194"/>
      <c r="J14" s="1194"/>
      <c r="K14" s="1194"/>
      <c r="L14" s="1195"/>
    </row>
    <row r="15" spans="1:29" ht="13.5" customHeight="1" x14ac:dyDescent="0.2">
      <c r="A15" s="2447" t="str">
        <f>COVER!A21</f>
        <v>Elizabeth</v>
      </c>
      <c r="B15" s="2460"/>
      <c r="C15" s="2460"/>
      <c r="D15" s="2460"/>
      <c r="E15" s="2460"/>
      <c r="F15" s="2461"/>
      <c r="G15" s="2457" t="str">
        <f>COVER!T15</f>
        <v>Matthew Schueler</v>
      </c>
      <c r="H15" s="2458"/>
      <c r="I15" s="2458"/>
      <c r="J15" s="2458"/>
      <c r="K15" s="2458"/>
      <c r="L15" s="2459"/>
    </row>
    <row r="16" spans="1:29" ht="12.2" customHeight="1" x14ac:dyDescent="0.2">
      <c r="A16" s="2437">
        <f>COVER!A25</f>
        <v>61028</v>
      </c>
      <c r="B16" s="2438"/>
      <c r="C16" s="2438"/>
      <c r="D16" s="2438"/>
      <c r="E16" s="2438"/>
      <c r="F16" s="2439"/>
      <c r="G16" s="2450"/>
      <c r="H16" s="2451"/>
      <c r="I16" s="2451"/>
      <c r="J16" s="2451"/>
      <c r="K16" s="2451"/>
      <c r="L16" s="2452"/>
    </row>
    <row r="17" spans="1:13" ht="12.2" customHeight="1" x14ac:dyDescent="0.2">
      <c r="A17" s="2453"/>
      <c r="B17" s="2438"/>
      <c r="C17" s="2438"/>
      <c r="D17" s="2438"/>
      <c r="E17" s="2438"/>
      <c r="F17" s="2439"/>
      <c r="G17" s="1196" t="s">
        <v>1246</v>
      </c>
      <c r="H17" s="1194"/>
      <c r="I17" s="1194"/>
      <c r="J17" s="1194"/>
      <c r="K17" s="1198" t="s">
        <v>1245</v>
      </c>
      <c r="L17" s="1191"/>
      <c r="M17" s="1184"/>
    </row>
    <row r="18" spans="1:13" ht="12.2" customHeight="1" x14ac:dyDescent="0.2">
      <c r="A18" s="2431"/>
      <c r="B18" s="2432"/>
      <c r="C18" s="2432"/>
      <c r="D18" s="2432"/>
      <c r="E18" s="2432"/>
      <c r="F18" s="2433"/>
      <c r="G18" s="2434" t="str">
        <f>COVER!T21</f>
        <v>815-626-1277</v>
      </c>
      <c r="H18" s="2435"/>
      <c r="I18" s="2435"/>
      <c r="J18" s="2435"/>
      <c r="K18" s="2434" t="str">
        <f>COVER!X21</f>
        <v>815-626-9118</v>
      </c>
      <c r="L18" s="243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2083</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2083</v>
      </c>
      <c r="C26" s="1203" t="s">
        <v>1801</v>
      </c>
    </row>
    <row r="27" spans="1:13" s="1199" customFormat="1" ht="9" customHeight="1" x14ac:dyDescent="0.2">
      <c r="B27" s="1204"/>
      <c r="C27" s="1203"/>
    </row>
    <row r="28" spans="1:13" s="1199" customFormat="1" ht="12.2" customHeight="1" x14ac:dyDescent="0.2">
      <c r="A28" s="1206"/>
      <c r="B28" s="1202" t="s">
        <v>2083</v>
      </c>
      <c r="C28" s="1203" t="s">
        <v>1802</v>
      </c>
    </row>
    <row r="29" spans="1:13" s="1199" customFormat="1" ht="9" customHeight="1" x14ac:dyDescent="0.2">
      <c r="A29" s="1206"/>
      <c r="B29" s="1204"/>
      <c r="C29" s="1203"/>
    </row>
    <row r="30" spans="1:13" s="1199" customFormat="1" ht="12.2" customHeight="1" x14ac:dyDescent="0.2">
      <c r="B30" s="1202" t="s">
        <v>2083</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2083</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2083</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2083</v>
      </c>
      <c r="C38" s="1203" t="s">
        <v>1647</v>
      </c>
    </row>
    <row r="39" spans="1:8" ht="9" customHeight="1" x14ac:dyDescent="0.2">
      <c r="B39" s="1204"/>
      <c r="C39" s="1207"/>
    </row>
    <row r="40" spans="1:8" s="1199" customFormat="1" ht="13.5" customHeight="1" x14ac:dyDescent="0.2">
      <c r="B40" s="1202" t="s">
        <v>2083</v>
      </c>
      <c r="C40" s="1203" t="s">
        <v>1648</v>
      </c>
    </row>
    <row r="41" spans="1:8" ht="9" customHeight="1" x14ac:dyDescent="0.2">
      <c r="A41" s="1208"/>
      <c r="B41" s="1204"/>
      <c r="C41" s="1207"/>
    </row>
    <row r="42" spans="1:8" s="1199" customFormat="1" ht="13.5" customHeight="1" x14ac:dyDescent="0.2">
      <c r="B42" s="1202" t="s">
        <v>2083</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29" sqref="B29"/>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75" t="str">
        <f>'Single Audit Cover'!A7</f>
        <v>Northwest SpEd Coop</v>
      </c>
      <c r="B1" s="2471"/>
      <c r="C1" s="2471"/>
      <c r="D1" s="2471"/>
    </row>
    <row r="2" spans="1:11" s="1215" customFormat="1" ht="12.75" x14ac:dyDescent="0.2">
      <c r="A2" s="2476">
        <f>'Single Audit Cover'!E7</f>
        <v>8043210061</v>
      </c>
      <c r="B2" s="2477"/>
      <c r="C2" s="2477"/>
      <c r="D2" s="2477"/>
    </row>
    <row r="3" spans="1:11" s="1215" customFormat="1" ht="12.75" x14ac:dyDescent="0.2">
      <c r="A3" s="2475" t="s">
        <v>1593</v>
      </c>
      <c r="B3" s="2471"/>
      <c r="C3" s="2471"/>
      <c r="D3" s="247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79" t="str">
        <f>'Single Audit Cover'!A7</f>
        <v>Northwest SpEd Coop</v>
      </c>
      <c r="B1" s="2479"/>
      <c r="C1" s="2479"/>
      <c r="D1" s="2479"/>
      <c r="E1" s="2479"/>
    </row>
    <row r="2" spans="1:5" x14ac:dyDescent="0.2">
      <c r="A2" s="2480">
        <f>'Single Audit Cover'!E7</f>
        <v>8043210061</v>
      </c>
      <c r="B2" s="2480"/>
      <c r="C2" s="2480"/>
      <c r="D2" s="2480"/>
      <c r="E2" s="2480"/>
    </row>
    <row r="3" spans="1:5" ht="4.5" customHeight="1" x14ac:dyDescent="0.2"/>
    <row r="4" spans="1:5" x14ac:dyDescent="0.2">
      <c r="A4" s="2479" t="s">
        <v>1307</v>
      </c>
      <c r="B4" s="2479"/>
      <c r="C4" s="2479"/>
      <c r="D4" s="2479"/>
      <c r="E4" s="2479"/>
    </row>
    <row r="5" spans="1:5" x14ac:dyDescent="0.2">
      <c r="A5" s="2482" t="str">
        <f>'Single Audit Cover'!A4</f>
        <v>Year Ending June 30, 2018</v>
      </c>
      <c r="B5" s="2482"/>
      <c r="C5" s="2482"/>
      <c r="D5" s="2482"/>
      <c r="E5" s="2482"/>
    </row>
    <row r="6" spans="1:5" x14ac:dyDescent="0.2">
      <c r="A6" s="2479" t="s">
        <v>1306</v>
      </c>
      <c r="B6" s="2479"/>
      <c r="C6" s="2479"/>
      <c r="D6" s="2479"/>
      <c r="E6" s="2479"/>
    </row>
    <row r="8" spans="1:5" x14ac:dyDescent="0.2">
      <c r="A8" s="1260" t="s">
        <v>1305</v>
      </c>
    </row>
    <row r="10" spans="1:5" x14ac:dyDescent="0.2">
      <c r="A10" s="1261" t="s">
        <v>1304</v>
      </c>
      <c r="B10" s="1262" t="s">
        <v>1303</v>
      </c>
      <c r="C10" s="1262"/>
      <c r="D10" s="1263">
        <f>SUM('Acct Summary 7-8'!C7:K7)</f>
        <v>2203364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2203364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81"/>
      <c r="B24" s="2481"/>
      <c r="D24" s="1268"/>
    </row>
    <row r="25" spans="1:4" x14ac:dyDescent="0.2">
      <c r="A25" s="2478"/>
      <c r="B25" s="2478"/>
      <c r="D25" s="1268"/>
    </row>
    <row r="26" spans="1:4" x14ac:dyDescent="0.2">
      <c r="A26" s="2478"/>
      <c r="B26" s="2478"/>
      <c r="D26" s="1268"/>
    </row>
    <row r="27" spans="1:4" x14ac:dyDescent="0.2">
      <c r="A27" s="2478"/>
      <c r="B27" s="2478"/>
      <c r="D27" s="1268"/>
    </row>
    <row r="28" spans="1:4" x14ac:dyDescent="0.2">
      <c r="A28" s="2478"/>
      <c r="B28" s="2478"/>
      <c r="D28" s="1268"/>
    </row>
    <row r="29" spans="1:4" x14ac:dyDescent="0.2">
      <c r="A29" s="2478"/>
      <c r="B29" s="2478"/>
      <c r="D29" s="1268"/>
    </row>
    <row r="30" spans="1:4" x14ac:dyDescent="0.2">
      <c r="A30" s="2478"/>
      <c r="B30" s="2478"/>
      <c r="D30" s="1268"/>
    </row>
    <row r="32" spans="1:4" x14ac:dyDescent="0.2">
      <c r="A32" s="1260" t="s">
        <v>1295</v>
      </c>
      <c r="D32" s="1263">
        <f>SUM(D19:D30)</f>
        <v>2203364</v>
      </c>
    </row>
    <row r="33" spans="1:4" x14ac:dyDescent="0.2">
      <c r="D33" s="1269"/>
    </row>
    <row r="34" spans="1:4" x14ac:dyDescent="0.2">
      <c r="A34" s="317" t="s">
        <v>1294</v>
      </c>
    </row>
    <row r="35" spans="1:4" x14ac:dyDescent="0.2">
      <c r="A35" s="317" t="s">
        <v>1293</v>
      </c>
      <c r="B35" s="1258" t="s">
        <v>1292</v>
      </c>
      <c r="D35" s="1270">
        <v>2214870</v>
      </c>
    </row>
    <row r="37" spans="1:4" x14ac:dyDescent="0.2">
      <c r="A37" s="1260" t="s">
        <v>1291</v>
      </c>
    </row>
    <row r="39" spans="1:4" ht="13.35" customHeight="1" x14ac:dyDescent="0.2">
      <c r="A39" s="1267" t="s">
        <v>1290</v>
      </c>
    </row>
    <row r="40" spans="1:4" x14ac:dyDescent="0.2">
      <c r="A40" s="2478" t="s">
        <v>2090</v>
      </c>
      <c r="B40" s="2478"/>
      <c r="D40" s="1268">
        <v>-11507</v>
      </c>
    </row>
    <row r="41" spans="1:4" x14ac:dyDescent="0.2">
      <c r="A41" s="2478" t="s">
        <v>2091</v>
      </c>
      <c r="B41" s="2478"/>
      <c r="D41" s="1271">
        <v>1</v>
      </c>
    </row>
    <row r="42" spans="1:4" x14ac:dyDescent="0.2">
      <c r="A42" s="2478"/>
      <c r="B42" s="2478"/>
      <c r="D42" s="1271"/>
    </row>
    <row r="43" spans="1:4" x14ac:dyDescent="0.2">
      <c r="A43" s="2478"/>
      <c r="B43" s="2478"/>
      <c r="D43" s="1271"/>
    </row>
    <row r="44" spans="1:4" x14ac:dyDescent="0.2">
      <c r="A44" s="2478"/>
      <c r="B44" s="2478"/>
      <c r="D44" s="1271"/>
    </row>
    <row r="45" spans="1:4" x14ac:dyDescent="0.2">
      <c r="A45" s="2478"/>
      <c r="B45" s="2478"/>
      <c r="D45" s="1271"/>
    </row>
    <row r="47" spans="1:4" x14ac:dyDescent="0.2">
      <c r="B47" s="1272" t="s">
        <v>1289</v>
      </c>
      <c r="C47" s="1272"/>
      <c r="D47" s="1273">
        <f>SUM(D35:D45)</f>
        <v>2203364</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B17" sqref="B17:B20"/>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84" t="str">
        <f>'Single Audit Cover'!A7</f>
        <v>Northwest SpEd Coop</v>
      </c>
      <c r="B1" s="2484"/>
      <c r="C1" s="2484"/>
      <c r="D1" s="2484"/>
      <c r="E1" s="2484"/>
      <c r="F1" s="2484"/>
    </row>
    <row r="2" spans="1:7" ht="13.5" customHeight="1" x14ac:dyDescent="0.2">
      <c r="A2" s="2485">
        <f>'Single Audit Cover'!E7</f>
        <v>8043210061</v>
      </c>
      <c r="B2" s="2485"/>
      <c r="C2" s="2485"/>
      <c r="D2" s="2485"/>
      <c r="E2" s="2485"/>
      <c r="F2" s="2485"/>
      <c r="G2" s="1275"/>
    </row>
    <row r="3" spans="1:7" ht="15.75" customHeight="1" x14ac:dyDescent="0.2">
      <c r="A3" s="2486" t="s">
        <v>1333</v>
      </c>
      <c r="B3" s="2486"/>
      <c r="C3" s="2486"/>
      <c r="D3" s="2486"/>
      <c r="E3" s="2486"/>
      <c r="F3" s="2486"/>
    </row>
    <row r="4" spans="1:7" ht="13.5" customHeight="1" x14ac:dyDescent="0.2">
      <c r="A4" s="2487" t="str">
        <f>'Single Audit Cover'!A4</f>
        <v>Year Ending June 30, 2018</v>
      </c>
      <c r="B4" s="2487"/>
      <c r="C4" s="2487"/>
      <c r="D4" s="2487"/>
      <c r="E4" s="2487"/>
      <c r="F4" s="2487"/>
    </row>
    <row r="5" spans="1:7" ht="8.25" customHeight="1" x14ac:dyDescent="0.2">
      <c r="C5" s="317"/>
      <c r="D5" s="317"/>
    </row>
    <row r="6" spans="1:7" ht="13.5" customHeight="1" x14ac:dyDescent="0.2">
      <c r="A6" s="1276" t="s">
        <v>1831</v>
      </c>
      <c r="C6" s="317"/>
      <c r="D6" s="317"/>
    </row>
    <row r="7" spans="1:7" ht="60.95" customHeight="1" x14ac:dyDescent="0.2">
      <c r="A7" s="2483" t="s">
        <v>2092</v>
      </c>
      <c r="B7" s="2483"/>
      <c r="C7" s="2483"/>
      <c r="D7" s="2483"/>
      <c r="E7" s="2483"/>
      <c r="F7" s="2483"/>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2083</v>
      </c>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83" t="s">
        <v>2109</v>
      </c>
      <c r="B13" s="2483"/>
      <c r="C13" s="2483"/>
      <c r="D13" s="2483"/>
      <c r="E13" s="2483"/>
      <c r="F13" s="2483"/>
    </row>
    <row r="14" spans="1:7" ht="9.75" customHeight="1" x14ac:dyDescent="0.2">
      <c r="C14" s="1260"/>
      <c r="D14" s="1260"/>
    </row>
    <row r="15" spans="1:7" ht="13.5" customHeight="1" x14ac:dyDescent="0.2">
      <c r="C15" s="1870" t="s">
        <v>1332</v>
      </c>
      <c r="D15" s="2489" t="s">
        <v>1331</v>
      </c>
      <c r="E15" s="2489"/>
      <c r="F15" s="2489"/>
    </row>
    <row r="16" spans="1:7" ht="13.5" customHeight="1" x14ac:dyDescent="0.2">
      <c r="A16" s="1282"/>
      <c r="B16" s="1276" t="s">
        <v>1330</v>
      </c>
      <c r="C16" s="1870" t="s">
        <v>1329</v>
      </c>
      <c r="D16" s="2490" t="s">
        <v>1670</v>
      </c>
      <c r="E16" s="2490"/>
      <c r="F16" s="2490"/>
    </row>
    <row r="17" spans="1:6" ht="20.45" customHeight="1" x14ac:dyDescent="0.2">
      <c r="A17" s="1283"/>
      <c r="B17" s="1958" t="s">
        <v>2093</v>
      </c>
      <c r="C17" s="1961" t="s">
        <v>2104</v>
      </c>
      <c r="D17" s="2488">
        <v>5082</v>
      </c>
      <c r="E17" s="2488"/>
      <c r="F17" s="2488"/>
    </row>
    <row r="18" spans="1:6" ht="20.65" customHeight="1" x14ac:dyDescent="0.2">
      <c r="A18" s="1283"/>
      <c r="B18" s="1959" t="s">
        <v>2094</v>
      </c>
      <c r="C18" s="1961" t="s">
        <v>2104</v>
      </c>
      <c r="D18" s="2488">
        <v>16232</v>
      </c>
      <c r="E18" s="2488"/>
      <c r="F18" s="2488"/>
    </row>
    <row r="19" spans="1:6" ht="20.65" customHeight="1" x14ac:dyDescent="0.2">
      <c r="A19" s="1283"/>
      <c r="B19" s="1960" t="s">
        <v>2095</v>
      </c>
      <c r="C19" s="1962" t="s">
        <v>2104</v>
      </c>
      <c r="D19" s="2488">
        <v>5937</v>
      </c>
      <c r="E19" s="2488"/>
      <c r="F19" s="2488"/>
    </row>
    <row r="20" spans="1:6" ht="20.65" customHeight="1" x14ac:dyDescent="0.2">
      <c r="A20" s="1283"/>
      <c r="B20" s="1960" t="s">
        <v>2096</v>
      </c>
      <c r="C20" s="1962" t="s">
        <v>2104</v>
      </c>
      <c r="D20" s="2488">
        <v>6312</v>
      </c>
      <c r="E20" s="2488"/>
      <c r="F20" s="2488"/>
    </row>
    <row r="21" spans="1:6" ht="20.65" customHeight="1" x14ac:dyDescent="0.2">
      <c r="A21" s="1283"/>
      <c r="B21" s="1960" t="s">
        <v>2097</v>
      </c>
      <c r="C21" s="1962" t="s">
        <v>2104</v>
      </c>
      <c r="D21" s="2488">
        <v>2402</v>
      </c>
      <c r="E21" s="2488"/>
      <c r="F21" s="2488"/>
    </row>
    <row r="22" spans="1:6" ht="20.65" customHeight="1" x14ac:dyDescent="0.2">
      <c r="A22" s="1283"/>
      <c r="B22" s="1960" t="s">
        <v>2098</v>
      </c>
      <c r="C22" s="1962" t="s">
        <v>2104</v>
      </c>
      <c r="D22" s="2488">
        <v>10734</v>
      </c>
      <c r="E22" s="2488"/>
      <c r="F22" s="2488"/>
    </row>
    <row r="23" spans="1:6" ht="20.65" customHeight="1" x14ac:dyDescent="0.2">
      <c r="A23" s="1283"/>
      <c r="B23" s="1960" t="s">
        <v>2099</v>
      </c>
      <c r="C23" s="1962" t="s">
        <v>2104</v>
      </c>
      <c r="D23" s="2488">
        <v>6282</v>
      </c>
      <c r="E23" s="2488"/>
      <c r="F23" s="2488"/>
    </row>
    <row r="24" spans="1:6" ht="20.65" customHeight="1" x14ac:dyDescent="0.2">
      <c r="A24" s="1283"/>
      <c r="B24" s="1960" t="s">
        <v>2100</v>
      </c>
      <c r="C24" s="1962" t="s">
        <v>2104</v>
      </c>
      <c r="D24" s="2488">
        <v>4704</v>
      </c>
      <c r="E24" s="2488"/>
      <c r="F24" s="2488"/>
    </row>
    <row r="25" spans="1:6" ht="20.65" customHeight="1" x14ac:dyDescent="0.2">
      <c r="A25" s="1283"/>
      <c r="B25" s="1960" t="s">
        <v>2101</v>
      </c>
      <c r="C25" s="1962" t="s">
        <v>2104</v>
      </c>
      <c r="D25" s="2488">
        <v>13190</v>
      </c>
      <c r="E25" s="2488"/>
      <c r="F25" s="2488"/>
    </row>
    <row r="26" spans="1:6" ht="20.65" customHeight="1" x14ac:dyDescent="0.2">
      <c r="A26" s="1283"/>
      <c r="B26" s="1960" t="s">
        <v>2102</v>
      </c>
      <c r="C26" s="1962" t="s">
        <v>2104</v>
      </c>
      <c r="D26" s="2488">
        <v>9131</v>
      </c>
      <c r="E26" s="2488"/>
      <c r="F26" s="2488"/>
    </row>
    <row r="27" spans="1:6" ht="20.65" customHeight="1" x14ac:dyDescent="0.2">
      <c r="A27" s="1283"/>
      <c r="B27" s="1960" t="s">
        <v>2103</v>
      </c>
      <c r="C27" s="1962" t="s">
        <v>2104</v>
      </c>
      <c r="D27" s="2488">
        <v>14072</v>
      </c>
      <c r="E27" s="2488"/>
      <c r="F27" s="2488"/>
    </row>
    <row r="28" spans="1:6" ht="20.65" customHeight="1" x14ac:dyDescent="0.2">
      <c r="A28" s="1283"/>
      <c r="B28" s="1284" t="s">
        <v>158</v>
      </c>
      <c r="C28" s="1285"/>
      <c r="D28" s="2488">
        <v>94078</v>
      </c>
      <c r="E28" s="2488"/>
      <c r="F28" s="2488"/>
    </row>
    <row r="29" spans="1:6" ht="20.65" customHeight="1" x14ac:dyDescent="0.2">
      <c r="A29" s="1283"/>
      <c r="B29" s="1284"/>
      <c r="C29" s="1285"/>
      <c r="D29" s="2488"/>
      <c r="E29" s="2488"/>
      <c r="F29" s="2488"/>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92" t="s">
        <v>2105</v>
      </c>
      <c r="B32" s="2492"/>
      <c r="C32" s="2492"/>
      <c r="D32" s="2492"/>
      <c r="E32" s="2492"/>
      <c r="F32" s="2492"/>
    </row>
    <row r="33" spans="1:6" ht="13.5" customHeight="1" x14ac:dyDescent="0.2">
      <c r="A33" s="328" t="s">
        <v>1509</v>
      </c>
      <c r="B33" s="328"/>
      <c r="C33" s="1288">
        <v>0</v>
      </c>
      <c r="D33" s="1927"/>
      <c r="E33" s="1286"/>
    </row>
    <row r="34" spans="1:6" ht="13.5" customHeight="1" x14ac:dyDescent="0.2">
      <c r="A34" s="328" t="s">
        <v>1946</v>
      </c>
      <c r="B34" s="328"/>
      <c r="C34" s="1289">
        <v>0</v>
      </c>
      <c r="D34" s="1927" t="s">
        <v>1671</v>
      </c>
      <c r="E34" s="2493">
        <f>+C33+C34</f>
        <v>0</v>
      </c>
      <c r="F34" s="2494"/>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t="s">
        <v>2106</v>
      </c>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95" t="s">
        <v>1672</v>
      </c>
      <c r="C49" s="2495"/>
      <c r="D49" s="2495"/>
      <c r="E49" s="1399"/>
    </row>
    <row r="50" spans="1:5" s="1300" customFormat="1" ht="3.75" customHeight="1" x14ac:dyDescent="0.2">
      <c r="A50" s="1299"/>
      <c r="B50" s="1869"/>
      <c r="C50" s="1869"/>
      <c r="D50" s="1869"/>
      <c r="E50" s="1399"/>
    </row>
    <row r="51" spans="1:5" s="1300" customFormat="1" ht="20.25" customHeight="1" x14ac:dyDescent="0.2">
      <c r="A51" s="1301">
        <v>6</v>
      </c>
      <c r="B51" s="2491" t="s">
        <v>1632</v>
      </c>
      <c r="C51" s="2491"/>
      <c r="D51" s="2491"/>
    </row>
    <row r="52" spans="1:5" ht="14.25" customHeight="1" x14ac:dyDescent="0.2">
      <c r="A52" s="1301"/>
      <c r="B52" s="2491"/>
      <c r="C52" s="2491"/>
      <c r="D52" s="249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7" zoomScale="120" zoomScaleNormal="120" workbookViewId="0">
      <selection activeCell="M19" sqref="M1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84" t="str">
        <f>'Single Audit Cover'!A7</f>
        <v>Northwest SpEd Coop</v>
      </c>
      <c r="B1" s="2484"/>
      <c r="C1" s="2484"/>
      <c r="D1" s="2484"/>
      <c r="E1" s="2484"/>
      <c r="F1" s="2484"/>
    </row>
    <row r="2" spans="1:7" ht="13.5" customHeight="1" x14ac:dyDescent="0.2">
      <c r="A2" s="2485">
        <f>'Single Audit Cover'!E7</f>
        <v>8043210061</v>
      </c>
      <c r="B2" s="2485"/>
      <c r="C2" s="2485"/>
      <c r="D2" s="2485"/>
      <c r="E2" s="2485"/>
      <c r="F2" s="2485"/>
      <c r="G2" s="1275"/>
    </row>
    <row r="3" spans="1:7" ht="15.75" customHeight="1" x14ac:dyDescent="0.2">
      <c r="A3" s="2486" t="s">
        <v>1333</v>
      </c>
      <c r="B3" s="2486"/>
      <c r="C3" s="2486"/>
      <c r="D3" s="2486"/>
      <c r="E3" s="2486"/>
      <c r="F3" s="2486"/>
    </row>
    <row r="4" spans="1:7" ht="13.5" customHeight="1" x14ac:dyDescent="0.2">
      <c r="A4" s="2487" t="str">
        <f>'Single Audit Cover'!A4</f>
        <v>Year Ending June 30, 2018</v>
      </c>
      <c r="B4" s="2487"/>
      <c r="C4" s="2487"/>
      <c r="D4" s="2487"/>
      <c r="E4" s="2487"/>
      <c r="F4" s="2487"/>
    </row>
    <row r="5" spans="1:7" ht="8.25" customHeight="1" x14ac:dyDescent="0.2">
      <c r="C5" s="317"/>
      <c r="D5" s="317"/>
    </row>
    <row r="6" spans="1:7" ht="13.5" customHeight="1" x14ac:dyDescent="0.2">
      <c r="A6" s="1276" t="s">
        <v>1831</v>
      </c>
      <c r="C6" s="317"/>
      <c r="D6" s="317"/>
    </row>
    <row r="7" spans="1:7" ht="60.95" customHeight="1" x14ac:dyDescent="0.2">
      <c r="A7" s="2483" t="s">
        <v>2107</v>
      </c>
      <c r="B7" s="2483"/>
      <c r="C7" s="2483"/>
      <c r="D7" s="2483"/>
      <c r="E7" s="2483"/>
      <c r="F7" s="2483"/>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2083</v>
      </c>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83" t="s">
        <v>2108</v>
      </c>
      <c r="B13" s="2483"/>
      <c r="C13" s="2483"/>
      <c r="D13" s="2483"/>
      <c r="E13" s="2483"/>
      <c r="F13" s="2483"/>
    </row>
    <row r="14" spans="1:7" ht="9.75" customHeight="1" x14ac:dyDescent="0.2">
      <c r="C14" s="1260"/>
      <c r="D14" s="1260"/>
    </row>
    <row r="15" spans="1:7" ht="13.5" customHeight="1" x14ac:dyDescent="0.2">
      <c r="C15" s="1956" t="s">
        <v>1332</v>
      </c>
      <c r="D15" s="2489" t="s">
        <v>1331</v>
      </c>
      <c r="E15" s="2489"/>
      <c r="F15" s="2489"/>
    </row>
    <row r="16" spans="1:7" ht="13.5" customHeight="1" x14ac:dyDescent="0.2">
      <c r="A16" s="1282"/>
      <c r="B16" s="1276" t="s">
        <v>1330</v>
      </c>
      <c r="C16" s="1956" t="s">
        <v>1329</v>
      </c>
      <c r="D16" s="2490" t="s">
        <v>1670</v>
      </c>
      <c r="E16" s="2490"/>
      <c r="F16" s="2490"/>
    </row>
    <row r="17" spans="1:6" ht="20.45" customHeight="1" x14ac:dyDescent="0.2">
      <c r="A17" s="1283"/>
      <c r="B17" s="1963" t="s">
        <v>2093</v>
      </c>
      <c r="C17" s="1965" t="s">
        <v>2111</v>
      </c>
      <c r="D17" s="2488">
        <v>182027</v>
      </c>
      <c r="E17" s="2488"/>
      <c r="F17" s="2488"/>
    </row>
    <row r="18" spans="1:6" ht="20.65" customHeight="1" x14ac:dyDescent="0.2">
      <c r="A18" s="1283"/>
      <c r="B18" s="1963" t="s">
        <v>2094</v>
      </c>
      <c r="C18" s="1965" t="s">
        <v>2111</v>
      </c>
      <c r="D18" s="2488">
        <v>196404</v>
      </c>
      <c r="E18" s="2488"/>
      <c r="F18" s="2488"/>
    </row>
    <row r="19" spans="1:6" ht="20.65" customHeight="1" x14ac:dyDescent="0.2">
      <c r="A19" s="1283"/>
      <c r="B19" s="1964" t="s">
        <v>2095</v>
      </c>
      <c r="C19" s="1966" t="s">
        <v>2111</v>
      </c>
      <c r="D19" s="2488">
        <v>180123</v>
      </c>
      <c r="E19" s="2488"/>
      <c r="F19" s="2488"/>
    </row>
    <row r="20" spans="1:6" ht="20.65" customHeight="1" x14ac:dyDescent="0.2">
      <c r="A20" s="1283"/>
      <c r="B20" s="1964" t="s">
        <v>2096</v>
      </c>
      <c r="C20" s="1966" t="s">
        <v>2111</v>
      </c>
      <c r="D20" s="2488">
        <v>221744</v>
      </c>
      <c r="E20" s="2488"/>
      <c r="F20" s="2488"/>
    </row>
    <row r="21" spans="1:6" ht="20.65" customHeight="1" x14ac:dyDescent="0.2">
      <c r="A21" s="1283"/>
      <c r="B21" s="1964" t="s">
        <v>2097</v>
      </c>
      <c r="C21" s="1966" t="s">
        <v>2111</v>
      </c>
      <c r="D21" s="2488">
        <v>81782</v>
      </c>
      <c r="E21" s="2488"/>
      <c r="F21" s="2488"/>
    </row>
    <row r="22" spans="1:6" ht="20.65" customHeight="1" x14ac:dyDescent="0.2">
      <c r="A22" s="1283"/>
      <c r="B22" s="1964" t="s">
        <v>2098</v>
      </c>
      <c r="C22" s="1966" t="s">
        <v>2111</v>
      </c>
      <c r="D22" s="2488">
        <v>117456</v>
      </c>
      <c r="E22" s="2488"/>
      <c r="F22" s="2488"/>
    </row>
    <row r="23" spans="1:6" ht="20.65" customHeight="1" x14ac:dyDescent="0.2">
      <c r="A23" s="1283"/>
      <c r="B23" s="1964" t="s">
        <v>2099</v>
      </c>
      <c r="C23" s="1966" t="s">
        <v>2111</v>
      </c>
      <c r="D23" s="2488">
        <v>143763</v>
      </c>
      <c r="E23" s="2488"/>
      <c r="F23" s="2488"/>
    </row>
    <row r="24" spans="1:6" ht="20.65" customHeight="1" x14ac:dyDescent="0.2">
      <c r="A24" s="1283"/>
      <c r="B24" s="1964" t="s">
        <v>2100</v>
      </c>
      <c r="C24" s="1966" t="s">
        <v>2111</v>
      </c>
      <c r="D24" s="2488">
        <v>64810</v>
      </c>
      <c r="E24" s="2488"/>
      <c r="F24" s="2488"/>
    </row>
    <row r="25" spans="1:6" ht="20.65" customHeight="1" x14ac:dyDescent="0.2">
      <c r="A25" s="1283"/>
      <c r="B25" s="1964" t="s">
        <v>2101</v>
      </c>
      <c r="C25" s="1966" t="s">
        <v>2111</v>
      </c>
      <c r="D25" s="2488">
        <v>167665</v>
      </c>
      <c r="E25" s="2488"/>
      <c r="F25" s="2488"/>
    </row>
    <row r="26" spans="1:6" ht="20.65" customHeight="1" x14ac:dyDescent="0.2">
      <c r="A26" s="1283"/>
      <c r="B26" s="1964" t="s">
        <v>2102</v>
      </c>
      <c r="C26" s="1966" t="s">
        <v>2111</v>
      </c>
      <c r="D26" s="2488">
        <v>103722</v>
      </c>
      <c r="E26" s="2488"/>
      <c r="F26" s="2488"/>
    </row>
    <row r="27" spans="1:6" ht="20.65" customHeight="1" x14ac:dyDescent="0.2">
      <c r="A27" s="1283"/>
      <c r="B27" s="1964" t="s">
        <v>2103</v>
      </c>
      <c r="C27" s="1966" t="s">
        <v>2111</v>
      </c>
      <c r="D27" s="2488">
        <v>496217</v>
      </c>
      <c r="E27" s="2488"/>
      <c r="F27" s="2488"/>
    </row>
    <row r="28" spans="1:6" ht="20.65" customHeight="1" x14ac:dyDescent="0.2">
      <c r="A28" s="1283"/>
      <c r="B28" s="1963" t="s">
        <v>2112</v>
      </c>
      <c r="C28" s="1285"/>
      <c r="D28" s="2488">
        <v>1955713</v>
      </c>
      <c r="E28" s="2488"/>
      <c r="F28" s="2488"/>
    </row>
    <row r="29" spans="1:6" ht="20.65" customHeight="1" x14ac:dyDescent="0.2">
      <c r="A29" s="1283"/>
      <c r="B29" s="1284"/>
      <c r="C29" s="1285"/>
      <c r="D29" s="2488"/>
      <c r="E29" s="2488"/>
      <c r="F29" s="2488"/>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92" t="s">
        <v>2110</v>
      </c>
      <c r="B32" s="2492"/>
      <c r="C32" s="2492"/>
      <c r="D32" s="2492"/>
      <c r="E32" s="2492"/>
      <c r="F32" s="2492"/>
    </row>
    <row r="33" spans="1:6" ht="13.5" customHeight="1" x14ac:dyDescent="0.2">
      <c r="A33" s="328" t="s">
        <v>1509</v>
      </c>
      <c r="B33" s="328"/>
      <c r="C33" s="1288">
        <v>0</v>
      </c>
      <c r="D33" s="1927"/>
      <c r="E33" s="1286"/>
    </row>
    <row r="34" spans="1:6" ht="13.5" customHeight="1" x14ac:dyDescent="0.2">
      <c r="A34" s="328" t="s">
        <v>1946</v>
      </c>
      <c r="B34" s="328"/>
      <c r="C34" s="1289">
        <v>0</v>
      </c>
      <c r="D34" s="1927" t="s">
        <v>1671</v>
      </c>
      <c r="E34" s="2493">
        <f>+C33+C34</f>
        <v>0</v>
      </c>
      <c r="F34" s="2494"/>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t="s">
        <v>2106</v>
      </c>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95" t="s">
        <v>1672</v>
      </c>
      <c r="C49" s="2495"/>
      <c r="D49" s="2495"/>
      <c r="E49" s="1399"/>
    </row>
    <row r="50" spans="1:5" s="1300" customFormat="1" ht="3.75" customHeight="1" x14ac:dyDescent="0.2">
      <c r="A50" s="1299"/>
      <c r="B50" s="1957"/>
      <c r="C50" s="1957"/>
      <c r="D50" s="1957"/>
      <c r="E50" s="1399"/>
    </row>
    <row r="51" spans="1:5" s="1300" customFormat="1" ht="20.25" customHeight="1" x14ac:dyDescent="0.2">
      <c r="A51" s="1301">
        <v>6</v>
      </c>
      <c r="B51" s="2491" t="s">
        <v>1632</v>
      </c>
      <c r="C51" s="2491"/>
      <c r="D51" s="2491"/>
    </row>
    <row r="52" spans="1:5" ht="14.25" customHeight="1" x14ac:dyDescent="0.2">
      <c r="A52" s="1301"/>
      <c r="B52" s="2491"/>
      <c r="C52" s="2491"/>
      <c r="D52" s="2491"/>
    </row>
  </sheetData>
  <sheetProtection sheet="1" objects="1" scenarios="1"/>
  <mergeCells count="26">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4" t="s">
        <v>1230</v>
      </c>
      <c r="B2" s="2104"/>
      <c r="C2" s="2104"/>
      <c r="D2" s="2104"/>
      <c r="E2" s="2104"/>
      <c r="F2" s="2104"/>
      <c r="G2" s="2104"/>
      <c r="H2" s="2104"/>
      <c r="I2" s="2104"/>
      <c r="J2" s="210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18" t="s">
        <v>1731</v>
      </c>
      <c r="B35" s="2119"/>
      <c r="C35" s="2119"/>
      <c r="D35" s="2119"/>
      <c r="E35" s="2120"/>
      <c r="F35" s="2120"/>
      <c r="G35" s="2120"/>
      <c r="H35" s="2120"/>
      <c r="I35" s="212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8" t="s">
        <v>331</v>
      </c>
      <c r="B47" s="2121"/>
      <c r="C47" s="2121"/>
      <c r="D47" s="2121"/>
      <c r="E47" s="2122"/>
      <c r="F47" s="2122"/>
      <c r="G47" s="2122"/>
      <c r="H47" s="2122"/>
      <c r="I47" s="212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2083</v>
      </c>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5" t="s">
        <v>2089</v>
      </c>
      <c r="C57" s="2126"/>
      <c r="D57" s="2126"/>
      <c r="E57" s="2126"/>
      <c r="F57" s="2126"/>
      <c r="G57" s="2126"/>
      <c r="H57" s="2126"/>
      <c r="I57" s="2126"/>
      <c r="J57" s="2127"/>
    </row>
    <row r="58" spans="1:10" s="181" customFormat="1" x14ac:dyDescent="0.2">
      <c r="A58" s="253"/>
      <c r="B58" s="2128"/>
      <c r="C58" s="2129"/>
      <c r="D58" s="2129"/>
      <c r="E58" s="2129"/>
      <c r="F58" s="2129"/>
      <c r="G58" s="2129"/>
      <c r="H58" s="2129"/>
      <c r="I58" s="2129"/>
      <c r="J58" s="2130"/>
    </row>
    <row r="59" spans="1:10" s="181" customFormat="1" x14ac:dyDescent="0.2">
      <c r="A59" s="253"/>
      <c r="B59" s="2128"/>
      <c r="C59" s="2129"/>
      <c r="D59" s="2129"/>
      <c r="E59" s="2129"/>
      <c r="F59" s="2129"/>
      <c r="G59" s="2129"/>
      <c r="H59" s="2129"/>
      <c r="I59" s="2129"/>
      <c r="J59" s="2130"/>
    </row>
    <row r="60" spans="1:10" s="181" customFormat="1" x14ac:dyDescent="0.2">
      <c r="A60" s="253"/>
      <c r="B60" s="2128"/>
      <c r="C60" s="2129"/>
      <c r="D60" s="2129"/>
      <c r="E60" s="2129"/>
      <c r="F60" s="2129"/>
      <c r="G60" s="2129"/>
      <c r="H60" s="2129"/>
      <c r="I60" s="2129"/>
      <c r="J60" s="2130"/>
    </row>
    <row r="61" spans="1:10" s="181" customFormat="1" x14ac:dyDescent="0.2">
      <c r="A61" s="253"/>
      <c r="B61" s="2128"/>
      <c r="C61" s="2129"/>
      <c r="D61" s="2129"/>
      <c r="E61" s="2129"/>
      <c r="F61" s="2129"/>
      <c r="G61" s="2129"/>
      <c r="H61" s="2129"/>
      <c r="I61" s="2129"/>
      <c r="J61" s="2130"/>
    </row>
    <row r="62" spans="1:10" s="181" customFormat="1" x14ac:dyDescent="0.2">
      <c r="A62" s="253"/>
      <c r="B62" s="2128"/>
      <c r="C62" s="2129"/>
      <c r="D62" s="2129"/>
      <c r="E62" s="2129"/>
      <c r="F62" s="2129"/>
      <c r="G62" s="2129"/>
      <c r="H62" s="2129"/>
      <c r="I62" s="2129"/>
      <c r="J62" s="2130"/>
    </row>
    <row r="63" spans="1:10" s="181" customFormat="1" x14ac:dyDescent="0.2">
      <c r="A63" s="253"/>
      <c r="B63" s="2128"/>
      <c r="C63" s="2129"/>
      <c r="D63" s="2129"/>
      <c r="E63" s="2129"/>
      <c r="F63" s="2129"/>
      <c r="G63" s="2129"/>
      <c r="H63" s="2129"/>
      <c r="I63" s="2129"/>
      <c r="J63" s="2130"/>
    </row>
    <row r="64" spans="1:10" s="181" customFormat="1" x14ac:dyDescent="0.2">
      <c r="A64" s="253"/>
      <c r="B64" s="2128"/>
      <c r="C64" s="2129"/>
      <c r="D64" s="2129"/>
      <c r="E64" s="2129"/>
      <c r="F64" s="2129"/>
      <c r="G64" s="2129"/>
      <c r="H64" s="2129"/>
      <c r="I64" s="2129"/>
      <c r="J64" s="2130"/>
    </row>
    <row r="65" spans="1:10" s="181" customFormat="1" x14ac:dyDescent="0.2">
      <c r="A65" s="253"/>
      <c r="B65" s="2128"/>
      <c r="C65" s="2129"/>
      <c r="D65" s="2129"/>
      <c r="E65" s="2129"/>
      <c r="F65" s="2129"/>
      <c r="G65" s="2129"/>
      <c r="H65" s="2129"/>
      <c r="I65" s="2129"/>
      <c r="J65" s="2130"/>
    </row>
    <row r="66" spans="1:10" s="181" customFormat="1" x14ac:dyDescent="0.2">
      <c r="A66" s="253"/>
      <c r="B66" s="2128"/>
      <c r="C66" s="2129"/>
      <c r="D66" s="2129"/>
      <c r="E66" s="2129"/>
      <c r="F66" s="2129"/>
      <c r="G66" s="2129"/>
      <c r="H66" s="2129"/>
      <c r="I66" s="2129"/>
      <c r="J66" s="2130"/>
    </row>
    <row r="67" spans="1:10" s="181" customFormat="1" ht="9" customHeight="1" x14ac:dyDescent="0.2">
      <c r="A67" s="254"/>
      <c r="B67" s="2131"/>
      <c r="C67" s="2132"/>
      <c r="D67" s="2132"/>
      <c r="E67" s="2132"/>
      <c r="F67" s="2132"/>
      <c r="G67" s="2132"/>
      <c r="H67" s="2132"/>
      <c r="I67" s="2132"/>
      <c r="J67" s="213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8" t="s">
        <v>1390</v>
      </c>
      <c r="B70" s="2121"/>
      <c r="C70" s="2121"/>
      <c r="D70" s="2121"/>
      <c r="E70" s="2122"/>
      <c r="F70" s="2122"/>
      <c r="G70" s="2122"/>
      <c r="H70" s="2122"/>
      <c r="I70" s="212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3" t="s">
        <v>1387</v>
      </c>
      <c r="B83" s="2123"/>
      <c r="C83" s="2123"/>
      <c r="D83" s="212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05"/>
      <c r="C102" s="2106"/>
      <c r="D102" s="2106"/>
      <c r="E102" s="2106"/>
      <c r="F102" s="2106"/>
      <c r="G102" s="2106"/>
      <c r="H102" s="2106"/>
      <c r="I102" s="2107"/>
    </row>
    <row r="103" spans="1:9" s="181" customFormat="1" ht="11.25" customHeight="1" x14ac:dyDescent="0.2">
      <c r="A103" s="316"/>
      <c r="B103" s="2108"/>
      <c r="C103" s="2109"/>
      <c r="D103" s="2109"/>
      <c r="E103" s="2109"/>
      <c r="F103" s="2109"/>
      <c r="G103" s="2109"/>
      <c r="H103" s="2109"/>
      <c r="I103" s="2110"/>
    </row>
    <row r="104" spans="1:9" s="181" customFormat="1" ht="11.25" customHeight="1" x14ac:dyDescent="0.2">
      <c r="A104" s="316"/>
      <c r="B104" s="2108"/>
      <c r="C104" s="2109"/>
      <c r="D104" s="2109"/>
      <c r="E104" s="2109"/>
      <c r="F104" s="2109"/>
      <c r="G104" s="2109"/>
      <c r="H104" s="2109"/>
      <c r="I104" s="2110"/>
    </row>
    <row r="105" spans="1:9" s="181" customFormat="1" x14ac:dyDescent="0.2">
      <c r="A105" s="316"/>
      <c r="B105" s="2108"/>
      <c r="C105" s="2109"/>
      <c r="D105" s="2109"/>
      <c r="E105" s="2109"/>
      <c r="F105" s="2109"/>
      <c r="G105" s="2109"/>
      <c r="H105" s="2109"/>
      <c r="I105" s="2110"/>
    </row>
    <row r="106" spans="1:9" s="181" customFormat="1" ht="11.25" customHeight="1" x14ac:dyDescent="0.2">
      <c r="A106" s="316"/>
      <c r="B106" s="2108"/>
      <c r="C106" s="2109"/>
      <c r="D106" s="2109"/>
      <c r="E106" s="2109"/>
      <c r="F106" s="2109"/>
      <c r="G106" s="2109"/>
      <c r="H106" s="2109"/>
      <c r="I106" s="2110"/>
    </row>
    <row r="107" spans="1:9" s="181" customFormat="1" ht="11.25" customHeight="1" x14ac:dyDescent="0.2">
      <c r="A107" s="316"/>
      <c r="B107" s="2108"/>
      <c r="C107" s="2109"/>
      <c r="D107" s="2109"/>
      <c r="E107" s="2109"/>
      <c r="F107" s="2109"/>
      <c r="G107" s="2109"/>
      <c r="H107" s="2109"/>
      <c r="I107" s="2110"/>
    </row>
    <row r="108" spans="1:9" s="181" customFormat="1" ht="11.25" customHeight="1" x14ac:dyDescent="0.2">
      <c r="A108" s="316"/>
      <c r="B108" s="2108"/>
      <c r="C108" s="2109"/>
      <c r="D108" s="2109"/>
      <c r="E108" s="2109"/>
      <c r="F108" s="2109"/>
      <c r="G108" s="2109"/>
      <c r="H108" s="2109"/>
      <c r="I108" s="2110"/>
    </row>
    <row r="109" spans="1:9" s="181" customFormat="1" ht="11.25" customHeight="1" x14ac:dyDescent="0.2">
      <c r="A109" s="316"/>
      <c r="B109" s="2108"/>
      <c r="C109" s="2109"/>
      <c r="D109" s="2109"/>
      <c r="E109" s="2109"/>
      <c r="F109" s="2109"/>
      <c r="G109" s="2109"/>
      <c r="H109" s="2109"/>
      <c r="I109" s="2110"/>
    </row>
    <row r="110" spans="1:9" s="181" customFormat="1" ht="11.25" customHeight="1" x14ac:dyDescent="0.2">
      <c r="A110" s="316"/>
      <c r="B110" s="2108"/>
      <c r="C110" s="2109"/>
      <c r="D110" s="2109"/>
      <c r="E110" s="2109"/>
      <c r="F110" s="2109"/>
      <c r="G110" s="2109"/>
      <c r="H110" s="2109"/>
      <c r="I110" s="2110"/>
    </row>
    <row r="111" spans="1:9" s="181" customFormat="1" ht="11.25" customHeight="1" x14ac:dyDescent="0.2">
      <c r="A111" s="316"/>
      <c r="B111" s="2108"/>
      <c r="C111" s="2109"/>
      <c r="D111" s="2109"/>
      <c r="E111" s="2109"/>
      <c r="F111" s="2109"/>
      <c r="G111" s="2109"/>
      <c r="H111" s="2109"/>
      <c r="I111" s="2110"/>
    </row>
    <row r="112" spans="1:9" s="181" customFormat="1" ht="11.25" customHeight="1" x14ac:dyDescent="0.2">
      <c r="A112" s="316"/>
      <c r="B112" s="2111"/>
      <c r="C112" s="2112"/>
      <c r="D112" s="2112"/>
      <c r="E112" s="2112"/>
      <c r="F112" s="2112"/>
      <c r="G112" s="2112"/>
      <c r="H112" s="2112"/>
      <c r="I112" s="211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4" t="s">
        <v>2074</v>
      </c>
      <c r="D114" s="211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5" t="s">
        <v>1397</v>
      </c>
      <c r="D117" s="2116"/>
      <c r="E117" s="2117"/>
      <c r="F117" s="2117"/>
      <c r="G117" s="2117"/>
      <c r="H117" s="2117"/>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2019</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M18" sqref="M1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0" t="str">
        <f>'Single Audit Cover'!A7</f>
        <v>Northwest SpEd Coop</v>
      </c>
      <c r="C1" s="2496"/>
      <c r="D1" s="2496"/>
      <c r="E1" s="2496"/>
      <c r="F1" s="2496"/>
      <c r="G1" s="2496"/>
      <c r="H1" s="2496"/>
      <c r="I1" s="2496"/>
      <c r="J1" s="2496"/>
      <c r="K1" s="2496"/>
      <c r="L1" s="2496"/>
      <c r="M1" s="2496"/>
    </row>
    <row r="2" spans="2:14" ht="15" x14ac:dyDescent="0.2">
      <c r="B2" s="2485">
        <f>'Single Audit Cover'!E7</f>
        <v>8043210061</v>
      </c>
      <c r="C2" s="2485"/>
      <c r="D2" s="2485"/>
      <c r="E2" s="2485"/>
      <c r="F2" s="2485"/>
      <c r="G2" s="2485"/>
      <c r="H2" s="2485"/>
      <c r="I2" s="2485"/>
      <c r="J2" s="2485"/>
      <c r="K2" s="2485"/>
      <c r="L2" s="2485"/>
      <c r="M2" s="2485"/>
      <c r="N2" s="1302"/>
    </row>
    <row r="3" spans="2:14" ht="15" x14ac:dyDescent="0.2">
      <c r="B3" s="2497" t="s">
        <v>1281</v>
      </c>
      <c r="C3" s="2497"/>
      <c r="D3" s="2497"/>
      <c r="E3" s="2497"/>
      <c r="F3" s="2497"/>
      <c r="G3" s="2497"/>
      <c r="H3" s="2497"/>
      <c r="I3" s="2497"/>
      <c r="J3" s="2497"/>
      <c r="K3" s="2497"/>
      <c r="L3" s="2497"/>
      <c r="M3" s="2497"/>
      <c r="N3" s="1302"/>
    </row>
    <row r="4" spans="2:14" ht="15" x14ac:dyDescent="0.2">
      <c r="B4" s="2498" t="str">
        <f>'Single Audit Cover'!A4</f>
        <v>Year Ending June 30, 2018</v>
      </c>
      <c r="C4" s="2498"/>
      <c r="D4" s="2498"/>
      <c r="E4" s="2498"/>
      <c r="F4" s="2498"/>
      <c r="G4" s="2498"/>
      <c r="H4" s="2498"/>
      <c r="I4" s="2498"/>
      <c r="J4" s="2498"/>
      <c r="K4" s="2498"/>
      <c r="L4" s="2498"/>
      <c r="M4" s="2498"/>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67" t="s">
        <v>2113</v>
      </c>
      <c r="C11" s="1338"/>
      <c r="D11" s="1339"/>
      <c r="E11" s="1340"/>
      <c r="F11" s="1340"/>
      <c r="G11" s="1340"/>
      <c r="H11" s="1340"/>
      <c r="I11" s="1340"/>
      <c r="J11" s="1340"/>
      <c r="K11" s="1340"/>
      <c r="L11" s="1340">
        <f>+G11+I11+K11</f>
        <v>0</v>
      </c>
      <c r="M11" s="1340"/>
    </row>
    <row r="12" spans="2:14" ht="20.100000000000001" customHeight="1" x14ac:dyDescent="0.2">
      <c r="B12" s="1967" t="s">
        <v>2114</v>
      </c>
      <c r="C12" s="1341"/>
      <c r="D12" s="1342"/>
      <c r="E12" s="1343"/>
      <c r="F12" s="1343"/>
      <c r="G12" s="1343"/>
      <c r="H12" s="1343"/>
      <c r="I12" s="1343"/>
      <c r="J12" s="1343"/>
      <c r="K12" s="1343"/>
      <c r="L12" s="1340">
        <f t="shared" ref="L12:L27" si="0">+G12+I12+K12</f>
        <v>0</v>
      </c>
      <c r="M12" s="1343"/>
    </row>
    <row r="13" spans="2:14" ht="20.100000000000001" customHeight="1" x14ac:dyDescent="0.2">
      <c r="B13" s="1967" t="s">
        <v>2115</v>
      </c>
      <c r="C13" s="1341">
        <v>93.778000000000006</v>
      </c>
      <c r="D13" s="1342" t="s">
        <v>2117</v>
      </c>
      <c r="E13" s="1343">
        <v>50894</v>
      </c>
      <c r="F13" s="1343"/>
      <c r="G13" s="1343">
        <v>50894</v>
      </c>
      <c r="H13" s="1343"/>
      <c r="I13" s="1343"/>
      <c r="J13" s="1343"/>
      <c r="K13" s="1343"/>
      <c r="L13" s="1340">
        <f t="shared" si="0"/>
        <v>50894</v>
      </c>
      <c r="M13" s="1343"/>
    </row>
    <row r="14" spans="2:14" ht="20.100000000000001" customHeight="1" x14ac:dyDescent="0.2">
      <c r="B14" s="1968" t="s">
        <v>2115</v>
      </c>
      <c r="C14" s="1341" t="s">
        <v>2116</v>
      </c>
      <c r="D14" s="1342" t="s">
        <v>2122</v>
      </c>
      <c r="E14" s="1343"/>
      <c r="F14" s="1343">
        <v>38872</v>
      </c>
      <c r="G14" s="1343"/>
      <c r="H14" s="1343"/>
      <c r="I14" s="1343">
        <v>38872</v>
      </c>
      <c r="J14" s="1343"/>
      <c r="K14" s="1343"/>
      <c r="L14" s="1340">
        <f t="shared" si="0"/>
        <v>38872</v>
      </c>
      <c r="M14" s="1343"/>
    </row>
    <row r="15" spans="2:14" ht="20.100000000000001" customHeight="1" x14ac:dyDescent="0.2">
      <c r="B15" s="1969" t="s">
        <v>2118</v>
      </c>
      <c r="C15" s="1341"/>
      <c r="D15" s="1342"/>
      <c r="E15" s="1343"/>
      <c r="F15" s="1343"/>
      <c r="G15" s="1343"/>
      <c r="H15" s="1343"/>
      <c r="I15" s="1343"/>
      <c r="J15" s="1343"/>
      <c r="K15" s="1343"/>
      <c r="L15" s="1340">
        <f t="shared" si="0"/>
        <v>0</v>
      </c>
      <c r="M15" s="1343"/>
    </row>
    <row r="16" spans="2:14" ht="20.100000000000001" customHeight="1" x14ac:dyDescent="0.2">
      <c r="B16" s="1969" t="s">
        <v>2119</v>
      </c>
      <c r="C16" s="1341"/>
      <c r="D16" s="1342"/>
      <c r="E16" s="1343"/>
      <c r="F16" s="1343"/>
      <c r="G16" s="1343"/>
      <c r="H16" s="1343"/>
      <c r="I16" s="1343"/>
      <c r="J16" s="1343"/>
      <c r="K16" s="1343"/>
      <c r="L16" s="1340">
        <f t="shared" si="0"/>
        <v>0</v>
      </c>
      <c r="M16" s="1343"/>
    </row>
    <row r="17" spans="2:14" ht="20.100000000000001" customHeight="1" x14ac:dyDescent="0.2">
      <c r="B17" s="1969" t="s">
        <v>2120</v>
      </c>
      <c r="C17" s="1970" t="s">
        <v>2111</v>
      </c>
      <c r="D17" s="1971" t="s">
        <v>2123</v>
      </c>
      <c r="E17" s="1343">
        <v>1631368</v>
      </c>
      <c r="F17" s="1343"/>
      <c r="G17" s="1343">
        <v>1631368</v>
      </c>
      <c r="H17" s="1343">
        <v>1214435</v>
      </c>
      <c r="I17" s="1343"/>
      <c r="J17" s="1343"/>
      <c r="K17" s="1343"/>
      <c r="L17" s="1340">
        <f t="shared" si="0"/>
        <v>1631368</v>
      </c>
      <c r="M17" s="1343">
        <v>1774526</v>
      </c>
    </row>
    <row r="18" spans="2:14" ht="20.100000000000001" customHeight="1" x14ac:dyDescent="0.2">
      <c r="B18" s="1969" t="s">
        <v>2120</v>
      </c>
      <c r="C18" s="1970" t="s">
        <v>2111</v>
      </c>
      <c r="D18" s="1971" t="s">
        <v>2124</v>
      </c>
      <c r="E18" s="1343"/>
      <c r="F18" s="1343">
        <v>2012376</v>
      </c>
      <c r="G18" s="1343"/>
      <c r="H18" s="1343"/>
      <c r="I18" s="1343">
        <v>2012376</v>
      </c>
      <c r="J18" s="1343">
        <v>1955713</v>
      </c>
      <c r="K18" s="1343"/>
      <c r="L18" s="1340">
        <f t="shared" si="0"/>
        <v>2012376</v>
      </c>
      <c r="M18" s="1343">
        <v>2165073</v>
      </c>
    </row>
    <row r="19" spans="2:14" ht="20.100000000000001" customHeight="1" x14ac:dyDescent="0.2">
      <c r="B19" s="1969" t="s">
        <v>2121</v>
      </c>
      <c r="C19" s="1970" t="s">
        <v>2104</v>
      </c>
      <c r="D19" s="1971" t="s">
        <v>2125</v>
      </c>
      <c r="E19" s="1343">
        <v>92463</v>
      </c>
      <c r="F19" s="1343"/>
      <c r="G19" s="1343">
        <v>92463</v>
      </c>
      <c r="H19" s="1343">
        <v>92463</v>
      </c>
      <c r="I19" s="1343"/>
      <c r="J19" s="1343"/>
      <c r="K19" s="1343"/>
      <c r="L19" s="1340">
        <f t="shared" si="0"/>
        <v>92463</v>
      </c>
      <c r="M19" s="1343">
        <v>106209</v>
      </c>
    </row>
    <row r="20" spans="2:14" ht="20.100000000000001" customHeight="1" x14ac:dyDescent="0.2">
      <c r="B20" s="1969" t="s">
        <v>2121</v>
      </c>
      <c r="C20" s="1970" t="s">
        <v>2104</v>
      </c>
      <c r="D20" s="1971" t="s">
        <v>2126</v>
      </c>
      <c r="E20" s="1343"/>
      <c r="F20" s="1343">
        <v>94078</v>
      </c>
      <c r="G20" s="1343"/>
      <c r="H20" s="1343"/>
      <c r="I20" s="1343">
        <v>94078</v>
      </c>
      <c r="J20" s="1343">
        <v>94078</v>
      </c>
      <c r="K20" s="1343"/>
      <c r="L20" s="1340">
        <f t="shared" si="0"/>
        <v>94078</v>
      </c>
      <c r="M20" s="1343">
        <v>102558</v>
      </c>
    </row>
    <row r="21" spans="2:14" ht="20.100000000000001" customHeight="1" x14ac:dyDescent="0.2">
      <c r="B21" s="1972" t="s">
        <v>2118</v>
      </c>
      <c r="C21" s="1341"/>
      <c r="D21" s="1342"/>
      <c r="E21" s="1343"/>
      <c r="F21" s="1343"/>
      <c r="G21" s="1343"/>
      <c r="H21" s="1343"/>
      <c r="I21" s="1343"/>
      <c r="J21" s="1343"/>
      <c r="K21" s="1343"/>
      <c r="L21" s="1340">
        <f t="shared" si="0"/>
        <v>0</v>
      </c>
      <c r="M21" s="1343"/>
    </row>
    <row r="22" spans="2:14" ht="20.100000000000001" customHeight="1" x14ac:dyDescent="0.2">
      <c r="B22" s="1972" t="s">
        <v>2127</v>
      </c>
      <c r="C22" s="1341"/>
      <c r="D22" s="1342"/>
      <c r="E22" s="1343"/>
      <c r="F22" s="1343"/>
      <c r="G22" s="1343"/>
      <c r="H22" s="1343"/>
      <c r="I22" s="1343"/>
      <c r="J22" s="1343"/>
      <c r="K22" s="1343"/>
      <c r="L22" s="1340">
        <f t="shared" si="0"/>
        <v>0</v>
      </c>
      <c r="M22" s="1343"/>
    </row>
    <row r="23" spans="2:14" ht="20.100000000000001" customHeight="1" x14ac:dyDescent="0.2">
      <c r="B23" s="1972" t="s">
        <v>2128</v>
      </c>
      <c r="C23" s="1974">
        <v>84.126000000000005</v>
      </c>
      <c r="D23" s="1976" t="s">
        <v>2123</v>
      </c>
      <c r="E23" s="1343">
        <v>48667</v>
      </c>
      <c r="F23" s="1343"/>
      <c r="G23" s="1343">
        <v>48667</v>
      </c>
      <c r="H23" s="1343"/>
      <c r="I23" s="1343"/>
      <c r="J23" s="1343"/>
      <c r="K23" s="1343"/>
      <c r="L23" s="1340">
        <f t="shared" si="0"/>
        <v>48667</v>
      </c>
      <c r="M23" s="1343"/>
    </row>
    <row r="24" spans="2:14" ht="20.100000000000001" customHeight="1" x14ac:dyDescent="0.2">
      <c r="B24" s="1972" t="s">
        <v>2128</v>
      </c>
      <c r="C24" s="1974">
        <v>84.126000000000005</v>
      </c>
      <c r="D24" s="1976" t="s">
        <v>2124</v>
      </c>
      <c r="E24" s="1343"/>
      <c r="F24" s="1343">
        <v>61055</v>
      </c>
      <c r="G24" s="1343"/>
      <c r="H24" s="1343"/>
      <c r="I24" s="1343">
        <v>61055</v>
      </c>
      <c r="J24" s="1343"/>
      <c r="K24" s="1343"/>
      <c r="L24" s="1340">
        <f t="shared" si="0"/>
        <v>61055</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J23" sqref="J2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0" t="str">
        <f>'Single Audit Cover'!A7</f>
        <v>Northwest SpEd Coop</v>
      </c>
      <c r="C1" s="2496"/>
      <c r="D1" s="2496"/>
      <c r="E1" s="2496"/>
      <c r="F1" s="2496"/>
      <c r="G1" s="2496"/>
      <c r="H1" s="2496"/>
      <c r="I1" s="2496"/>
      <c r="J1" s="2496"/>
      <c r="K1" s="2496"/>
      <c r="L1" s="2496"/>
      <c r="M1" s="2496"/>
    </row>
    <row r="2" spans="2:14" ht="15" x14ac:dyDescent="0.2">
      <c r="B2" s="2485">
        <f>'Single Audit Cover'!E7</f>
        <v>8043210061</v>
      </c>
      <c r="C2" s="2485"/>
      <c r="D2" s="2485"/>
      <c r="E2" s="2485"/>
      <c r="F2" s="2485"/>
      <c r="G2" s="2485"/>
      <c r="H2" s="2485"/>
      <c r="I2" s="2485"/>
      <c r="J2" s="2485"/>
      <c r="K2" s="2485"/>
      <c r="L2" s="2485"/>
      <c r="M2" s="2485"/>
      <c r="N2" s="1302"/>
    </row>
    <row r="3" spans="2:14" ht="15" x14ac:dyDescent="0.2">
      <c r="B3" s="2497" t="s">
        <v>1281</v>
      </c>
      <c r="C3" s="2497"/>
      <c r="D3" s="2497"/>
      <c r="E3" s="2497"/>
      <c r="F3" s="2497"/>
      <c r="G3" s="2497"/>
      <c r="H3" s="2497"/>
      <c r="I3" s="2497"/>
      <c r="J3" s="2497"/>
      <c r="K3" s="2497"/>
      <c r="L3" s="2497"/>
      <c r="M3" s="2497"/>
      <c r="N3" s="1302"/>
    </row>
    <row r="4" spans="2:14" ht="15" x14ac:dyDescent="0.2">
      <c r="B4" s="2498" t="str">
        <f>'Single Audit Cover'!A4</f>
        <v>Year Ending June 30, 2018</v>
      </c>
      <c r="C4" s="2498"/>
      <c r="D4" s="2498"/>
      <c r="E4" s="2498"/>
      <c r="F4" s="2498"/>
      <c r="G4" s="2498"/>
      <c r="H4" s="2498"/>
      <c r="I4" s="2498"/>
      <c r="J4" s="2498"/>
      <c r="K4" s="2498"/>
      <c r="L4" s="2498"/>
      <c r="M4" s="2498"/>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77" t="s">
        <v>2129</v>
      </c>
      <c r="C11" s="1338"/>
      <c r="D11" s="1339"/>
      <c r="E11" s="1340"/>
      <c r="F11" s="1340"/>
      <c r="G11" s="1340"/>
      <c r="H11" s="1340"/>
      <c r="I11" s="1340"/>
      <c r="J11" s="1340"/>
      <c r="K11" s="1340"/>
      <c r="L11" s="1340"/>
      <c r="M11" s="1340"/>
    </row>
    <row r="12" spans="2:14" ht="20.100000000000001" customHeight="1" x14ac:dyDescent="0.2">
      <c r="B12" s="1977" t="s">
        <v>2119</v>
      </c>
      <c r="C12" s="1341"/>
      <c r="D12" s="1342"/>
      <c r="E12" s="1343"/>
      <c r="F12" s="1343"/>
      <c r="G12" s="1343"/>
      <c r="H12" s="1343"/>
      <c r="I12" s="1343"/>
      <c r="J12" s="1343"/>
      <c r="K12" s="1343"/>
      <c r="L12" s="1340"/>
      <c r="M12" s="1343"/>
    </row>
    <row r="13" spans="2:14" ht="20.100000000000001" customHeight="1" x14ac:dyDescent="0.2">
      <c r="B13" s="1977" t="s">
        <v>2130</v>
      </c>
      <c r="C13" s="1979">
        <v>10.555</v>
      </c>
      <c r="D13" s="1978" t="s">
        <v>2131</v>
      </c>
      <c r="E13" s="1343">
        <v>1369</v>
      </c>
      <c r="F13" s="1343"/>
      <c r="G13" s="1343">
        <v>1369</v>
      </c>
      <c r="H13" s="1343"/>
      <c r="I13" s="1343"/>
      <c r="J13" s="1343"/>
      <c r="K13" s="1343"/>
      <c r="L13" s="1340"/>
      <c r="M13" s="1343"/>
    </row>
    <row r="14" spans="2:14" ht="20.100000000000001" customHeight="1" x14ac:dyDescent="0.2">
      <c r="B14" s="1977" t="s">
        <v>2130</v>
      </c>
      <c r="C14" s="1979">
        <v>10.555</v>
      </c>
      <c r="D14" s="1978" t="s">
        <v>2132</v>
      </c>
      <c r="E14" s="1343">
        <v>5744</v>
      </c>
      <c r="F14" s="1343">
        <v>1290</v>
      </c>
      <c r="G14" s="1343">
        <v>5744</v>
      </c>
      <c r="H14" s="1343"/>
      <c r="I14" s="1343">
        <v>1290</v>
      </c>
      <c r="J14" s="1343"/>
      <c r="K14" s="1343"/>
      <c r="L14" s="1340"/>
      <c r="M14" s="1343"/>
    </row>
    <row r="15" spans="2:14" ht="20.100000000000001" customHeight="1" x14ac:dyDescent="0.2">
      <c r="B15" s="1977" t="s">
        <v>2130</v>
      </c>
      <c r="C15" s="1981">
        <v>10.555</v>
      </c>
      <c r="D15" s="1980" t="s">
        <v>2133</v>
      </c>
      <c r="E15" s="1343"/>
      <c r="F15" s="1343">
        <v>5289</v>
      </c>
      <c r="G15" s="1343"/>
      <c r="H15" s="1343"/>
      <c r="I15" s="1343">
        <v>5289</v>
      </c>
      <c r="J15" s="1343"/>
      <c r="K15" s="1343"/>
      <c r="L15" s="1340"/>
      <c r="M15" s="1343"/>
    </row>
    <row r="16" spans="2:14" ht="20.100000000000001" customHeight="1" x14ac:dyDescent="0.2">
      <c r="B16" s="1975"/>
      <c r="C16" s="1341"/>
      <c r="D16" s="1342"/>
      <c r="E16" s="1343"/>
      <c r="F16" s="1343"/>
      <c r="G16" s="1343"/>
      <c r="H16" s="1343"/>
      <c r="I16" s="1343"/>
      <c r="J16" s="1343"/>
      <c r="K16" s="1343"/>
      <c r="L16" s="1340"/>
      <c r="M16" s="1343"/>
    </row>
    <row r="17" spans="2:14" ht="20.100000000000001" customHeight="1" x14ac:dyDescent="0.2">
      <c r="B17" s="1982"/>
      <c r="C17" s="1974"/>
      <c r="D17" s="1973"/>
      <c r="E17" s="1343"/>
      <c r="F17" s="1343"/>
      <c r="G17" s="1343"/>
      <c r="H17" s="1343"/>
      <c r="I17" s="1343"/>
      <c r="J17" s="1343"/>
      <c r="K17" s="1343"/>
      <c r="L17" s="1340"/>
      <c r="M17" s="1343"/>
    </row>
    <row r="18" spans="2:14" ht="20.100000000000001" customHeight="1" x14ac:dyDescent="0.2">
      <c r="B18" s="1975" t="s">
        <v>2134</v>
      </c>
      <c r="C18" s="1984">
        <v>10.553000000000001</v>
      </c>
      <c r="D18" s="1983" t="s">
        <v>2136</v>
      </c>
      <c r="E18" s="1343">
        <v>504</v>
      </c>
      <c r="F18" s="1343"/>
      <c r="G18" s="1343">
        <v>504</v>
      </c>
      <c r="H18" s="1343"/>
      <c r="I18" s="1343"/>
      <c r="J18" s="1343"/>
      <c r="K18" s="1343"/>
      <c r="L18" s="1340"/>
      <c r="M18" s="1343"/>
    </row>
    <row r="19" spans="2:14" ht="20.100000000000001" customHeight="1" x14ac:dyDescent="0.2">
      <c r="B19" s="1975" t="s">
        <v>2134</v>
      </c>
      <c r="C19" s="1984">
        <v>10.553000000000001</v>
      </c>
      <c r="D19" s="1983" t="s">
        <v>2137</v>
      </c>
      <c r="E19" s="1343">
        <v>1524</v>
      </c>
      <c r="F19" s="1343">
        <v>353</v>
      </c>
      <c r="G19" s="1343">
        <v>1524</v>
      </c>
      <c r="H19" s="1343"/>
      <c r="I19" s="1343">
        <v>353</v>
      </c>
      <c r="J19" s="1343"/>
      <c r="K19" s="1343"/>
      <c r="L19" s="1340"/>
      <c r="M19" s="1343"/>
    </row>
    <row r="20" spans="2:14" ht="20.100000000000001" customHeight="1" x14ac:dyDescent="0.2">
      <c r="B20" s="1975" t="s">
        <v>2134</v>
      </c>
      <c r="C20" s="1984">
        <v>10.553000000000001</v>
      </c>
      <c r="D20" s="1983" t="s">
        <v>2135</v>
      </c>
      <c r="E20" s="1343"/>
      <c r="F20" s="1343">
        <v>1557</v>
      </c>
      <c r="G20" s="1343"/>
      <c r="H20" s="1343"/>
      <c r="I20" s="1343">
        <v>1557</v>
      </c>
      <c r="J20" s="1343"/>
      <c r="K20" s="1343"/>
      <c r="L20" s="1340"/>
      <c r="M20" s="1343"/>
    </row>
    <row r="21" spans="2:14" ht="20.100000000000001" customHeight="1" x14ac:dyDescent="0.2">
      <c r="B21" s="1975"/>
      <c r="C21" s="1341"/>
      <c r="D21" s="1342"/>
      <c r="E21" s="1343"/>
      <c r="F21" s="1343"/>
      <c r="G21" s="1343"/>
      <c r="H21" s="1343"/>
      <c r="I21" s="1343"/>
      <c r="J21" s="1343"/>
      <c r="K21" s="1343"/>
      <c r="L21" s="1340"/>
      <c r="M21" s="1343"/>
    </row>
    <row r="22" spans="2:14" ht="20.100000000000001" customHeight="1" x14ac:dyDescent="0.2">
      <c r="B22" s="1975" t="s">
        <v>2138</v>
      </c>
      <c r="C22" s="1341"/>
      <c r="D22" s="1342"/>
      <c r="E22" s="1343">
        <v>1825265</v>
      </c>
      <c r="F22" s="1343">
        <v>2214870</v>
      </c>
      <c r="G22" s="1343">
        <v>1825265</v>
      </c>
      <c r="H22" s="1343">
        <v>1306898</v>
      </c>
      <c r="I22" s="1343">
        <v>2214870</v>
      </c>
      <c r="J22" s="1343">
        <v>2049791</v>
      </c>
      <c r="K22" s="1343"/>
      <c r="L22" s="1340"/>
      <c r="M22" s="1343"/>
    </row>
    <row r="23" spans="2:14" ht="20.100000000000001" customHeight="1" x14ac:dyDescent="0.2">
      <c r="B23" s="1975"/>
      <c r="C23" s="1974"/>
      <c r="D23" s="1976"/>
      <c r="E23" s="1343"/>
      <c r="F23" s="1343"/>
      <c r="G23" s="1343"/>
      <c r="H23" s="1343"/>
      <c r="I23" s="1343"/>
      <c r="J23" s="1343"/>
      <c r="K23" s="1343"/>
      <c r="L23" s="1340"/>
      <c r="M23" s="1343"/>
    </row>
    <row r="24" spans="2:14" ht="20.100000000000001" customHeight="1" x14ac:dyDescent="0.2">
      <c r="B24" s="1975"/>
      <c r="C24" s="1974"/>
      <c r="D24" s="1976"/>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f t="shared" ref="L25:L27" si="0">+G25+I25+K25</f>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2" sqref="C1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3" t="str">
        <f>'Single Audit Cover'!A7</f>
        <v>Northwest SpEd Coop</v>
      </c>
      <c r="C1" s="2504"/>
      <c r="D1" s="2504"/>
      <c r="E1" s="2504"/>
      <c r="F1" s="2504"/>
      <c r="G1" s="2504"/>
      <c r="H1" s="2504"/>
      <c r="I1" s="2504"/>
      <c r="J1" s="1422"/>
    </row>
    <row r="2" spans="2:10" s="317" customFormat="1" ht="12.75" customHeight="1" x14ac:dyDescent="0.2">
      <c r="B2" s="2505">
        <f>'Single Audit Cover'!E7</f>
        <v>8043210061</v>
      </c>
      <c r="C2" s="2506"/>
      <c r="D2" s="2506"/>
      <c r="E2" s="2506"/>
      <c r="F2" s="2506"/>
      <c r="G2" s="2506"/>
      <c r="H2" s="2506"/>
      <c r="I2" s="2506"/>
      <c r="J2" s="1422"/>
    </row>
    <row r="3" spans="2:10" s="317" customFormat="1" ht="12.75" customHeight="1" x14ac:dyDescent="0.2">
      <c r="B3" s="2507" t="s">
        <v>1347</v>
      </c>
      <c r="C3" s="2508"/>
      <c r="D3" s="2508"/>
      <c r="E3" s="2508"/>
      <c r="F3" s="2508"/>
      <c r="G3" s="2508"/>
      <c r="H3" s="2508"/>
      <c r="I3" s="2508"/>
      <c r="J3" s="1423"/>
    </row>
    <row r="4" spans="2:10" s="317" customFormat="1" ht="12.75" customHeight="1" x14ac:dyDescent="0.2">
      <c r="B4" s="2507" t="str">
        <f>'Single Audit Cover'!A4</f>
        <v>Year Ending June 30, 2018</v>
      </c>
      <c r="C4" s="2508"/>
      <c r="D4" s="2508"/>
      <c r="E4" s="2508"/>
      <c r="F4" s="2508"/>
      <c r="G4" s="2508"/>
      <c r="H4" s="2508"/>
      <c r="I4" s="2508"/>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07" t="s">
        <v>1346</v>
      </c>
      <c r="C7" s="2508"/>
      <c r="D7" s="2508"/>
      <c r="E7" s="2508"/>
      <c r="F7" s="2508"/>
      <c r="G7" s="2508"/>
      <c r="H7" s="2508"/>
      <c r="I7" s="2508"/>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509" t="s">
        <v>2161</v>
      </c>
      <c r="D11" s="2509"/>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2083</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t="s">
        <v>2083</v>
      </c>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2083</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2083</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2083</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510" t="s">
        <v>2139</v>
      </c>
      <c r="E29" s="2510"/>
      <c r="F29" s="2510"/>
      <c r="G29" s="2510"/>
      <c r="H29" s="2510"/>
      <c r="I29" s="2510"/>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2083</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511" t="s">
        <v>1851</v>
      </c>
      <c r="D37" s="2512"/>
      <c r="E37" s="2512"/>
      <c r="F37" s="2513"/>
      <c r="G37" s="2511" t="s">
        <v>1674</v>
      </c>
      <c r="H37" s="2512"/>
      <c r="I37" s="2513"/>
    </row>
    <row r="38" spans="2:9" ht="16.5" customHeight="1" x14ac:dyDescent="0.2">
      <c r="B38" s="1444" t="s">
        <v>2140</v>
      </c>
      <c r="C38" s="2499" t="s">
        <v>2141</v>
      </c>
      <c r="D38" s="2500"/>
      <c r="E38" s="2500"/>
      <c r="F38" s="2501"/>
      <c r="G38" s="2514">
        <v>2106454</v>
      </c>
      <c r="H38" s="2515"/>
      <c r="I38" s="2516"/>
    </row>
    <row r="39" spans="2:9" ht="16.5" customHeight="1" x14ac:dyDescent="0.2">
      <c r="B39" s="1444"/>
      <c r="C39" s="2499"/>
      <c r="D39" s="2500"/>
      <c r="E39" s="2500"/>
      <c r="F39" s="2501"/>
      <c r="G39" s="2502"/>
      <c r="H39" s="2502"/>
      <c r="I39" s="2502"/>
    </row>
    <row r="40" spans="2:9" ht="16.5" customHeight="1" x14ac:dyDescent="0.2">
      <c r="B40" s="1444"/>
      <c r="C40" s="2499"/>
      <c r="D40" s="2500"/>
      <c r="E40" s="2500"/>
      <c r="F40" s="2501"/>
      <c r="G40" s="2502"/>
      <c r="H40" s="2502"/>
      <c r="I40" s="2502"/>
    </row>
    <row r="41" spans="2:9" ht="16.5" customHeight="1" x14ac:dyDescent="0.2">
      <c r="B41" s="1444"/>
      <c r="C41" s="2499"/>
      <c r="D41" s="2500"/>
      <c r="E41" s="2500"/>
      <c r="F41" s="2501"/>
      <c r="G41" s="2502"/>
      <c r="H41" s="2502"/>
      <c r="I41" s="2502"/>
    </row>
    <row r="42" spans="2:9" ht="16.5" customHeight="1" x14ac:dyDescent="0.2">
      <c r="B42" s="1444"/>
      <c r="C42" s="2499"/>
      <c r="D42" s="2500"/>
      <c r="E42" s="2500"/>
      <c r="F42" s="2501"/>
      <c r="G42" s="2502"/>
      <c r="H42" s="2502"/>
      <c r="I42" s="2502"/>
    </row>
    <row r="43" spans="2:9" ht="16.5" customHeight="1" x14ac:dyDescent="0.2">
      <c r="B43" s="1444"/>
      <c r="C43" s="2517" t="s">
        <v>1675</v>
      </c>
      <c r="D43" s="2518"/>
      <c r="E43" s="2518"/>
      <c r="F43" s="2519"/>
      <c r="G43" s="2520">
        <f>SUM(G38:I42)</f>
        <v>2106454</v>
      </c>
      <c r="H43" s="2520"/>
      <c r="I43" s="2520"/>
    </row>
    <row r="44" spans="2:9" ht="12.75" customHeight="1" x14ac:dyDescent="0.2"/>
    <row r="45" spans="2:9" ht="12.75" customHeight="1" x14ac:dyDescent="0.2">
      <c r="B45" s="1435" t="s">
        <v>1949</v>
      </c>
      <c r="D45" s="2521">
        <v>2214870</v>
      </c>
      <c r="E45" s="2522"/>
    </row>
    <row r="46" spans="2:9" ht="5.25" customHeight="1" x14ac:dyDescent="0.2">
      <c r="B46" s="1445"/>
      <c r="D46" s="1446"/>
      <c r="E46" s="1447"/>
    </row>
    <row r="47" spans="2:9" ht="12.75" customHeight="1" x14ac:dyDescent="0.2">
      <c r="B47" s="1300" t="s">
        <v>1676</v>
      </c>
      <c r="C47" s="1300"/>
      <c r="D47" s="1448">
        <f>+G43/D45</f>
        <v>0.95105085174299164</v>
      </c>
      <c r="E47" s="1449"/>
      <c r="F47" s="1450"/>
      <c r="I47" s="1451"/>
    </row>
    <row r="48" spans="2:9" ht="9.9499999999999993" customHeight="1" x14ac:dyDescent="0.2"/>
    <row r="49" spans="1:9" x14ac:dyDescent="0.2">
      <c r="B49" s="1368" t="s">
        <v>1335</v>
      </c>
      <c r="C49" s="1282"/>
      <c r="D49" s="1282"/>
      <c r="E49" s="2523">
        <v>750000</v>
      </c>
      <c r="F49" s="2523"/>
      <c r="G49" s="2523"/>
      <c r="H49" s="322"/>
    </row>
    <row r="51" spans="1:9" ht="13.5" customHeight="1" x14ac:dyDescent="0.2">
      <c r="B51" s="1368" t="s">
        <v>1334</v>
      </c>
      <c r="C51" s="1282"/>
      <c r="E51" s="1438"/>
      <c r="F51" s="1300" t="s">
        <v>940</v>
      </c>
      <c r="G51" s="1438" t="s">
        <v>2083</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3" t="str">
        <f>'Single Audit Cover'!A7</f>
        <v>Northwest SpEd Coop</v>
      </c>
      <c r="C1" s="2503"/>
      <c r="D1" s="2503"/>
      <c r="E1" s="2503"/>
      <c r="F1" s="2503"/>
      <c r="G1" s="2503"/>
      <c r="H1" s="2503"/>
      <c r="I1" s="2503"/>
      <c r="J1" s="2503"/>
      <c r="K1" s="2503"/>
      <c r="L1" s="1374"/>
      <c r="M1" s="1374"/>
    </row>
    <row r="2" spans="1:13" ht="12" customHeight="1" x14ac:dyDescent="0.2">
      <c r="B2" s="2505">
        <f>'Single Audit Cover'!E7</f>
        <v>8043210061</v>
      </c>
      <c r="C2" s="2505"/>
      <c r="D2" s="2505"/>
      <c r="E2" s="2505"/>
      <c r="F2" s="2505"/>
      <c r="G2" s="2505"/>
      <c r="H2" s="2505"/>
      <c r="I2" s="2505"/>
      <c r="J2" s="2505"/>
      <c r="K2" s="2505"/>
      <c r="L2" s="1375"/>
      <c r="M2" s="1376"/>
    </row>
    <row r="3" spans="1:13" ht="10.35" customHeight="1" x14ac:dyDescent="0.2">
      <c r="B3" s="2526" t="s">
        <v>1347</v>
      </c>
      <c r="C3" s="2526"/>
      <c r="D3" s="2526"/>
      <c r="E3" s="2526"/>
      <c r="F3" s="2526"/>
      <c r="G3" s="2526"/>
      <c r="H3" s="2526"/>
      <c r="I3" s="2526"/>
      <c r="J3" s="2526"/>
      <c r="K3" s="2526"/>
      <c r="L3" s="1377"/>
      <c r="M3" s="1377"/>
    </row>
    <row r="4" spans="1:13" ht="14.25" customHeight="1" x14ac:dyDescent="0.2">
      <c r="B4" s="2527" t="str">
        <f>'Single Audit Cover'!A4</f>
        <v>Year Ending June 30, 2018</v>
      </c>
      <c r="C4" s="2527"/>
      <c r="D4" s="2527"/>
      <c r="E4" s="2527"/>
      <c r="F4" s="2527"/>
      <c r="G4" s="2527"/>
      <c r="H4" s="2527"/>
      <c r="I4" s="2527"/>
      <c r="J4" s="2527"/>
      <c r="K4" s="252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27" t="s">
        <v>1363</v>
      </c>
      <c r="C7" s="2527"/>
      <c r="D7" s="2528"/>
      <c r="E7" s="2528"/>
      <c r="F7" s="2528"/>
      <c r="G7" s="2528"/>
      <c r="H7" s="2528"/>
      <c r="I7" s="2528"/>
      <c r="J7" s="2528"/>
      <c r="K7" s="252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1</v>
      </c>
      <c r="E10" s="322"/>
      <c r="F10" s="1387" t="s">
        <v>1362</v>
      </c>
      <c r="G10" s="1388"/>
      <c r="H10" s="1389" t="s">
        <v>1361</v>
      </c>
      <c r="I10" s="1388" t="s">
        <v>2083</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25" t="s">
        <v>2142</v>
      </c>
      <c r="C14" s="2525"/>
      <c r="D14" s="2525"/>
      <c r="E14" s="2525"/>
      <c r="F14" s="2525"/>
      <c r="G14" s="2525"/>
      <c r="H14" s="2525"/>
      <c r="I14" s="2525"/>
      <c r="J14" s="2525"/>
      <c r="K14" s="252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25" t="s">
        <v>2143</v>
      </c>
      <c r="C17" s="2525"/>
      <c r="D17" s="2525"/>
      <c r="E17" s="2525"/>
      <c r="F17" s="2525"/>
      <c r="G17" s="2525"/>
      <c r="H17" s="2525"/>
      <c r="I17" s="2525"/>
      <c r="J17" s="2525"/>
      <c r="K17" s="2525"/>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29"/>
      <c r="C20" s="2529"/>
      <c r="D20" s="2525"/>
      <c r="E20" s="2525"/>
      <c r="F20" s="2525"/>
      <c r="G20" s="2525"/>
      <c r="H20" s="2525"/>
      <c r="I20" s="2525"/>
      <c r="J20" s="2525"/>
      <c r="K20" s="252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25" t="s">
        <v>2144</v>
      </c>
      <c r="C23" s="2525"/>
      <c r="D23" s="2525"/>
      <c r="E23" s="2525"/>
      <c r="F23" s="2525"/>
      <c r="G23" s="2525"/>
      <c r="H23" s="2525"/>
      <c r="I23" s="2525"/>
      <c r="J23" s="2525"/>
      <c r="K23" s="252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25" t="s">
        <v>2145</v>
      </c>
      <c r="C26" s="2525"/>
      <c r="D26" s="2525"/>
      <c r="E26" s="2525"/>
      <c r="F26" s="2525"/>
      <c r="G26" s="2525"/>
      <c r="H26" s="2525"/>
      <c r="I26" s="2525"/>
      <c r="J26" s="2525"/>
      <c r="K26" s="252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24" t="s">
        <v>2146</v>
      </c>
      <c r="C29" s="2524"/>
      <c r="D29" s="2525"/>
      <c r="E29" s="2525"/>
      <c r="F29" s="2525"/>
      <c r="G29" s="2525"/>
      <c r="H29" s="2525"/>
      <c r="I29" s="2525"/>
      <c r="J29" s="2525"/>
      <c r="K29" s="252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24" t="s">
        <v>2147</v>
      </c>
      <c r="C32" s="2524"/>
      <c r="D32" s="2525"/>
      <c r="E32" s="2525"/>
      <c r="F32" s="2525"/>
      <c r="G32" s="2525"/>
      <c r="H32" s="2525"/>
      <c r="I32" s="2525"/>
      <c r="J32" s="2525"/>
      <c r="K32" s="252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3" t="str">
        <f>'Single Audit Cover'!A7</f>
        <v>Northwest SpEd Coop</v>
      </c>
      <c r="C1" s="2503"/>
      <c r="D1" s="2503"/>
      <c r="E1" s="2503"/>
      <c r="F1" s="2503"/>
      <c r="G1" s="2503"/>
      <c r="H1" s="2503"/>
      <c r="I1" s="2503"/>
      <c r="J1" s="2503"/>
      <c r="K1" s="2503"/>
      <c r="L1" s="1374"/>
      <c r="M1" s="1374"/>
    </row>
    <row r="2" spans="1:13" ht="12" customHeight="1" x14ac:dyDescent="0.2">
      <c r="B2" s="2505">
        <f>'Single Audit Cover'!E7</f>
        <v>8043210061</v>
      </c>
      <c r="C2" s="2505"/>
      <c r="D2" s="2505"/>
      <c r="E2" s="2505"/>
      <c r="F2" s="2505"/>
      <c r="G2" s="2505"/>
      <c r="H2" s="2505"/>
      <c r="I2" s="2505"/>
      <c r="J2" s="2505"/>
      <c r="K2" s="2505"/>
      <c r="L2" s="1375"/>
      <c r="M2" s="1376"/>
    </row>
    <row r="3" spans="1:13" ht="10.35" customHeight="1" x14ac:dyDescent="0.2">
      <c r="B3" s="2526" t="s">
        <v>1347</v>
      </c>
      <c r="C3" s="2526"/>
      <c r="D3" s="2526"/>
      <c r="E3" s="2526"/>
      <c r="F3" s="2526"/>
      <c r="G3" s="2526"/>
      <c r="H3" s="2526"/>
      <c r="I3" s="2526"/>
      <c r="J3" s="2526"/>
      <c r="K3" s="2526"/>
      <c r="L3" s="1955"/>
      <c r="M3" s="1955"/>
    </row>
    <row r="4" spans="1:13" ht="14.25" customHeight="1" x14ac:dyDescent="0.2">
      <c r="B4" s="2527" t="str">
        <f>'Single Audit Cover'!A4</f>
        <v>Year Ending June 30, 2018</v>
      </c>
      <c r="C4" s="2527"/>
      <c r="D4" s="2527"/>
      <c r="E4" s="2527"/>
      <c r="F4" s="2527"/>
      <c r="G4" s="2527"/>
      <c r="H4" s="2527"/>
      <c r="I4" s="2527"/>
      <c r="J4" s="2527"/>
      <c r="K4" s="252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27" t="s">
        <v>1363</v>
      </c>
      <c r="C7" s="2527"/>
      <c r="D7" s="2528"/>
      <c r="E7" s="2528"/>
      <c r="F7" s="2528"/>
      <c r="G7" s="2528"/>
      <c r="H7" s="2528"/>
      <c r="I7" s="2528"/>
      <c r="J7" s="2528"/>
      <c r="K7" s="252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2</v>
      </c>
      <c r="E10" s="322"/>
      <c r="F10" s="1387" t="s">
        <v>1362</v>
      </c>
      <c r="G10" s="1388"/>
      <c r="H10" s="1389" t="s">
        <v>1361</v>
      </c>
      <c r="I10" s="1388" t="s">
        <v>2083</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25" t="s">
        <v>2164</v>
      </c>
      <c r="C14" s="2525"/>
      <c r="D14" s="2525"/>
      <c r="E14" s="2525"/>
      <c r="F14" s="2525"/>
      <c r="G14" s="2525"/>
      <c r="H14" s="2525"/>
      <c r="I14" s="2525"/>
      <c r="J14" s="2525"/>
      <c r="K14" s="252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25" t="s">
        <v>2148</v>
      </c>
      <c r="C17" s="2525"/>
      <c r="D17" s="2525"/>
      <c r="E17" s="2525"/>
      <c r="F17" s="2525"/>
      <c r="G17" s="2525"/>
      <c r="H17" s="2525"/>
      <c r="I17" s="2525"/>
      <c r="J17" s="2525"/>
      <c r="K17" s="2525"/>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29"/>
      <c r="C20" s="2529"/>
      <c r="D20" s="2525"/>
      <c r="E20" s="2525"/>
      <c r="F20" s="2525"/>
      <c r="G20" s="2525"/>
      <c r="H20" s="2525"/>
      <c r="I20" s="2525"/>
      <c r="J20" s="2525"/>
      <c r="K20" s="252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25" t="s">
        <v>2149</v>
      </c>
      <c r="C23" s="2525"/>
      <c r="D23" s="2525"/>
      <c r="E23" s="2525"/>
      <c r="F23" s="2525"/>
      <c r="G23" s="2525"/>
      <c r="H23" s="2525"/>
      <c r="I23" s="2525"/>
      <c r="J23" s="2525"/>
      <c r="K23" s="252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25" t="s">
        <v>2150</v>
      </c>
      <c r="C26" s="2525"/>
      <c r="D26" s="2525"/>
      <c r="E26" s="2525"/>
      <c r="F26" s="2525"/>
      <c r="G26" s="2525"/>
      <c r="H26" s="2525"/>
      <c r="I26" s="2525"/>
      <c r="J26" s="2525"/>
      <c r="K26" s="252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24" t="s">
        <v>2151</v>
      </c>
      <c r="C29" s="2524"/>
      <c r="D29" s="2525"/>
      <c r="E29" s="2525"/>
      <c r="F29" s="2525"/>
      <c r="G29" s="2525"/>
      <c r="H29" s="2525"/>
      <c r="I29" s="2525"/>
      <c r="J29" s="2525"/>
      <c r="K29" s="252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24" t="s">
        <v>2152</v>
      </c>
      <c r="C32" s="2524"/>
      <c r="D32" s="2525"/>
      <c r="E32" s="2525"/>
      <c r="F32" s="2525"/>
      <c r="G32" s="2525"/>
      <c r="H32" s="2525"/>
      <c r="I32" s="2525"/>
      <c r="J32" s="2525"/>
      <c r="K32" s="252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K9" sqref="K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0" t="str">
        <f>'Single Audit Cover'!A7</f>
        <v>Northwest SpEd Coop</v>
      </c>
      <c r="C1" s="2530"/>
      <c r="D1" s="2530"/>
      <c r="E1" s="2530"/>
      <c r="F1" s="2530"/>
      <c r="G1" s="2530"/>
      <c r="H1" s="2530"/>
      <c r="I1" s="2530"/>
      <c r="J1" s="2530"/>
      <c r="K1" s="2530"/>
      <c r="L1" s="1465"/>
    </row>
    <row r="2" spans="1:12" ht="12.75" customHeight="1" x14ac:dyDescent="0.2">
      <c r="B2" s="2531">
        <f>'Single Audit Cover'!E7</f>
        <v>8043210061</v>
      </c>
      <c r="C2" s="2531"/>
      <c r="D2" s="2531"/>
      <c r="E2" s="2531"/>
      <c r="F2" s="2531"/>
      <c r="G2" s="2531"/>
      <c r="H2" s="2531"/>
      <c r="I2" s="2531"/>
      <c r="J2" s="2531"/>
      <c r="K2" s="2531"/>
      <c r="L2" s="1466"/>
    </row>
    <row r="3" spans="1:12" ht="12.75" customHeight="1" x14ac:dyDescent="0.2">
      <c r="B3" s="2526" t="s">
        <v>1347</v>
      </c>
      <c r="C3" s="2526"/>
      <c r="D3" s="2526"/>
      <c r="E3" s="2526"/>
      <c r="F3" s="2526"/>
      <c r="G3" s="2526"/>
      <c r="H3" s="2526"/>
      <c r="I3" s="2526"/>
      <c r="J3" s="2526"/>
      <c r="K3" s="2526"/>
      <c r="L3" s="1377"/>
    </row>
    <row r="4" spans="1:12" ht="12.75" customHeight="1" x14ac:dyDescent="0.2">
      <c r="B4" s="2526" t="str">
        <f>'Single Audit Cover'!A4</f>
        <v>Year Ending June 30, 2018</v>
      </c>
      <c r="C4" s="2526"/>
      <c r="D4" s="2526"/>
      <c r="E4" s="2526"/>
      <c r="F4" s="2526"/>
      <c r="G4" s="2526"/>
      <c r="H4" s="2526"/>
      <c r="I4" s="2526"/>
      <c r="J4" s="2526"/>
      <c r="K4" s="2526"/>
      <c r="L4" s="1377"/>
    </row>
    <row r="5" spans="1:12" ht="5.25" customHeight="1" x14ac:dyDescent="0.2">
      <c r="B5" s="1260" t="s">
        <v>1231</v>
      </c>
      <c r="C5" s="1260"/>
      <c r="L5" s="322"/>
    </row>
    <row r="6" spans="1:12" ht="30.75" customHeight="1" x14ac:dyDescent="0.2">
      <c r="A6" s="322"/>
      <c r="B6" s="2532" t="s">
        <v>1375</v>
      </c>
      <c r="C6" s="2532"/>
      <c r="D6" s="2532"/>
      <c r="E6" s="2532"/>
      <c r="F6" s="2532"/>
      <c r="G6" s="2532"/>
      <c r="H6" s="2532"/>
      <c r="I6" s="2532"/>
      <c r="J6" s="2532"/>
      <c r="K6" s="2532"/>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510"/>
      <c r="G12" s="2510"/>
      <c r="H12" s="2510"/>
      <c r="I12" s="2510"/>
      <c r="J12" s="2510"/>
      <c r="K12" s="251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33"/>
      <c r="E14" s="2533"/>
      <c r="F14" s="2533"/>
      <c r="H14" s="1475" t="s">
        <v>1370</v>
      </c>
      <c r="I14" s="2534"/>
      <c r="J14" s="2534"/>
      <c r="K14" s="253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34"/>
      <c r="E16" s="2534"/>
      <c r="F16" s="2534"/>
      <c r="G16" s="2534"/>
      <c r="H16" s="2534"/>
      <c r="I16" s="2534"/>
      <c r="J16" s="2534"/>
      <c r="K16" s="2534"/>
      <c r="L16" s="322"/>
    </row>
    <row r="17" spans="2:12" ht="13.5" customHeight="1" x14ac:dyDescent="0.2">
      <c r="B17" s="1387" t="s">
        <v>1368</v>
      </c>
      <c r="C17" s="1387"/>
      <c r="D17" s="2535"/>
      <c r="E17" s="2535"/>
      <c r="F17" s="2535"/>
      <c r="G17" s="2535"/>
      <c r="H17" s="2535"/>
      <c r="I17" s="2535"/>
      <c r="J17" s="2535"/>
      <c r="K17" s="253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25"/>
      <c r="C20" s="2525"/>
      <c r="D20" s="2525"/>
      <c r="E20" s="2525"/>
      <c r="F20" s="2525"/>
      <c r="G20" s="2525"/>
      <c r="H20" s="2525"/>
      <c r="I20" s="2525"/>
      <c r="J20" s="2525"/>
      <c r="K20" s="252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25"/>
      <c r="C23" s="2525"/>
      <c r="D23" s="2525"/>
      <c r="E23" s="2525"/>
      <c r="F23" s="2525"/>
      <c r="G23" s="2525"/>
      <c r="H23" s="2525"/>
      <c r="I23" s="2525"/>
      <c r="J23" s="2525"/>
      <c r="K23" s="252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25"/>
      <c r="C26" s="2525"/>
      <c r="D26" s="2525"/>
      <c r="E26" s="2525"/>
      <c r="F26" s="2525"/>
      <c r="G26" s="2525"/>
      <c r="H26" s="2525"/>
      <c r="I26" s="2525"/>
      <c r="J26" s="2525"/>
      <c r="K26" s="252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25"/>
      <c r="C29" s="2525"/>
      <c r="D29" s="2525"/>
      <c r="E29" s="2525"/>
      <c r="F29" s="2525"/>
      <c r="G29" s="2525"/>
      <c r="H29" s="2525"/>
      <c r="I29" s="2525"/>
      <c r="J29" s="2525"/>
      <c r="K29" s="252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25"/>
      <c r="C32" s="2525"/>
      <c r="D32" s="2525"/>
      <c r="E32" s="2525"/>
      <c r="F32" s="2525"/>
      <c r="G32" s="2525"/>
      <c r="H32" s="2525"/>
      <c r="I32" s="2525"/>
      <c r="J32" s="2525"/>
      <c r="K32" s="252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25"/>
      <c r="C35" s="2525"/>
      <c r="D35" s="2525"/>
      <c r="E35" s="2525"/>
      <c r="F35" s="2525"/>
      <c r="G35" s="2525"/>
      <c r="H35" s="2525"/>
      <c r="I35" s="2525"/>
      <c r="J35" s="2525"/>
      <c r="K35" s="252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25"/>
      <c r="C38" s="2525"/>
      <c r="D38" s="2525"/>
      <c r="E38" s="2525"/>
      <c r="F38" s="2525"/>
      <c r="G38" s="2525"/>
      <c r="H38" s="2525"/>
      <c r="I38" s="2525"/>
      <c r="J38" s="2525"/>
      <c r="K38" s="252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25"/>
      <c r="C41" s="2525"/>
      <c r="D41" s="2525"/>
      <c r="E41" s="2525"/>
      <c r="F41" s="2525"/>
      <c r="G41" s="2525"/>
      <c r="H41" s="2525"/>
      <c r="I41" s="2525"/>
      <c r="J41" s="2525"/>
      <c r="K41" s="252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16" sqref="B1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503" t="str">
        <f>'Single Audit Cover'!A7</f>
        <v>Northwest SpEd Coop</v>
      </c>
      <c r="C1" s="2503"/>
      <c r="D1" s="2503"/>
      <c r="E1" s="1491"/>
    </row>
    <row r="2" spans="2:5" s="1282" customFormat="1" ht="12.75" customHeight="1" x14ac:dyDescent="0.2">
      <c r="B2" s="2505">
        <f>'Single Audit Cover'!E7</f>
        <v>8043210061</v>
      </c>
      <c r="C2" s="2505"/>
      <c r="D2" s="2505"/>
      <c r="E2" s="1492"/>
    </row>
    <row r="3" spans="2:5" ht="12.75" customHeight="1" x14ac:dyDescent="0.2">
      <c r="B3" s="2526" t="s">
        <v>1866</v>
      </c>
      <c r="C3" s="2526"/>
      <c r="D3" s="2526"/>
      <c r="E3" s="1274"/>
    </row>
    <row r="4" spans="2:5" s="1282" customFormat="1" ht="12.75" customHeight="1" x14ac:dyDescent="0.2">
      <c r="B4" s="2536" t="str">
        <f>'Single Audit Cover'!A4</f>
        <v>Year Ending June 30, 2018</v>
      </c>
      <c r="C4" s="2536"/>
      <c r="D4" s="2536"/>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13.5" customHeight="1" x14ac:dyDescent="0.2">
      <c r="B8" s="1496"/>
      <c r="C8" s="324"/>
      <c r="D8" s="324"/>
      <c r="E8" s="324"/>
    </row>
    <row r="9" spans="2:5" ht="13.5" customHeight="1" x14ac:dyDescent="0.2">
      <c r="B9" s="1987" t="s">
        <v>2159</v>
      </c>
      <c r="C9" s="1986" t="s">
        <v>2154</v>
      </c>
      <c r="D9" s="1986" t="s">
        <v>2155</v>
      </c>
      <c r="E9" s="323"/>
    </row>
    <row r="10" spans="2:5" ht="13.5" customHeight="1" x14ac:dyDescent="0.2">
      <c r="B10" s="1988"/>
      <c r="C10" s="1985"/>
      <c r="D10" s="1985"/>
      <c r="E10" s="323"/>
    </row>
    <row r="11" spans="2:5" ht="13.5" customHeight="1" x14ac:dyDescent="0.2">
      <c r="B11" s="1987" t="s">
        <v>2160</v>
      </c>
      <c r="C11" s="1985" t="s">
        <v>2157</v>
      </c>
      <c r="D11" s="1985" t="s">
        <v>2155</v>
      </c>
      <c r="E11" s="323"/>
    </row>
    <row r="12" spans="2:5" ht="13.5" customHeight="1" x14ac:dyDescent="0.2">
      <c r="B12" s="1987"/>
      <c r="C12" s="1985"/>
      <c r="D12" s="1985"/>
      <c r="E12" s="323"/>
    </row>
    <row r="13" spans="2:5" ht="13.5" customHeight="1" x14ac:dyDescent="0.2">
      <c r="B13" s="1987" t="s">
        <v>2153</v>
      </c>
      <c r="C13" s="1985" t="s">
        <v>2158</v>
      </c>
      <c r="D13" s="1985" t="s">
        <v>2155</v>
      </c>
      <c r="E13" s="323"/>
    </row>
    <row r="14" spans="2:5" ht="13.5" customHeight="1" x14ac:dyDescent="0.2">
      <c r="B14" s="1987"/>
      <c r="C14" s="1985"/>
      <c r="D14" s="1985"/>
      <c r="E14" s="323"/>
    </row>
    <row r="15" spans="2:5" ht="13.5" customHeight="1" x14ac:dyDescent="0.2">
      <c r="B15" s="1987" t="s">
        <v>2156</v>
      </c>
      <c r="C15" s="1985" t="s">
        <v>2157</v>
      </c>
      <c r="D15" s="1985" t="s">
        <v>2155</v>
      </c>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7" t="s">
        <v>1380</v>
      </c>
      <c r="C44" s="322"/>
    </row>
    <row r="45" spans="2:5" ht="12.2" customHeight="1" x14ac:dyDescent="0.2">
      <c r="B45" s="1504" t="s">
        <v>1869</v>
      </c>
    </row>
    <row r="46" spans="2:5" ht="12.2" customHeight="1" x14ac:dyDescent="0.2">
      <c r="B46" s="1504" t="s">
        <v>1870</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6" colorId="8" zoomScale="110" zoomScaleNormal="110" workbookViewId="0">
      <selection activeCell="B29" sqref="B2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4" t="s">
        <v>404</v>
      </c>
      <c r="B1" s="2134"/>
      <c r="C1" s="2134"/>
      <c r="D1" s="2134"/>
      <c r="E1" s="2134"/>
      <c r="F1" s="2134"/>
      <c r="G1" s="2134"/>
      <c r="H1" s="2134"/>
      <c r="I1" s="2134"/>
      <c r="J1" s="2134"/>
      <c r="K1" s="2134"/>
      <c r="L1" s="2134"/>
      <c r="M1" s="213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3">
        <f>ROUND(D10+F10+H10,5)</f>
        <v>0</v>
      </c>
      <c r="K10" s="222"/>
      <c r="L10" s="355"/>
      <c r="M10" s="222"/>
    </row>
    <row r="11" spans="1:14" ht="7.5" customHeight="1" x14ac:dyDescent="0.2">
      <c r="B11" s="222"/>
      <c r="C11" s="222"/>
      <c r="D11" s="2144" t="str">
        <f>IF(SUM(J10)&lt;=0.0999999,"","Enter the Tax Rates by moving the decimal two places to the left.")</f>
        <v/>
      </c>
      <c r="E11" s="2145"/>
      <c r="F11" s="2145"/>
      <c r="G11" s="2145"/>
      <c r="H11" s="2145"/>
      <c r="I11" s="2145"/>
      <c r="J11" s="214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4900437</v>
      </c>
      <c r="E16" s="356"/>
      <c r="F16" s="1754">
        <f>SUM('Acct Summary 7-8'!C17,'Acct Summary 7-8'!D17,'Acct Summary 7-8'!F17)</f>
        <v>4619130</v>
      </c>
      <c r="G16" s="356"/>
      <c r="H16" s="1754">
        <f>SUM(D16-F16)</f>
        <v>281307</v>
      </c>
      <c r="I16" s="222"/>
      <c r="J16" s="1754">
        <f>SUM('Acct Summary 7-8'!C81,'Acct Summary 7-8'!D81,'Acct Summary 7-8'!F81,'Acct Summary 7-8'!I81)</f>
        <v>1166869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35"/>
      <c r="C54" s="2136"/>
      <c r="D54" s="2136"/>
      <c r="E54" s="2136"/>
      <c r="F54" s="2136"/>
      <c r="G54" s="2136"/>
      <c r="H54" s="2136"/>
      <c r="I54" s="2136"/>
      <c r="J54" s="2136"/>
      <c r="K54" s="2136"/>
      <c r="L54" s="2137"/>
      <c r="M54" s="380"/>
    </row>
    <row r="55" spans="1:13" ht="12.75" customHeight="1" x14ac:dyDescent="0.2">
      <c r="B55" s="2138"/>
      <c r="C55" s="2139"/>
      <c r="D55" s="2139"/>
      <c r="E55" s="2139"/>
      <c r="F55" s="2139"/>
      <c r="G55" s="2139"/>
      <c r="H55" s="2139"/>
      <c r="I55" s="2139"/>
      <c r="J55" s="2139"/>
      <c r="K55" s="2139"/>
      <c r="L55" s="2140"/>
      <c r="M55" s="380"/>
    </row>
    <row r="56" spans="1:13" ht="12.75" customHeight="1" x14ac:dyDescent="0.2">
      <c r="B56" s="2138"/>
      <c r="C56" s="2139"/>
      <c r="D56" s="2139"/>
      <c r="E56" s="2139"/>
      <c r="F56" s="2139"/>
      <c r="G56" s="2139"/>
      <c r="H56" s="2139"/>
      <c r="I56" s="2139"/>
      <c r="J56" s="2139"/>
      <c r="K56" s="2139"/>
      <c r="L56" s="2140"/>
      <c r="M56" s="222"/>
    </row>
    <row r="57" spans="1:13" ht="12.75" customHeight="1" x14ac:dyDescent="0.2">
      <c r="B57" s="2138"/>
      <c r="C57" s="2139"/>
      <c r="D57" s="2139"/>
      <c r="E57" s="2139"/>
      <c r="F57" s="2139"/>
      <c r="G57" s="2139"/>
      <c r="H57" s="2139"/>
      <c r="I57" s="2139"/>
      <c r="J57" s="2139"/>
      <c r="K57" s="2139"/>
      <c r="L57" s="2140"/>
      <c r="M57" s="222"/>
    </row>
    <row r="58" spans="1:13" x14ac:dyDescent="0.2">
      <c r="B58" s="2141"/>
      <c r="C58" s="2142"/>
      <c r="D58" s="2142"/>
      <c r="E58" s="2142"/>
      <c r="F58" s="2142"/>
      <c r="G58" s="2142"/>
      <c r="H58" s="2142"/>
      <c r="I58" s="2142"/>
      <c r="J58" s="2142"/>
      <c r="K58" s="2142"/>
      <c r="L58" s="214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6"/>
      <c r="D61" s="214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B29" sqref="B2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9"/>
      <c r="B1" s="2150"/>
      <c r="C1" s="2150"/>
      <c r="D1" s="384"/>
      <c r="E1" s="384"/>
      <c r="F1" s="384"/>
      <c r="G1" s="384"/>
      <c r="H1" s="384"/>
      <c r="I1" s="384"/>
      <c r="J1" s="384"/>
      <c r="K1" s="384"/>
      <c r="L1" s="384"/>
      <c r="M1" s="384"/>
      <c r="N1" s="384"/>
      <c r="O1" s="2149"/>
      <c r="P1" s="2150"/>
      <c r="Q1" s="2150"/>
    </row>
    <row r="2" spans="1:18" ht="15" x14ac:dyDescent="0.2">
      <c r="A2" s="2153" t="s">
        <v>577</v>
      </c>
      <c r="B2" s="2153"/>
      <c r="C2" s="2153"/>
      <c r="D2" s="2153"/>
      <c r="E2" s="2153"/>
      <c r="F2" s="2153"/>
      <c r="G2" s="2153"/>
      <c r="H2" s="2153"/>
      <c r="I2" s="2153"/>
      <c r="J2" s="2153"/>
      <c r="K2" s="2153"/>
      <c r="L2" s="2153"/>
      <c r="M2" s="2153"/>
      <c r="N2" s="2153"/>
      <c r="O2" s="2153"/>
      <c r="P2" s="2153"/>
      <c r="Q2" s="2153"/>
      <c r="R2" s="2153"/>
    </row>
    <row r="3" spans="1:18" ht="12.75" x14ac:dyDescent="0.2">
      <c r="A3" s="2154" t="s">
        <v>1480</v>
      </c>
      <c r="B3" s="2154"/>
      <c r="C3" s="2154"/>
      <c r="D3" s="2154"/>
      <c r="E3" s="2154"/>
      <c r="F3" s="2154"/>
      <c r="G3" s="2154"/>
      <c r="H3" s="2154"/>
      <c r="I3" s="2154"/>
      <c r="J3" s="2154"/>
      <c r="K3" s="2154"/>
      <c r="L3" s="2154"/>
      <c r="M3" s="2154"/>
      <c r="N3" s="2154"/>
      <c r="O3" s="2154"/>
      <c r="P3" s="2154"/>
      <c r="Q3" s="2154"/>
      <c r="R3" s="2154"/>
    </row>
    <row r="4" spans="1:18" x14ac:dyDescent="0.2">
      <c r="A4" s="2155" t="s">
        <v>1635</v>
      </c>
      <c r="B4" s="2155"/>
      <c r="C4" s="2155"/>
      <c r="D4" s="2155"/>
      <c r="E4" s="2155"/>
      <c r="F4" s="2155"/>
      <c r="G4" s="2155"/>
      <c r="H4" s="2155"/>
      <c r="I4" s="2155"/>
      <c r="J4" s="2155"/>
      <c r="K4" s="2155"/>
      <c r="L4" s="2155"/>
      <c r="M4" s="2155"/>
      <c r="N4" s="2155"/>
      <c r="O4" s="2155"/>
      <c r="P4" s="2155"/>
      <c r="Q4" s="2155"/>
      <c r="R4" s="215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Northwest SpEd Coop</v>
      </c>
      <c r="E7" s="391"/>
      <c r="G7" s="252"/>
      <c r="H7" s="387"/>
      <c r="I7" s="387"/>
      <c r="J7" s="387"/>
      <c r="K7" s="387"/>
      <c r="L7" s="329"/>
      <c r="M7" s="329"/>
      <c r="N7" s="329"/>
      <c r="O7" s="329"/>
      <c r="P7" s="329"/>
    </row>
    <row r="8" spans="1:18" ht="12.75" x14ac:dyDescent="0.2">
      <c r="A8" s="329"/>
      <c r="B8" s="329"/>
      <c r="C8" s="389" t="s">
        <v>1187</v>
      </c>
      <c r="D8" s="392">
        <f>COVER!A13</f>
        <v>8043210061</v>
      </c>
      <c r="E8" s="393"/>
      <c r="G8" s="329"/>
      <c r="H8" s="329"/>
      <c r="I8" s="329"/>
      <c r="J8" s="329"/>
      <c r="K8" s="329"/>
      <c r="L8" s="329"/>
      <c r="M8" s="329"/>
      <c r="N8" s="329"/>
      <c r="O8" s="329"/>
      <c r="P8" s="329"/>
    </row>
    <row r="9" spans="1:18" ht="12.75" x14ac:dyDescent="0.2">
      <c r="A9" s="329"/>
      <c r="B9" s="329"/>
      <c r="C9" s="389" t="s">
        <v>737</v>
      </c>
      <c r="D9" s="394" t="str">
        <f>COVER!A15</f>
        <v>Jo Daviess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1166869</v>
      </c>
      <c r="I12" s="404"/>
      <c r="J12" s="404"/>
      <c r="K12" s="405">
        <f>TRUNC((H12/H13*100000),5)/100000</f>
        <v>0.23811529460000003</v>
      </c>
      <c r="L12" s="406"/>
      <c r="M12" s="360" t="s">
        <v>1206</v>
      </c>
      <c r="N12" s="360"/>
      <c r="O12" s="407">
        <v>0.35</v>
      </c>
      <c r="P12" s="218"/>
      <c r="Q12" s="218"/>
    </row>
    <row r="13" spans="1:18" s="408" customFormat="1" ht="12.75" x14ac:dyDescent="0.2">
      <c r="A13" s="218"/>
      <c r="B13" s="401"/>
      <c r="C13" s="2151" t="s">
        <v>1391</v>
      </c>
      <c r="D13" s="2152"/>
      <c r="E13" s="218"/>
      <c r="F13" s="409" t="s">
        <v>826</v>
      </c>
      <c r="G13" s="402"/>
      <c r="H13" s="403">
        <f>SUM('Acct Summary 7-8'!C8+'Acct Summary 7-8'!D8+'Acct Summary 7-8'!F8+'Acct Summary 7-8'!I8)+H14</f>
        <v>4900437</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4619130</v>
      </c>
      <c r="I17" s="404"/>
      <c r="J17" s="416"/>
      <c r="K17" s="405">
        <f>TRUNC((H17/H18*100000),5)/100000</f>
        <v>0.94259552769999999</v>
      </c>
      <c r="L17" s="406"/>
      <c r="M17" s="417" t="s">
        <v>1233</v>
      </c>
      <c r="O17" s="418" t="str">
        <f>IF(AND(O16="2", J20 &gt; 2),"1",IF(AND(O16 = "1", J20 &gt; 2),"2",IF(AND(O16="1", J20 &gt;1),"1","0")))</f>
        <v>0</v>
      </c>
      <c r="P17" s="218"/>
    </row>
    <row r="18" spans="1:18" s="408" customFormat="1" ht="11.25" x14ac:dyDescent="0.2">
      <c r="A18" s="218"/>
      <c r="B18" s="401"/>
      <c r="C18" s="2151" t="s">
        <v>1384</v>
      </c>
      <c r="D18" s="2152"/>
      <c r="E18" s="218"/>
      <c r="F18" s="419" t="s">
        <v>827</v>
      </c>
      <c r="G18" s="402"/>
      <c r="H18" s="403">
        <f>SUM('Acct Summary 7-8'!C8+'Acct Summary 7-8'!D8+'Acct Summary 7-8'!F8+'Acct Summary 7-8'!I8)+H19</f>
        <v>4900437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48" t="s">
        <v>1479</v>
      </c>
      <c r="D24" s="2148"/>
      <c r="E24" s="218"/>
      <c r="F24" s="218" t="s">
        <v>465</v>
      </c>
      <c r="G24" s="402"/>
      <c r="H24" s="403">
        <f>SUM('Assets-Liab 5-6'!C4+'Assets-Liab 5-6'!D4+'Assets-Liab 5-6'!F4+'Assets-Liab 5-6'!I4+'Assets-Liab 5-6'!C5+'Assets-Liab 5-6'!D5+'Assets-Liab 5-6'!F5+'Assets-Liab 5-6'!I5)</f>
        <v>1209753</v>
      </c>
      <c r="I24" s="422"/>
      <c r="J24" s="422"/>
      <c r="K24" s="423">
        <f>TRUNC(((H24/H25*100000)/100000),2)</f>
        <v>94.28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12830.916670000001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view="pageLayout" topLeftCell="L1" colorId="8" zoomScaleNormal="90" workbookViewId="0">
      <selection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5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58" t="s">
        <v>1030</v>
      </c>
      <c r="B3" s="2159"/>
      <c r="C3" s="1580"/>
      <c r="D3" s="1581"/>
      <c r="E3" s="1581"/>
      <c r="F3" s="1581"/>
      <c r="G3" s="1581"/>
      <c r="H3" s="1581"/>
      <c r="I3" s="1581"/>
      <c r="J3" s="1581"/>
      <c r="K3" s="1581"/>
      <c r="L3" s="1581"/>
      <c r="M3" s="1582"/>
      <c r="N3" s="1583"/>
    </row>
    <row r="4" spans="1:14" ht="13.5" customHeight="1" x14ac:dyDescent="0.2">
      <c r="A4" s="463" t="s">
        <v>1750</v>
      </c>
      <c r="B4" s="464"/>
      <c r="C4" s="465">
        <v>928841</v>
      </c>
      <c r="D4" s="466"/>
      <c r="E4" s="466"/>
      <c r="F4" s="466"/>
      <c r="G4" s="466"/>
      <c r="H4" s="466"/>
      <c r="I4" s="466"/>
      <c r="J4" s="467"/>
      <c r="K4" s="466"/>
      <c r="L4" s="466">
        <v>1711</v>
      </c>
      <c r="M4" s="468"/>
      <c r="N4" s="469"/>
    </row>
    <row r="5" spans="1:14" x14ac:dyDescent="0.2">
      <c r="A5" s="463" t="s">
        <v>1049</v>
      </c>
      <c r="B5" s="470">
        <v>120</v>
      </c>
      <c r="C5" s="465">
        <v>280912</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521145</v>
      </c>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v>7419</v>
      </c>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1738317</v>
      </c>
      <c r="D13" s="1758">
        <f t="shared" ref="D13:L13" si="0">SUM(D4:D12)</f>
        <v>0</v>
      </c>
      <c r="E13" s="1758">
        <f t="shared" si="0"/>
        <v>0</v>
      </c>
      <c r="F13" s="1758">
        <f t="shared" si="0"/>
        <v>0</v>
      </c>
      <c r="G13" s="1758">
        <f t="shared" si="0"/>
        <v>0</v>
      </c>
      <c r="H13" s="1758">
        <f t="shared" si="0"/>
        <v>0</v>
      </c>
      <c r="I13" s="1758">
        <f t="shared" si="0"/>
        <v>0</v>
      </c>
      <c r="J13" s="1758">
        <f t="shared" si="0"/>
        <v>0</v>
      </c>
      <c r="K13" s="1758">
        <f t="shared" si="0"/>
        <v>0</v>
      </c>
      <c r="L13" s="1758">
        <f t="shared" si="0"/>
        <v>1711</v>
      </c>
      <c r="M13" s="468"/>
      <c r="N13" s="469"/>
    </row>
    <row r="14" spans="1:14" ht="18" customHeight="1" thickTop="1" x14ac:dyDescent="0.2">
      <c r="A14" s="2160" t="s">
        <v>149</v>
      </c>
      <c r="B14" s="2161"/>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30580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7" t="s">
        <v>664</v>
      </c>
      <c r="B23" s="1762"/>
      <c r="C23" s="468"/>
      <c r="D23" s="468"/>
      <c r="E23" s="468"/>
      <c r="F23" s="468"/>
      <c r="G23" s="468"/>
      <c r="H23" s="468"/>
      <c r="I23" s="468"/>
      <c r="J23" s="468"/>
      <c r="K23" s="468"/>
      <c r="L23" s="468"/>
      <c r="M23" s="1709">
        <f>SUM(M15:M22)</f>
        <v>30580</v>
      </c>
      <c r="N23" s="1709">
        <f>SUM(N21:N22)</f>
        <v>0</v>
      </c>
    </row>
    <row r="24" spans="1:14" ht="18" customHeight="1" thickTop="1" x14ac:dyDescent="0.2">
      <c r="A24" s="2162" t="s">
        <v>619</v>
      </c>
      <c r="B24" s="2163"/>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v>317442</v>
      </c>
      <c r="D26" s="467"/>
      <c r="E26" s="467"/>
      <c r="F26" s="467"/>
      <c r="G26" s="467"/>
      <c r="H26" s="467"/>
      <c r="I26" s="467"/>
      <c r="J26" s="474"/>
      <c r="K26" s="467"/>
      <c r="L26" s="468"/>
      <c r="M26" s="468"/>
      <c r="N26" s="468"/>
    </row>
    <row r="27" spans="1:14" ht="13.5" customHeight="1" x14ac:dyDescent="0.2">
      <c r="A27" s="473" t="s">
        <v>668</v>
      </c>
      <c r="B27" s="470">
        <v>430</v>
      </c>
      <c r="C27" s="467">
        <v>4086</v>
      </c>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249920</v>
      </c>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1711</v>
      </c>
      <c r="M33" s="468"/>
      <c r="N33" s="469"/>
    </row>
    <row r="34" spans="1:14" ht="13.5" customHeight="1" thickBot="1" x14ac:dyDescent="0.25">
      <c r="A34" s="1759" t="s">
        <v>675</v>
      </c>
      <c r="B34" s="1760"/>
      <c r="C34" s="1761">
        <f>SUM(C25:C33)</f>
        <v>571448</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1711</v>
      </c>
      <c r="M34" s="468"/>
      <c r="N34" s="480"/>
    </row>
    <row r="35" spans="1:14" ht="18" customHeight="1" thickTop="1" x14ac:dyDescent="0.2">
      <c r="A35" s="2164" t="s">
        <v>550</v>
      </c>
      <c r="B35" s="2165"/>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7" t="s">
        <v>674</v>
      </c>
      <c r="B37" s="1762"/>
      <c r="C37" s="477"/>
      <c r="D37" s="477"/>
      <c r="E37" s="477"/>
      <c r="F37" s="477"/>
      <c r="G37" s="477"/>
      <c r="H37" s="477"/>
      <c r="I37" s="477"/>
      <c r="J37" s="477"/>
      <c r="K37" s="477"/>
      <c r="L37" s="480"/>
      <c r="M37" s="468"/>
      <c r="N37" s="1709">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1166869</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30580</v>
      </c>
      <c r="N40" s="497"/>
    </row>
    <row r="41" spans="1:14" ht="13.5" customHeight="1" thickBot="1" x14ac:dyDescent="0.25">
      <c r="A41" s="1757" t="s">
        <v>676</v>
      </c>
      <c r="B41" s="1727"/>
      <c r="C41" s="1709">
        <f>(SUM(C34,C37,C38,C39))</f>
        <v>1738317</v>
      </c>
      <c r="D41" s="1709">
        <f t="shared" ref="D41:L41" si="2">SUM(D34,D37,D38:D39)</f>
        <v>0</v>
      </c>
      <c r="E41" s="1709">
        <f t="shared" si="2"/>
        <v>0</v>
      </c>
      <c r="F41" s="1709">
        <f t="shared" si="2"/>
        <v>0</v>
      </c>
      <c r="G41" s="1709">
        <f t="shared" si="2"/>
        <v>0</v>
      </c>
      <c r="H41" s="1709">
        <f t="shared" si="2"/>
        <v>0</v>
      </c>
      <c r="I41" s="1709">
        <f t="shared" si="2"/>
        <v>0</v>
      </c>
      <c r="J41" s="1709">
        <f t="shared" si="2"/>
        <v>0</v>
      </c>
      <c r="K41" s="1709">
        <f t="shared" si="2"/>
        <v>0</v>
      </c>
      <c r="L41" s="1709">
        <f t="shared" si="2"/>
        <v>1711</v>
      </c>
      <c r="M41" s="1709">
        <f>SUM(M40)</f>
        <v>30580</v>
      </c>
      <c r="N41" s="1709">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Layout" colorId="8" zoomScaleNormal="110" zoomScaleSheetLayoutView="100" workbookViewId="0">
      <pane ySplit="3840"/>
      <selection activeCell="B29" sqref="B29"/>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7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86" t="s">
        <v>1237</v>
      </c>
      <c r="B3" s="2187"/>
      <c r="C3" s="1594"/>
      <c r="D3" s="1595"/>
      <c r="E3" s="1595"/>
      <c r="F3" s="1595"/>
      <c r="G3" s="1595"/>
      <c r="H3" s="1595"/>
      <c r="I3" s="1595"/>
      <c r="J3" s="1595"/>
      <c r="K3" s="1596"/>
      <c r="L3" s="506"/>
    </row>
    <row r="4" spans="1:13" ht="15.75" customHeight="1" x14ac:dyDescent="0.2">
      <c r="A4" s="1953" t="s">
        <v>1579</v>
      </c>
      <c r="B4" s="1954">
        <v>1000</v>
      </c>
      <c r="C4" s="1763">
        <f>'Revenues 9-14'!C109</f>
        <v>2471491</v>
      </c>
      <c r="D4" s="1763">
        <f>'Revenues 9-14'!D109</f>
        <v>0</v>
      </c>
      <c r="E4" s="1763">
        <f>'Revenues 9-14'!E109</f>
        <v>0</v>
      </c>
      <c r="F4" s="1763">
        <f>'Revenues 9-14'!F109</f>
        <v>0</v>
      </c>
      <c r="G4" s="1763">
        <f>'Revenues 9-14'!G109</f>
        <v>0</v>
      </c>
      <c r="H4" s="1763">
        <f>'Revenues 9-14'!H109</f>
        <v>0</v>
      </c>
      <c r="I4" s="1763">
        <f>'Revenues 9-14'!I109</f>
        <v>0</v>
      </c>
      <c r="J4" s="1763">
        <f>'Revenues 9-14'!J109</f>
        <v>0</v>
      </c>
      <c r="K4" s="1763">
        <f>'Revenues 9-14'!K109</f>
        <v>0</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225582</v>
      </c>
      <c r="D6" s="1764">
        <f>'Revenues 9-14'!D173</f>
        <v>0</v>
      </c>
      <c r="E6" s="1764">
        <f>'Revenues 9-14'!E173</f>
        <v>0</v>
      </c>
      <c r="F6" s="1764">
        <f>'Revenues 9-14'!F173</f>
        <v>0</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2203364</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4900437</v>
      </c>
      <c r="D8" s="1709">
        <f t="shared" ref="D8:K8" si="0">SUM(D4:D7)</f>
        <v>0</v>
      </c>
      <c r="E8" s="1709">
        <f t="shared" si="0"/>
        <v>0</v>
      </c>
      <c r="F8" s="1709">
        <f t="shared" si="0"/>
        <v>0</v>
      </c>
      <c r="G8" s="1709">
        <f t="shared" si="0"/>
        <v>0</v>
      </c>
      <c r="H8" s="1709">
        <f t="shared" si="0"/>
        <v>0</v>
      </c>
      <c r="I8" s="1709">
        <f t="shared" si="0"/>
        <v>0</v>
      </c>
      <c r="J8" s="1709">
        <f t="shared" si="0"/>
        <v>0</v>
      </c>
      <c r="K8" s="1709">
        <f t="shared" si="0"/>
        <v>0</v>
      </c>
      <c r="L8" s="347"/>
    </row>
    <row r="9" spans="1:13" ht="15.75" thickTop="1" x14ac:dyDescent="0.2">
      <c r="A9" s="514" t="s">
        <v>1752</v>
      </c>
      <c r="B9" s="515">
        <v>3998</v>
      </c>
      <c r="C9" s="481">
        <v>930058</v>
      </c>
      <c r="D9" s="516"/>
      <c r="E9" s="481"/>
      <c r="F9" s="481"/>
      <c r="G9" s="517"/>
      <c r="H9" s="481"/>
      <c r="I9" s="509" t="s">
        <v>1231</v>
      </c>
      <c r="J9" s="478"/>
      <c r="K9" s="481"/>
      <c r="L9" s="347"/>
    </row>
    <row r="10" spans="1:13" s="519" customFormat="1" ht="13.5" thickBot="1" x14ac:dyDescent="0.25">
      <c r="A10" s="1757" t="s">
        <v>1235</v>
      </c>
      <c r="B10" s="1730"/>
      <c r="C10" s="1709">
        <f>SUM(C8:C9)</f>
        <v>5830495</v>
      </c>
      <c r="D10" s="1709">
        <f t="shared" ref="D10:K10" si="1">SUM(D8:D9)</f>
        <v>0</v>
      </c>
      <c r="E10" s="1709">
        <f t="shared" si="1"/>
        <v>0</v>
      </c>
      <c r="F10" s="1709">
        <f t="shared" si="1"/>
        <v>0</v>
      </c>
      <c r="G10" s="1709">
        <f t="shared" si="1"/>
        <v>0</v>
      </c>
      <c r="H10" s="1709">
        <f t="shared" si="1"/>
        <v>0</v>
      </c>
      <c r="I10" s="1709">
        <f t="shared" si="1"/>
        <v>0</v>
      </c>
      <c r="J10" s="1709">
        <f t="shared" si="1"/>
        <v>0</v>
      </c>
      <c r="K10" s="1709">
        <f t="shared" si="1"/>
        <v>0</v>
      </c>
      <c r="L10" s="518"/>
    </row>
    <row r="11" spans="1:13" s="519" customFormat="1" ht="16.7" customHeight="1" thickTop="1" x14ac:dyDescent="0.2">
      <c r="A11" s="2160" t="s">
        <v>1238</v>
      </c>
      <c r="B11" s="2161"/>
      <c r="C11" s="1591"/>
      <c r="D11" s="1592"/>
      <c r="E11" s="1592"/>
      <c r="F11" s="1592"/>
      <c r="G11" s="1592"/>
      <c r="H11" s="1592"/>
      <c r="I11" s="1592"/>
      <c r="J11" s="1592"/>
      <c r="K11" s="1593"/>
      <c r="L11" s="518"/>
    </row>
    <row r="12" spans="1:13" ht="15.75" customHeight="1" x14ac:dyDescent="0.2">
      <c r="A12" s="1597" t="s">
        <v>476</v>
      </c>
      <c r="B12" s="1599">
        <v>1000</v>
      </c>
      <c r="C12" s="1763">
        <f>'Expenditures 15-22'!K33</f>
        <v>705304</v>
      </c>
      <c r="D12" s="520" t="s">
        <v>1231</v>
      </c>
      <c r="E12" s="468" t="s">
        <v>1231</v>
      </c>
      <c r="F12" s="468" t="s">
        <v>1231</v>
      </c>
      <c r="G12" s="1763">
        <f>'Expenditures 15-22'!K229</f>
        <v>0</v>
      </c>
      <c r="H12" s="521"/>
      <c r="I12" s="468" t="s">
        <v>1231</v>
      </c>
      <c r="J12" s="468" t="s">
        <v>1231</v>
      </c>
      <c r="K12" s="521" t="s">
        <v>1231</v>
      </c>
      <c r="L12" s="347"/>
    </row>
    <row r="13" spans="1:13" ht="15.75" customHeight="1" x14ac:dyDescent="0.2">
      <c r="A13" s="1597" t="s">
        <v>477</v>
      </c>
      <c r="B13" s="1599">
        <v>2000</v>
      </c>
      <c r="C13" s="1764">
        <f>'Expenditures 15-22'!K74</f>
        <v>1864035</v>
      </c>
      <c r="D13" s="1764">
        <f>'Expenditures 15-22'!K129</f>
        <v>0</v>
      </c>
      <c r="E13" s="469" t="s">
        <v>1231</v>
      </c>
      <c r="F13" s="1764">
        <f>'Expenditures 15-22'!K184</f>
        <v>0</v>
      </c>
      <c r="G13" s="1764">
        <f>'Expenditures 15-22'!K279</f>
        <v>0</v>
      </c>
      <c r="H13" s="1764">
        <f>'Expenditures 15-22'!K303</f>
        <v>0</v>
      </c>
      <c r="I13" s="468" t="s">
        <v>1231</v>
      </c>
      <c r="J13" s="1764">
        <f>'Expenditures 15-22'!K330</f>
        <v>0</v>
      </c>
      <c r="K13" s="1768">
        <f>'Expenditures 15-22'!K352</f>
        <v>0</v>
      </c>
      <c r="L13" s="347"/>
    </row>
    <row r="14" spans="1:13" ht="15.75" customHeight="1" x14ac:dyDescent="0.2">
      <c r="A14" s="1597" t="s">
        <v>469</v>
      </c>
      <c r="B14" s="1599">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2049791</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0</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4619130</v>
      </c>
      <c r="D17" s="1709">
        <f t="shared" si="2"/>
        <v>0</v>
      </c>
      <c r="E17" s="1709">
        <f t="shared" si="2"/>
        <v>0</v>
      </c>
      <c r="F17" s="1709">
        <f t="shared" si="2"/>
        <v>0</v>
      </c>
      <c r="G17" s="1709">
        <f t="shared" si="2"/>
        <v>0</v>
      </c>
      <c r="H17" s="1709">
        <f t="shared" si="2"/>
        <v>0</v>
      </c>
      <c r="I17" s="468"/>
      <c r="J17" s="1709">
        <f>SUM(J12:J16)</f>
        <v>0</v>
      </c>
      <c r="K17" s="1709">
        <f>SUM(K12:K16)</f>
        <v>0</v>
      </c>
      <c r="L17" s="347"/>
    </row>
    <row r="18" spans="1:12" ht="15" customHeight="1" thickTop="1" x14ac:dyDescent="0.2">
      <c r="A18" s="1765" t="s">
        <v>1753</v>
      </c>
      <c r="B18" s="1766">
        <v>4180</v>
      </c>
      <c r="C18" s="1763">
        <f t="shared" ref="C18:H18" si="3">C9</f>
        <v>930058</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5549188</v>
      </c>
      <c r="D19" s="1709">
        <f t="shared" si="4"/>
        <v>0</v>
      </c>
      <c r="E19" s="1709">
        <f t="shared" si="4"/>
        <v>0</v>
      </c>
      <c r="F19" s="1709">
        <f t="shared" si="4"/>
        <v>0</v>
      </c>
      <c r="G19" s="1709">
        <f t="shared" si="4"/>
        <v>0</v>
      </c>
      <c r="H19" s="1709">
        <f t="shared" si="4"/>
        <v>0</v>
      </c>
      <c r="I19" s="468"/>
      <c r="J19" s="1709">
        <f>SUM(J17:J18)</f>
        <v>0</v>
      </c>
      <c r="K19" s="1709">
        <f>SUM(K17:K18)</f>
        <v>0</v>
      </c>
      <c r="L19" s="347"/>
    </row>
    <row r="20" spans="1:12" ht="16.5" thickTop="1" thickBot="1" x14ac:dyDescent="0.25">
      <c r="A20" s="2176" t="s">
        <v>1754</v>
      </c>
      <c r="B20" s="2177"/>
      <c r="C20" s="1767">
        <f>C8-C17</f>
        <v>281307</v>
      </c>
      <c r="D20" s="1767">
        <f t="shared" ref="D20:K20" si="5">D8-D17</f>
        <v>0</v>
      </c>
      <c r="E20" s="1767">
        <f t="shared" si="5"/>
        <v>0</v>
      </c>
      <c r="F20" s="1767">
        <f t="shared" si="5"/>
        <v>0</v>
      </c>
      <c r="G20" s="1767">
        <f t="shared" si="5"/>
        <v>0</v>
      </c>
      <c r="H20" s="1767">
        <f t="shared" si="5"/>
        <v>0</v>
      </c>
      <c r="I20" s="1767">
        <f t="shared" si="5"/>
        <v>0</v>
      </c>
      <c r="J20" s="1767">
        <f t="shared" si="5"/>
        <v>0</v>
      </c>
      <c r="K20" s="1767">
        <f t="shared" si="5"/>
        <v>0</v>
      </c>
      <c r="L20" s="347"/>
    </row>
    <row r="21" spans="1:12" ht="16.7" customHeight="1" thickTop="1" x14ac:dyDescent="0.2">
      <c r="A21" s="2188" t="s">
        <v>616</v>
      </c>
      <c r="B21" s="2189"/>
      <c r="C21" s="1591"/>
      <c r="D21" s="1592"/>
      <c r="E21" s="1592"/>
      <c r="F21" s="1592"/>
      <c r="G21" s="1592"/>
      <c r="H21" s="1592"/>
      <c r="I21" s="1592"/>
      <c r="J21" s="1592"/>
      <c r="K21" s="1593"/>
      <c r="L21" s="524"/>
    </row>
    <row r="22" spans="1:12" ht="15.75" customHeight="1" collapsed="1" x14ac:dyDescent="0.2">
      <c r="A22" s="2184" t="s">
        <v>617</v>
      </c>
      <c r="B22" s="2185"/>
      <c r="C22" s="477"/>
      <c r="D22" s="477"/>
      <c r="E22" s="477"/>
      <c r="F22" s="477"/>
      <c r="G22" s="477"/>
      <c r="H22" s="477"/>
      <c r="I22" s="477"/>
      <c r="J22" s="477"/>
      <c r="K22" s="477"/>
      <c r="L22" s="347"/>
    </row>
    <row r="23" spans="1:12" s="485" customFormat="1" ht="15.75" customHeight="1" x14ac:dyDescent="0.2">
      <c r="A23" s="2180" t="s">
        <v>311</v>
      </c>
      <c r="B23" s="2181"/>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1894</v>
      </c>
      <c r="B30" s="527">
        <v>7160</v>
      </c>
      <c r="C30" s="477"/>
      <c r="D30" s="467"/>
      <c r="E30" s="477"/>
      <c r="F30" s="477"/>
      <c r="G30" s="477"/>
      <c r="H30" s="477"/>
      <c r="I30" s="477"/>
      <c r="J30" s="477"/>
      <c r="K30" s="477"/>
      <c r="L30" s="524"/>
    </row>
    <row r="31" spans="1:12" s="485" customFormat="1" ht="26.25" x14ac:dyDescent="0.2">
      <c r="A31" s="1510" t="s">
        <v>1898</v>
      </c>
      <c r="B31" s="527">
        <v>7170</v>
      </c>
      <c r="C31" s="477"/>
      <c r="D31" s="477"/>
      <c r="E31" s="474"/>
      <c r="F31" s="477"/>
      <c r="G31" s="477"/>
      <c r="H31" s="477"/>
      <c r="I31" s="477"/>
      <c r="J31" s="477"/>
      <c r="K31" s="477"/>
      <c r="L31" s="524"/>
    </row>
    <row r="32" spans="1:12" s="485" customFormat="1" ht="15.75" customHeight="1" x14ac:dyDescent="0.2">
      <c r="A32" s="2182" t="s">
        <v>1038</v>
      </c>
      <c r="B32" s="2183"/>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90" t="s">
        <v>392</v>
      </c>
      <c r="B44" s="2191"/>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84" t="s">
        <v>110</v>
      </c>
      <c r="B45" s="2185"/>
      <c r="C45" s="528"/>
      <c r="D45" s="528"/>
      <c r="E45" s="528"/>
      <c r="F45" s="528"/>
      <c r="G45" s="528"/>
      <c r="H45" s="528"/>
      <c r="I45" s="528"/>
      <c r="J45" s="528"/>
      <c r="K45" s="528"/>
      <c r="L45" s="347"/>
    </row>
    <row r="46" spans="1:12" s="485" customFormat="1" ht="15.75" customHeight="1" x14ac:dyDescent="0.2">
      <c r="A46" s="2192" t="s">
        <v>111</v>
      </c>
      <c r="B46" s="2193"/>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1897</v>
      </c>
      <c r="B52" s="483">
        <v>8160</v>
      </c>
      <c r="C52" s="477"/>
      <c r="D52" s="477"/>
      <c r="E52" s="477"/>
      <c r="F52" s="477"/>
      <c r="G52" s="477"/>
      <c r="H52" s="477"/>
      <c r="I52" s="477"/>
      <c r="J52" s="477"/>
      <c r="K52" s="1764">
        <f>D30</f>
        <v>0</v>
      </c>
      <c r="L52" s="524"/>
    </row>
    <row r="53" spans="1:12" s="485" customFormat="1" ht="26.25" x14ac:dyDescent="0.2">
      <c r="A53" s="1511" t="s">
        <v>1896</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66" t="s">
        <v>460</v>
      </c>
      <c r="B76" s="2167"/>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68" t="s">
        <v>1239</v>
      </c>
      <c r="B77" s="2169"/>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72" t="s">
        <v>618</v>
      </c>
      <c r="B78" s="2173"/>
      <c r="C78" s="1723">
        <f t="shared" ref="C78:K78" si="9">C20+C77</f>
        <v>281307</v>
      </c>
      <c r="D78" s="1723">
        <f t="shared" si="9"/>
        <v>0</v>
      </c>
      <c r="E78" s="1723">
        <f t="shared" si="9"/>
        <v>0</v>
      </c>
      <c r="F78" s="1723">
        <f t="shared" si="9"/>
        <v>0</v>
      </c>
      <c r="G78" s="1723">
        <f t="shared" si="9"/>
        <v>0</v>
      </c>
      <c r="H78" s="1723">
        <f t="shared" si="9"/>
        <v>0</v>
      </c>
      <c r="I78" s="1723">
        <f t="shared" si="9"/>
        <v>0</v>
      </c>
      <c r="J78" s="1723">
        <f t="shared" si="9"/>
        <v>0</v>
      </c>
      <c r="K78" s="1723">
        <f t="shared" si="9"/>
        <v>0</v>
      </c>
      <c r="L78" s="533"/>
    </row>
    <row r="79" spans="1:12" ht="13.5" thickTop="1" x14ac:dyDescent="0.2">
      <c r="A79" s="1515" t="s">
        <v>2070</v>
      </c>
      <c r="B79" s="534"/>
      <c r="C79" s="478">
        <v>885562</v>
      </c>
      <c r="D79" s="535"/>
      <c r="E79" s="535"/>
      <c r="F79" s="535"/>
      <c r="G79" s="535"/>
      <c r="H79" s="535"/>
      <c r="I79" s="535"/>
      <c r="J79" s="535"/>
      <c r="K79" s="535"/>
      <c r="L79" s="347"/>
    </row>
    <row r="80" spans="1:12" x14ac:dyDescent="0.2">
      <c r="A80" s="2178" t="s">
        <v>1895</v>
      </c>
      <c r="B80" s="2179"/>
      <c r="C80" s="467"/>
      <c r="D80" s="467"/>
      <c r="E80" s="467"/>
      <c r="F80" s="467"/>
      <c r="G80" s="467"/>
      <c r="H80" s="467"/>
      <c r="I80" s="467"/>
      <c r="J80" s="467"/>
      <c r="K80" s="467"/>
      <c r="L80" s="347"/>
    </row>
    <row r="81" spans="1:12" ht="13.5" thickBot="1" x14ac:dyDescent="0.25">
      <c r="A81" s="2170" t="s">
        <v>2071</v>
      </c>
      <c r="B81" s="2171"/>
      <c r="C81" s="1709">
        <f>(SUM(C78:C80))</f>
        <v>1166869</v>
      </c>
      <c r="D81" s="1709">
        <f>SUM(D78:D80)</f>
        <v>0</v>
      </c>
      <c r="E81" s="1709">
        <f t="shared" ref="E81:K81" si="10">SUM(E78:E80)</f>
        <v>0</v>
      </c>
      <c r="F81" s="1709">
        <f t="shared" si="10"/>
        <v>0</v>
      </c>
      <c r="G81" s="1709">
        <f t="shared" si="10"/>
        <v>0</v>
      </c>
      <c r="H81" s="1709">
        <f t="shared" si="10"/>
        <v>0</v>
      </c>
      <c r="I81" s="1709">
        <f t="shared" si="10"/>
        <v>0</v>
      </c>
      <c r="J81" s="1709">
        <f t="shared" si="10"/>
        <v>0</v>
      </c>
      <c r="K81" s="1709">
        <f t="shared" si="10"/>
        <v>0</v>
      </c>
      <c r="L81" s="347"/>
    </row>
    <row r="82" spans="1:12" ht="0.75" customHeight="1" thickTop="1" thickBot="1" x14ac:dyDescent="0.25">
      <c r="A82" s="536" t="s">
        <v>361</v>
      </c>
      <c r="B82" s="537"/>
      <c r="C82" s="538">
        <f>(C81-C79)</f>
        <v>281307</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0.24107847581862232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EXPENDITURES,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selection sqref="A1:A2"/>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4" t="s">
        <v>1902</v>
      </c>
      <c r="B1" s="452"/>
      <c r="C1" s="453" t="s">
        <v>445</v>
      </c>
      <c r="D1" s="453" t="s">
        <v>446</v>
      </c>
      <c r="E1" s="453" t="s">
        <v>447</v>
      </c>
      <c r="F1" s="453" t="s">
        <v>448</v>
      </c>
      <c r="G1" s="453" t="s">
        <v>449</v>
      </c>
      <c r="H1" s="453" t="s">
        <v>450</v>
      </c>
      <c r="I1" s="453" t="s">
        <v>451</v>
      </c>
      <c r="J1" s="453" t="s">
        <v>452</v>
      </c>
      <c r="K1" s="453" t="s">
        <v>780</v>
      </c>
    </row>
    <row r="2" spans="1:12" ht="36" x14ac:dyDescent="0.2">
      <c r="A2" s="217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0</v>
      </c>
      <c r="D12" s="1728">
        <f t="shared" si="0"/>
        <v>0</v>
      </c>
      <c r="E12" s="1728">
        <f t="shared" si="0"/>
        <v>0</v>
      </c>
      <c r="F12" s="1728">
        <f t="shared" si="0"/>
        <v>0</v>
      </c>
      <c r="G12" s="1728">
        <f t="shared" si="0"/>
        <v>0</v>
      </c>
      <c r="H12" s="1728">
        <f t="shared" si="0"/>
        <v>0</v>
      </c>
      <c r="I12" s="1728">
        <f t="shared" si="0"/>
        <v>0</v>
      </c>
      <c r="J12" s="1728">
        <f t="shared" si="0"/>
        <v>0</v>
      </c>
      <c r="K12" s="1709">
        <f t="shared" si="0"/>
        <v>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0</v>
      </c>
      <c r="D18" s="1731">
        <f t="shared" ref="D18:K18" si="1">SUM(D14:D17)</f>
        <v>0</v>
      </c>
      <c r="E18" s="1731">
        <f t="shared" si="1"/>
        <v>0</v>
      </c>
      <c r="F18" s="1731">
        <f t="shared" si="1"/>
        <v>0</v>
      </c>
      <c r="G18" s="1731">
        <f t="shared" si="1"/>
        <v>0</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706498</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706498</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1235</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1235</v>
      </c>
      <c r="D67" s="1709">
        <f t="shared" ref="D67:K67" si="2">SUM(D65:D66)</f>
        <v>0</v>
      </c>
      <c r="E67" s="1709">
        <f t="shared" si="2"/>
        <v>0</v>
      </c>
      <c r="F67" s="1709">
        <f t="shared" si="2"/>
        <v>0</v>
      </c>
      <c r="G67" s="1709">
        <f t="shared" si="2"/>
        <v>0</v>
      </c>
      <c r="H67" s="1709">
        <f t="shared" si="2"/>
        <v>0</v>
      </c>
      <c r="I67" s="1709">
        <f t="shared" si="2"/>
        <v>0</v>
      </c>
      <c r="J67" s="1709">
        <f t="shared" si="2"/>
        <v>0</v>
      </c>
      <c r="K67" s="1709">
        <f t="shared" si="2"/>
        <v>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0</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0</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0</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v>1764516</v>
      </c>
      <c r="D98" s="466"/>
      <c r="E98" s="512"/>
      <c r="F98" s="466"/>
      <c r="G98" s="512"/>
      <c r="H98" s="512"/>
      <c r="I98" s="510"/>
      <c r="J98" s="512"/>
      <c r="K98" s="512"/>
    </row>
    <row r="99" spans="1:12" ht="12.75" customHeight="1" x14ac:dyDescent="0.2">
      <c r="A99" s="463" t="s">
        <v>875</v>
      </c>
      <c r="B99" s="470">
        <v>1950</v>
      </c>
      <c r="C99" s="489">
        <v>-758</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29" t="s">
        <v>508</v>
      </c>
      <c r="B108" s="1733"/>
      <c r="C108" s="1728">
        <f>SUM(C95:C107)</f>
        <v>1763758</v>
      </c>
      <c r="D108" s="1728">
        <f t="shared" ref="D108:K108" si="3">SUM(D95:D107)</f>
        <v>0</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2471491</v>
      </c>
      <c r="D109" s="1736">
        <f t="shared" si="4"/>
        <v>0</v>
      </c>
      <c r="E109" s="1736">
        <f t="shared" si="4"/>
        <v>0</v>
      </c>
      <c r="F109" s="1736">
        <f t="shared" si="4"/>
        <v>0</v>
      </c>
      <c r="G109" s="1736">
        <f t="shared" si="4"/>
        <v>0</v>
      </c>
      <c r="H109" s="1736">
        <f t="shared" si="4"/>
        <v>0</v>
      </c>
      <c r="I109" s="1736">
        <f t="shared" si="4"/>
        <v>0</v>
      </c>
      <c r="J109" s="1736">
        <f t="shared" si="4"/>
        <v>0</v>
      </c>
      <c r="K109" s="1723">
        <f t="shared" si="4"/>
        <v>0</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225486</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7" t="s">
        <v>1901</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225486</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0</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96</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0</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c r="D171" s="580"/>
      <c r="E171" s="580"/>
      <c r="F171" s="580"/>
      <c r="G171" s="581"/>
      <c r="H171" s="582"/>
      <c r="I171" s="581"/>
      <c r="J171" s="581"/>
      <c r="K171" s="582"/>
    </row>
    <row r="172" spans="1:11" ht="12.75" customHeight="1" thickTop="1" thickBot="1" x14ac:dyDescent="0.25">
      <c r="A172" s="2194" t="s">
        <v>418</v>
      </c>
      <c r="B172" s="2195"/>
      <c r="C172" s="1743">
        <f t="shared" ref="C172:K172" si="6">SUM(C131,C140,C144,C145:C149,C154,C155:C170,C171)</f>
        <v>96</v>
      </c>
      <c r="D172" s="1743">
        <f t="shared" si="6"/>
        <v>0</v>
      </c>
      <c r="E172" s="1743">
        <f t="shared" si="6"/>
        <v>0</v>
      </c>
      <c r="F172" s="1743">
        <f t="shared" si="6"/>
        <v>0</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225582</v>
      </c>
      <c r="D173" s="1736">
        <f>SUM(D121,D172)</f>
        <v>0</v>
      </c>
      <c r="E173" s="1736">
        <f>SUM(E121,E172)</f>
        <v>0</v>
      </c>
      <c r="F173" s="1736">
        <f t="shared" ref="F173:K173" si="7">SUM(F121,F172)</f>
        <v>0</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96" t="s">
        <v>1572</v>
      </c>
      <c r="B175" s="219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200" t="s">
        <v>1764</v>
      </c>
      <c r="B178" s="2201"/>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204" t="s">
        <v>1763</v>
      </c>
      <c r="B179" s="220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202" t="s">
        <v>818</v>
      </c>
      <c r="B184" s="2203"/>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98" t="s">
        <v>1903</v>
      </c>
      <c r="B185" s="2199"/>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6579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1911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8490</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0</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94078</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2012376</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2106454</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27365</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v>61055</v>
      </c>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2203364</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2203364</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4900437</v>
      </c>
      <c r="D275" s="1736">
        <f t="shared" si="12"/>
        <v>0</v>
      </c>
      <c r="E275" s="1736">
        <f t="shared" si="12"/>
        <v>0</v>
      </c>
      <c r="F275" s="1736">
        <f t="shared" si="12"/>
        <v>0</v>
      </c>
      <c r="G275" s="1736">
        <f t="shared" si="12"/>
        <v>0</v>
      </c>
      <c r="H275" s="1736">
        <f t="shared" si="12"/>
        <v>0</v>
      </c>
      <c r="I275" s="1736">
        <f t="shared" si="12"/>
        <v>0</v>
      </c>
      <c r="J275" s="1736">
        <f t="shared" si="12"/>
        <v>0</v>
      </c>
      <c r="K275" s="1723">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Layout" topLeftCell="A54" colorId="8" zoomScaleNormal="110" workbookViewId="0">
      <selection activeCell="F62" sqref="F62:M6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4"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0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14" t="s">
        <v>315</v>
      </c>
      <c r="B3" s="2215"/>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c r="D5" s="466"/>
      <c r="E5" s="466"/>
      <c r="F5" s="466"/>
      <c r="G5" s="466"/>
      <c r="H5" s="466"/>
      <c r="I5" s="467"/>
      <c r="J5" s="467"/>
      <c r="K5" s="1692">
        <f>SUM(C5:J5)</f>
        <v>0</v>
      </c>
      <c r="L5" s="466"/>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c r="D7" s="467"/>
      <c r="E7" s="467"/>
      <c r="F7" s="467"/>
      <c r="G7" s="467"/>
      <c r="H7" s="467"/>
      <c r="I7" s="467"/>
      <c r="J7" s="467"/>
      <c r="K7" s="1692">
        <f t="shared" ref="K7:K32" si="0">SUM(C7:J7)</f>
        <v>0</v>
      </c>
      <c r="L7" s="466"/>
    </row>
    <row r="8" spans="1:14" x14ac:dyDescent="0.2">
      <c r="A8" s="1525" t="s">
        <v>166</v>
      </c>
      <c r="B8" s="615">
        <v>1200</v>
      </c>
      <c r="C8" s="466">
        <v>454988</v>
      </c>
      <c r="D8" s="466">
        <v>111871</v>
      </c>
      <c r="E8" s="466">
        <v>66302</v>
      </c>
      <c r="F8" s="466">
        <v>6443</v>
      </c>
      <c r="G8" s="466">
        <v>2586</v>
      </c>
      <c r="H8" s="466"/>
      <c r="I8" s="467"/>
      <c r="J8" s="467"/>
      <c r="K8" s="1692">
        <f t="shared" si="0"/>
        <v>642190</v>
      </c>
      <c r="L8" s="466">
        <v>637862</v>
      </c>
    </row>
    <row r="9" spans="1:14" x14ac:dyDescent="0.2">
      <c r="A9" s="1525" t="s">
        <v>745</v>
      </c>
      <c r="B9" s="615" t="s">
        <v>1025</v>
      </c>
      <c r="C9" s="467"/>
      <c r="D9" s="467"/>
      <c r="E9" s="467"/>
      <c r="F9" s="467"/>
      <c r="G9" s="467"/>
      <c r="H9" s="467"/>
      <c r="I9" s="467"/>
      <c r="J9" s="467"/>
      <c r="K9" s="1692">
        <f t="shared" si="0"/>
        <v>0</v>
      </c>
      <c r="L9" s="466"/>
    </row>
    <row r="10" spans="1:14" x14ac:dyDescent="0.2">
      <c r="A10" s="1525" t="s">
        <v>746</v>
      </c>
      <c r="B10" s="615">
        <v>1250</v>
      </c>
      <c r="C10" s="466"/>
      <c r="D10" s="466"/>
      <c r="E10" s="466"/>
      <c r="F10" s="466"/>
      <c r="G10" s="466"/>
      <c r="H10" s="466"/>
      <c r="I10" s="467"/>
      <c r="J10" s="467"/>
      <c r="K10" s="1692">
        <f t="shared" si="0"/>
        <v>0</v>
      </c>
      <c r="L10" s="466"/>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v>47041</v>
      </c>
      <c r="D13" s="466">
        <v>14420</v>
      </c>
      <c r="E13" s="466">
        <v>1283</v>
      </c>
      <c r="F13" s="466"/>
      <c r="G13" s="466"/>
      <c r="H13" s="466"/>
      <c r="I13" s="467"/>
      <c r="J13" s="467"/>
      <c r="K13" s="1692">
        <f t="shared" si="0"/>
        <v>62744</v>
      </c>
      <c r="L13" s="466">
        <v>73118</v>
      </c>
    </row>
    <row r="14" spans="1:14" x14ac:dyDescent="0.2">
      <c r="A14" s="1525" t="s">
        <v>1020</v>
      </c>
      <c r="B14" s="615">
        <v>1500</v>
      </c>
      <c r="C14" s="466"/>
      <c r="D14" s="466"/>
      <c r="E14" s="466"/>
      <c r="F14" s="466"/>
      <c r="G14" s="466"/>
      <c r="H14" s="466"/>
      <c r="I14" s="467"/>
      <c r="J14" s="467"/>
      <c r="K14" s="1692">
        <f t="shared" si="0"/>
        <v>0</v>
      </c>
      <c r="L14" s="466"/>
    </row>
    <row r="15" spans="1:14" x14ac:dyDescent="0.2">
      <c r="A15" s="1525" t="s">
        <v>1021</v>
      </c>
      <c r="B15" s="615">
        <v>1600</v>
      </c>
      <c r="C15" s="466">
        <v>350</v>
      </c>
      <c r="D15" s="466">
        <v>20</v>
      </c>
      <c r="E15" s="466"/>
      <c r="F15" s="466"/>
      <c r="G15" s="466"/>
      <c r="H15" s="466"/>
      <c r="I15" s="467"/>
      <c r="J15" s="467"/>
      <c r="K15" s="1692">
        <f t="shared" si="0"/>
        <v>370</v>
      </c>
      <c r="L15" s="466">
        <v>4629</v>
      </c>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c r="D17" s="467"/>
      <c r="E17" s="467"/>
      <c r="F17" s="467"/>
      <c r="G17" s="467"/>
      <c r="H17" s="467"/>
      <c r="I17" s="467"/>
      <c r="J17" s="467"/>
      <c r="K17" s="1692">
        <f t="shared" si="0"/>
        <v>0</v>
      </c>
      <c r="L17" s="466"/>
    </row>
    <row r="18" spans="1:12" x14ac:dyDescent="0.2">
      <c r="A18" s="1525" t="s">
        <v>1148</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c r="I22" s="617"/>
      <c r="J22" s="477"/>
      <c r="K22" s="1692">
        <f t="shared" si="0"/>
        <v>0</v>
      </c>
      <c r="L22" s="471"/>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502379</v>
      </c>
      <c r="D33" s="1691">
        <f t="shared" ref="D33:L33" si="1">SUM(D5:D32)</f>
        <v>126311</v>
      </c>
      <c r="E33" s="1691">
        <f t="shared" si="1"/>
        <v>67585</v>
      </c>
      <c r="F33" s="1691">
        <f t="shared" si="1"/>
        <v>6443</v>
      </c>
      <c r="G33" s="1691">
        <f t="shared" si="1"/>
        <v>2586</v>
      </c>
      <c r="H33" s="1691">
        <f t="shared" si="1"/>
        <v>0</v>
      </c>
      <c r="I33" s="1691">
        <f t="shared" si="1"/>
        <v>0</v>
      </c>
      <c r="J33" s="1691">
        <f t="shared" si="1"/>
        <v>0</v>
      </c>
      <c r="K33" s="1691">
        <f t="shared" si="1"/>
        <v>705304</v>
      </c>
      <c r="L33" s="1691">
        <f t="shared" si="1"/>
        <v>715609</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192265</v>
      </c>
      <c r="D36" s="481">
        <v>52373</v>
      </c>
      <c r="E36" s="481">
        <v>23091</v>
      </c>
      <c r="F36" s="481">
        <v>2524</v>
      </c>
      <c r="G36" s="481">
        <v>1319</v>
      </c>
      <c r="H36" s="481"/>
      <c r="I36" s="467"/>
      <c r="J36" s="467"/>
      <c r="K36" s="1692">
        <f t="shared" ref="K36:K41" si="2">SUM(C36:J36)</f>
        <v>271572</v>
      </c>
      <c r="L36" s="466">
        <v>338209</v>
      </c>
    </row>
    <row r="37" spans="1:14" x14ac:dyDescent="0.2">
      <c r="A37" s="1525" t="s">
        <v>1151</v>
      </c>
      <c r="B37" s="615">
        <v>2120</v>
      </c>
      <c r="C37" s="466"/>
      <c r="D37" s="466"/>
      <c r="E37" s="466"/>
      <c r="F37" s="466"/>
      <c r="G37" s="466"/>
      <c r="H37" s="466"/>
      <c r="I37" s="467"/>
      <c r="J37" s="467"/>
      <c r="K37" s="1692">
        <f t="shared" si="2"/>
        <v>0</v>
      </c>
      <c r="L37" s="466"/>
    </row>
    <row r="38" spans="1:14" x14ac:dyDescent="0.2">
      <c r="A38" s="1525" t="s">
        <v>207</v>
      </c>
      <c r="B38" s="615">
        <v>2130</v>
      </c>
      <c r="C38" s="466">
        <v>363371</v>
      </c>
      <c r="D38" s="466">
        <v>88766</v>
      </c>
      <c r="E38" s="466">
        <v>12279</v>
      </c>
      <c r="F38" s="466">
        <v>7010</v>
      </c>
      <c r="G38" s="466">
        <v>3297</v>
      </c>
      <c r="H38" s="466"/>
      <c r="I38" s="467"/>
      <c r="J38" s="467"/>
      <c r="K38" s="1692">
        <f t="shared" si="2"/>
        <v>474723</v>
      </c>
      <c r="L38" s="466">
        <v>658000</v>
      </c>
    </row>
    <row r="39" spans="1:14" x14ac:dyDescent="0.2">
      <c r="A39" s="1525" t="s">
        <v>208</v>
      </c>
      <c r="B39" s="615">
        <v>2140</v>
      </c>
      <c r="C39" s="466">
        <v>359411</v>
      </c>
      <c r="D39" s="466">
        <v>73961</v>
      </c>
      <c r="E39" s="466">
        <v>9419</v>
      </c>
      <c r="F39" s="466">
        <v>4687</v>
      </c>
      <c r="G39" s="466"/>
      <c r="H39" s="466"/>
      <c r="I39" s="467"/>
      <c r="J39" s="467"/>
      <c r="K39" s="1692">
        <f t="shared" si="2"/>
        <v>447478</v>
      </c>
      <c r="L39" s="466">
        <v>460707</v>
      </c>
    </row>
    <row r="40" spans="1:14" x14ac:dyDescent="0.2">
      <c r="A40" s="1525" t="s">
        <v>209</v>
      </c>
      <c r="B40" s="615">
        <v>2150</v>
      </c>
      <c r="C40" s="466"/>
      <c r="D40" s="466"/>
      <c r="E40" s="466"/>
      <c r="F40" s="466"/>
      <c r="G40" s="466"/>
      <c r="H40" s="466"/>
      <c r="I40" s="467"/>
      <c r="J40" s="467"/>
      <c r="K40" s="1692">
        <f t="shared" si="2"/>
        <v>0</v>
      </c>
      <c r="L40" s="466"/>
    </row>
    <row r="41" spans="1:14" x14ac:dyDescent="0.2">
      <c r="A41" s="1525" t="s">
        <v>1768</v>
      </c>
      <c r="B41" s="615">
        <v>2190</v>
      </c>
      <c r="C41" s="466">
        <v>25629</v>
      </c>
      <c r="D41" s="466">
        <v>13903</v>
      </c>
      <c r="E41" s="466">
        <v>2185</v>
      </c>
      <c r="F41" s="466"/>
      <c r="G41" s="466"/>
      <c r="H41" s="466"/>
      <c r="I41" s="467"/>
      <c r="J41" s="467"/>
      <c r="K41" s="1692">
        <f t="shared" si="2"/>
        <v>41717</v>
      </c>
      <c r="L41" s="466">
        <v>96344</v>
      </c>
    </row>
    <row r="42" spans="1:14" ht="12.75" customHeight="1" thickBot="1" x14ac:dyDescent="0.25">
      <c r="A42" s="1689" t="s">
        <v>581</v>
      </c>
      <c r="B42" s="1690" t="s">
        <v>740</v>
      </c>
      <c r="C42" s="1691">
        <f>SUM(C36:C41)</f>
        <v>940676</v>
      </c>
      <c r="D42" s="1691">
        <f t="shared" ref="D42:L42" si="3">SUM(D36:D41)</f>
        <v>229003</v>
      </c>
      <c r="E42" s="1691">
        <f t="shared" si="3"/>
        <v>46974</v>
      </c>
      <c r="F42" s="1691">
        <f t="shared" si="3"/>
        <v>14221</v>
      </c>
      <c r="G42" s="1691">
        <f t="shared" si="3"/>
        <v>4616</v>
      </c>
      <c r="H42" s="1691">
        <f t="shared" si="3"/>
        <v>0</v>
      </c>
      <c r="I42" s="1691">
        <f t="shared" si="3"/>
        <v>0</v>
      </c>
      <c r="J42" s="1691">
        <f t="shared" si="3"/>
        <v>0</v>
      </c>
      <c r="K42" s="1691">
        <f t="shared" si="3"/>
        <v>1235490</v>
      </c>
      <c r="L42" s="1691">
        <f t="shared" si="3"/>
        <v>1553260</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c r="D44" s="481"/>
      <c r="E44" s="481">
        <v>42491</v>
      </c>
      <c r="F44" s="481">
        <v>9277</v>
      </c>
      <c r="G44" s="481"/>
      <c r="H44" s="481">
        <v>4496</v>
      </c>
      <c r="I44" s="467"/>
      <c r="J44" s="467"/>
      <c r="K44" s="1693">
        <f>SUM(C44:J44)</f>
        <v>56264</v>
      </c>
      <c r="L44" s="481">
        <v>70408</v>
      </c>
    </row>
    <row r="45" spans="1:14" x14ac:dyDescent="0.2">
      <c r="A45" s="1525" t="s">
        <v>869</v>
      </c>
      <c r="B45" s="615">
        <v>2220</v>
      </c>
      <c r="C45" s="466"/>
      <c r="D45" s="466"/>
      <c r="E45" s="466"/>
      <c r="F45" s="466"/>
      <c r="G45" s="466"/>
      <c r="H45" s="466"/>
      <c r="I45" s="467"/>
      <c r="J45" s="467"/>
      <c r="K45" s="1693">
        <f>SUM(C45:J45)</f>
        <v>0</v>
      </c>
      <c r="L45" s="466"/>
    </row>
    <row r="46" spans="1:14" x14ac:dyDescent="0.2">
      <c r="A46" s="1525" t="s">
        <v>870</v>
      </c>
      <c r="B46" s="615">
        <v>2230</v>
      </c>
      <c r="C46" s="466"/>
      <c r="D46" s="466"/>
      <c r="E46" s="466"/>
      <c r="F46" s="466"/>
      <c r="G46" s="466"/>
      <c r="H46" s="466"/>
      <c r="I46" s="467"/>
      <c r="J46" s="467"/>
      <c r="K46" s="1693">
        <f>SUM(C46:J46)</f>
        <v>0</v>
      </c>
      <c r="L46" s="466"/>
    </row>
    <row r="47" spans="1:14" ht="12.75" customHeight="1" thickBot="1" x14ac:dyDescent="0.25">
      <c r="A47" s="1689" t="s">
        <v>582</v>
      </c>
      <c r="B47" s="1690" t="s">
        <v>32</v>
      </c>
      <c r="C47" s="1691">
        <f>SUM(C44:C46)</f>
        <v>0</v>
      </c>
      <c r="D47" s="1691">
        <f t="shared" ref="D47:K47" si="4">SUM(D44:D46)</f>
        <v>0</v>
      </c>
      <c r="E47" s="1691">
        <f t="shared" si="4"/>
        <v>42491</v>
      </c>
      <c r="F47" s="1691">
        <f t="shared" si="4"/>
        <v>9277</v>
      </c>
      <c r="G47" s="1691">
        <f t="shared" si="4"/>
        <v>0</v>
      </c>
      <c r="H47" s="1691">
        <f t="shared" si="4"/>
        <v>4496</v>
      </c>
      <c r="I47" s="1691">
        <f t="shared" si="4"/>
        <v>0</v>
      </c>
      <c r="J47" s="1691">
        <f t="shared" si="4"/>
        <v>0</v>
      </c>
      <c r="K47" s="1691">
        <f t="shared" si="4"/>
        <v>56264</v>
      </c>
      <c r="L47" s="1691">
        <f>SUM(L44:L46)</f>
        <v>70408</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c r="D49" s="481"/>
      <c r="E49" s="481"/>
      <c r="F49" s="481"/>
      <c r="G49" s="481"/>
      <c r="H49" s="481"/>
      <c r="I49" s="467"/>
      <c r="J49" s="467"/>
      <c r="K49" s="1693">
        <f>SUM(C49:J49)</f>
        <v>0</v>
      </c>
      <c r="L49" s="481"/>
    </row>
    <row r="50" spans="1:14" x14ac:dyDescent="0.2">
      <c r="A50" s="1525" t="s">
        <v>872</v>
      </c>
      <c r="B50" s="615">
        <v>2320</v>
      </c>
      <c r="C50" s="466">
        <v>229775</v>
      </c>
      <c r="D50" s="466">
        <v>77484</v>
      </c>
      <c r="E50" s="466">
        <v>16688</v>
      </c>
      <c r="F50" s="466"/>
      <c r="G50" s="466">
        <v>1319</v>
      </c>
      <c r="H50" s="466">
        <v>5387</v>
      </c>
      <c r="I50" s="467"/>
      <c r="J50" s="467"/>
      <c r="K50" s="1693">
        <f>SUM(C50:J50)</f>
        <v>330653</v>
      </c>
      <c r="L50" s="466">
        <v>346011</v>
      </c>
    </row>
    <row r="51" spans="1:14" x14ac:dyDescent="0.2">
      <c r="A51" s="1525" t="s">
        <v>44</v>
      </c>
      <c r="B51" s="615">
        <v>2330</v>
      </c>
      <c r="C51" s="466"/>
      <c r="D51" s="466"/>
      <c r="E51" s="466"/>
      <c r="F51" s="466"/>
      <c r="G51" s="466"/>
      <c r="H51" s="466"/>
      <c r="I51" s="467"/>
      <c r="J51" s="467"/>
      <c r="K51" s="1693">
        <f>SUM(C51:J51)</f>
        <v>0</v>
      </c>
      <c r="L51" s="466"/>
    </row>
    <row r="52" spans="1:14" ht="22.5" x14ac:dyDescent="0.2">
      <c r="A52" s="1526"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229775</v>
      </c>
      <c r="D53" s="1691">
        <f t="shared" ref="D53:L53" si="5">SUM(D49:D52)</f>
        <v>77484</v>
      </c>
      <c r="E53" s="1691">
        <f t="shared" si="5"/>
        <v>16688</v>
      </c>
      <c r="F53" s="1691">
        <f t="shared" si="5"/>
        <v>0</v>
      </c>
      <c r="G53" s="1691">
        <f t="shared" si="5"/>
        <v>1319</v>
      </c>
      <c r="H53" s="1691">
        <f t="shared" si="5"/>
        <v>5387</v>
      </c>
      <c r="I53" s="1691">
        <f t="shared" si="5"/>
        <v>0</v>
      </c>
      <c r="J53" s="1691">
        <f t="shared" si="5"/>
        <v>0</v>
      </c>
      <c r="K53" s="1691">
        <f t="shared" si="5"/>
        <v>330653</v>
      </c>
      <c r="L53" s="1691">
        <f t="shared" si="5"/>
        <v>346011</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c r="D55" s="481"/>
      <c r="E55" s="481"/>
      <c r="F55" s="481"/>
      <c r="G55" s="481"/>
      <c r="H55" s="481"/>
      <c r="I55" s="467"/>
      <c r="J55" s="467"/>
      <c r="K55" s="1693">
        <f>SUM(C55:J55)</f>
        <v>0</v>
      </c>
      <c r="L55" s="481"/>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0</v>
      </c>
      <c r="D57" s="1695">
        <f t="shared" ref="D57:K57" si="6">SUM(D55:D56)</f>
        <v>0</v>
      </c>
      <c r="E57" s="1695">
        <f t="shared" si="6"/>
        <v>0</v>
      </c>
      <c r="F57" s="1695">
        <f t="shared" si="6"/>
        <v>0</v>
      </c>
      <c r="G57" s="1695">
        <f t="shared" si="6"/>
        <v>0</v>
      </c>
      <c r="H57" s="1695">
        <f t="shared" si="6"/>
        <v>0</v>
      </c>
      <c r="I57" s="1695">
        <f t="shared" si="6"/>
        <v>0</v>
      </c>
      <c r="J57" s="1695">
        <f t="shared" si="6"/>
        <v>0</v>
      </c>
      <c r="K57" s="1695">
        <f t="shared" si="6"/>
        <v>0</v>
      </c>
      <c r="L57" s="1691">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v>58525</v>
      </c>
      <c r="D59" s="481">
        <v>22056</v>
      </c>
      <c r="E59" s="481">
        <v>89890</v>
      </c>
      <c r="F59" s="481">
        <v>2576</v>
      </c>
      <c r="G59" s="481"/>
      <c r="H59" s="481"/>
      <c r="I59" s="467"/>
      <c r="J59" s="467"/>
      <c r="K59" s="1693">
        <f t="shared" ref="K59:K64" si="7">SUM(C59:J59)</f>
        <v>173047</v>
      </c>
      <c r="L59" s="481">
        <v>215907</v>
      </c>
      <c r="M59" s="610"/>
      <c r="N59" s="610"/>
    </row>
    <row r="60" spans="1:14" s="343" customFormat="1" x14ac:dyDescent="0.2">
      <c r="A60" s="1525" t="s">
        <v>483</v>
      </c>
      <c r="B60" s="615">
        <v>2520</v>
      </c>
      <c r="C60" s="466">
        <v>38648</v>
      </c>
      <c r="D60" s="466">
        <v>16108</v>
      </c>
      <c r="E60" s="466">
        <v>11245</v>
      </c>
      <c r="F60" s="466">
        <v>2580</v>
      </c>
      <c r="G60" s="466"/>
      <c r="H60" s="466"/>
      <c r="I60" s="467"/>
      <c r="J60" s="467"/>
      <c r="K60" s="1693">
        <f t="shared" si="7"/>
        <v>68581</v>
      </c>
      <c r="L60" s="466">
        <v>79052</v>
      </c>
      <c r="M60" s="610"/>
      <c r="N60" s="610"/>
    </row>
    <row r="61" spans="1:14" s="343" customFormat="1" x14ac:dyDescent="0.2">
      <c r="A61" s="1525" t="s">
        <v>206</v>
      </c>
      <c r="B61" s="615">
        <v>2540</v>
      </c>
      <c r="C61" s="466"/>
      <c r="D61" s="466"/>
      <c r="E61" s="466"/>
      <c r="F61" s="466"/>
      <c r="G61" s="466"/>
      <c r="H61" s="466"/>
      <c r="I61" s="467"/>
      <c r="J61" s="467"/>
      <c r="K61" s="1693">
        <f t="shared" si="7"/>
        <v>0</v>
      </c>
      <c r="L61" s="466">
        <v>36000</v>
      </c>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c r="D63" s="466"/>
      <c r="E63" s="466"/>
      <c r="F63" s="466"/>
      <c r="G63" s="466"/>
      <c r="H63" s="466"/>
      <c r="I63" s="467"/>
      <c r="J63" s="467"/>
      <c r="K63" s="1693">
        <f t="shared" si="7"/>
        <v>0</v>
      </c>
      <c r="L63" s="466"/>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97173</v>
      </c>
      <c r="D65" s="1691">
        <f t="shared" ref="D65:L65" si="8">SUM(D59:D64)</f>
        <v>38164</v>
      </c>
      <c r="E65" s="1691">
        <f t="shared" si="8"/>
        <v>101135</v>
      </c>
      <c r="F65" s="1691">
        <f t="shared" si="8"/>
        <v>5156</v>
      </c>
      <c r="G65" s="1691">
        <f t="shared" si="8"/>
        <v>0</v>
      </c>
      <c r="H65" s="1691">
        <f t="shared" si="8"/>
        <v>0</v>
      </c>
      <c r="I65" s="1691">
        <f t="shared" si="8"/>
        <v>0</v>
      </c>
      <c r="J65" s="1691">
        <f t="shared" si="8"/>
        <v>0</v>
      </c>
      <c r="K65" s="1691">
        <f t="shared" si="8"/>
        <v>241628</v>
      </c>
      <c r="L65" s="1691">
        <f t="shared" si="8"/>
        <v>330959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c r="D69" s="466"/>
      <c r="E69" s="466"/>
      <c r="F69" s="466"/>
      <c r="G69" s="466"/>
      <c r="H69" s="466"/>
      <c r="I69" s="467"/>
      <c r="J69" s="467"/>
      <c r="K69" s="1693">
        <f>SUM(C69:J69)</f>
        <v>0</v>
      </c>
      <c r="L69" s="466"/>
      <c r="M69" s="610"/>
      <c r="N69" s="610"/>
    </row>
    <row r="70" spans="1:14" s="343" customFormat="1" x14ac:dyDescent="0.2">
      <c r="A70" s="1525" t="s">
        <v>423</v>
      </c>
      <c r="B70" s="615">
        <v>2640</v>
      </c>
      <c r="C70" s="466"/>
      <c r="D70" s="466"/>
      <c r="E70" s="466"/>
      <c r="F70" s="466"/>
      <c r="G70" s="466"/>
      <c r="H70" s="466"/>
      <c r="I70" s="467"/>
      <c r="J70" s="467"/>
      <c r="K70" s="1693">
        <f>SUM(C70:J70)</f>
        <v>0</v>
      </c>
      <c r="L70" s="466"/>
      <c r="M70" s="610"/>
      <c r="N70" s="610"/>
    </row>
    <row r="71" spans="1:14" s="343" customFormat="1" x14ac:dyDescent="0.2">
      <c r="A71" s="1525"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1"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1267624</v>
      </c>
      <c r="D74" s="1698">
        <f t="shared" ref="D74:K74" si="10">SUM(D42,D47,D53,D57,D65,D72,D73)</f>
        <v>344651</v>
      </c>
      <c r="E74" s="1698">
        <f t="shared" si="10"/>
        <v>207288</v>
      </c>
      <c r="F74" s="1698">
        <f t="shared" si="10"/>
        <v>28654</v>
      </c>
      <c r="G74" s="1698">
        <f t="shared" si="10"/>
        <v>5935</v>
      </c>
      <c r="H74" s="1698">
        <f t="shared" si="10"/>
        <v>9883</v>
      </c>
      <c r="I74" s="1698">
        <f t="shared" si="10"/>
        <v>0</v>
      </c>
      <c r="J74" s="1698">
        <f t="shared" si="10"/>
        <v>0</v>
      </c>
      <c r="K74" s="1698">
        <f t="shared" si="10"/>
        <v>1864035</v>
      </c>
      <c r="L74" s="1698">
        <f>SUM(L42,L47,L53,L57,L65,L72,L73)</f>
        <v>2300638</v>
      </c>
    </row>
    <row r="75" spans="1:14" s="259" customFormat="1" ht="15.75" customHeight="1" thickTop="1" thickBot="1" x14ac:dyDescent="0.25">
      <c r="A75" s="1631" t="s">
        <v>49</v>
      </c>
      <c r="B75" s="1632" t="s">
        <v>596</v>
      </c>
      <c r="C75" s="573"/>
      <c r="D75" s="573"/>
      <c r="E75" s="573"/>
      <c r="F75" s="573"/>
      <c r="G75" s="573"/>
      <c r="H75" s="573"/>
      <c r="I75" s="531"/>
      <c r="J75" s="531"/>
      <c r="K75" s="1691">
        <f>SUM(C75:J75)</f>
        <v>0</v>
      </c>
      <c r="L75" s="576">
        <v>500</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c r="F79" s="617"/>
      <c r="G79" s="617"/>
      <c r="H79" s="466"/>
      <c r="I79" s="477"/>
      <c r="J79" s="477"/>
      <c r="K79" s="1692">
        <f t="shared" si="11"/>
        <v>0</v>
      </c>
      <c r="L79" s="466"/>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0</v>
      </c>
      <c r="F84" s="617"/>
      <c r="G84" s="617"/>
      <c r="H84" s="1691">
        <f>SUM(H78:H83)</f>
        <v>0</v>
      </c>
      <c r="I84" s="477"/>
      <c r="J84" s="477"/>
      <c r="K84" s="1691">
        <f>SUM(K78:K83)</f>
        <v>0</v>
      </c>
      <c r="L84" s="1691">
        <f>SUM(L78:L83)</f>
        <v>0</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723</v>
      </c>
      <c r="B86" s="638">
        <v>4220</v>
      </c>
      <c r="C86" s="617"/>
      <c r="D86" s="617"/>
      <c r="E86" s="639"/>
      <c r="F86" s="617"/>
      <c r="G86" s="617"/>
      <c r="H86" s="467"/>
      <c r="I86" s="477"/>
      <c r="J86" s="477"/>
      <c r="K86" s="1698">
        <f t="shared" ref="K86:K98" si="12">H86</f>
        <v>0</v>
      </c>
      <c r="L86" s="530"/>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c r="I88" s="477"/>
      <c r="J88" s="477"/>
      <c r="K88" s="1698">
        <f t="shared" si="12"/>
        <v>0</v>
      </c>
      <c r="L88" s="530"/>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0</v>
      </c>
      <c r="I92" s="477"/>
      <c r="J92" s="477"/>
      <c r="K92" s="1698">
        <f t="shared" si="12"/>
        <v>0</v>
      </c>
      <c r="L92" s="1691">
        <f>SUM(L85:L91)</f>
        <v>0</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v>2049791</v>
      </c>
      <c r="I94" s="477"/>
      <c r="J94" s="477"/>
      <c r="K94" s="1698">
        <f t="shared" si="12"/>
        <v>2049791</v>
      </c>
      <c r="L94" s="530">
        <v>1738849</v>
      </c>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2049791</v>
      </c>
      <c r="I100" s="477"/>
      <c r="J100" s="477"/>
      <c r="K100" s="1698">
        <f>SUM(K93:K99)</f>
        <v>2049791</v>
      </c>
      <c r="L100" s="1698">
        <f>SUM(L93:L99)</f>
        <v>1738849</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0</v>
      </c>
      <c r="F102" s="617"/>
      <c r="G102" s="617"/>
      <c r="H102" s="1698">
        <f>SUM(H84,H92,H100,H101)</f>
        <v>2049791</v>
      </c>
      <c r="I102" s="477"/>
      <c r="J102" s="477"/>
      <c r="K102" s="1698">
        <f>SUM(K84,K92,K100,K101)</f>
        <v>2049791</v>
      </c>
      <c r="L102" s="1698">
        <f>SUM(L84,L92,L100,L101)</f>
        <v>1738849</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1770003</v>
      </c>
      <c r="D114" s="1691">
        <f t="shared" ref="D114:K114" si="13">SUM(D33,D74,D75,D102,D112,D113)</f>
        <v>470962</v>
      </c>
      <c r="E114" s="1691">
        <f t="shared" si="13"/>
        <v>274873</v>
      </c>
      <c r="F114" s="1691">
        <f t="shared" si="13"/>
        <v>35097</v>
      </c>
      <c r="G114" s="1691">
        <f t="shared" si="13"/>
        <v>8521</v>
      </c>
      <c r="H114" s="1691">
        <f>SUM(H33,H74,H75,H102,H112,H113)</f>
        <v>2059674</v>
      </c>
      <c r="I114" s="1691">
        <f t="shared" si="13"/>
        <v>0</v>
      </c>
      <c r="J114" s="1691">
        <f t="shared" si="13"/>
        <v>0</v>
      </c>
      <c r="K114" s="1691">
        <f t="shared" si="13"/>
        <v>4619130</v>
      </c>
      <c r="L114" s="1691">
        <f>SUM(L33,L74,L75,L102,L112,L113)</f>
        <v>4755596</v>
      </c>
    </row>
    <row r="115" spans="1:14" ht="13.5" thickTop="1" x14ac:dyDescent="0.2">
      <c r="A115" s="2206" t="s">
        <v>1053</v>
      </c>
      <c r="B115" s="2207"/>
      <c r="C115" s="619"/>
      <c r="D115" s="619"/>
      <c r="E115" s="619"/>
      <c r="F115" s="619"/>
      <c r="G115" s="619"/>
      <c r="H115" s="619"/>
      <c r="I115" s="619"/>
      <c r="J115" s="619"/>
      <c r="K115" s="1705">
        <f>'Revenues 9-14'!C275-'Expenditures 15-22'!K114</f>
        <v>281307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11" t="s">
        <v>314</v>
      </c>
      <c r="B117" s="2212"/>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c r="D124" s="466"/>
      <c r="E124" s="466"/>
      <c r="F124" s="466"/>
      <c r="G124" s="466"/>
      <c r="H124" s="466"/>
      <c r="I124" s="467"/>
      <c r="J124" s="467"/>
      <c r="K124" s="1691">
        <f>SUM(C124:J124)</f>
        <v>0</v>
      </c>
      <c r="L124" s="466"/>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0</v>
      </c>
      <c r="D127" s="1691">
        <f t="shared" ref="D127:L127" si="14">SUM(D122:D126)</f>
        <v>0</v>
      </c>
      <c r="E127" s="1691">
        <f t="shared" si="14"/>
        <v>0</v>
      </c>
      <c r="F127" s="1691">
        <f t="shared" si="14"/>
        <v>0</v>
      </c>
      <c r="G127" s="1691">
        <f t="shared" si="14"/>
        <v>0</v>
      </c>
      <c r="H127" s="1691">
        <f t="shared" si="14"/>
        <v>0</v>
      </c>
      <c r="I127" s="1691">
        <f t="shared" si="14"/>
        <v>0</v>
      </c>
      <c r="J127" s="1691">
        <f t="shared" si="14"/>
        <v>0</v>
      </c>
      <c r="K127" s="1691">
        <f t="shared" si="14"/>
        <v>0</v>
      </c>
      <c r="L127" s="1691">
        <f t="shared" si="14"/>
        <v>0</v>
      </c>
    </row>
    <row r="128" spans="1:14" ht="12.75" customHeight="1" thickTop="1" x14ac:dyDescent="0.2">
      <c r="A128" s="1532"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0</v>
      </c>
      <c r="D129" s="1698">
        <f t="shared" ref="D129:L129" si="15">SUM(D120,D127,D128)</f>
        <v>0</v>
      </c>
      <c r="E129" s="1698">
        <f t="shared" si="15"/>
        <v>0</v>
      </c>
      <c r="F129" s="1698">
        <f t="shared" si="15"/>
        <v>0</v>
      </c>
      <c r="G129" s="1698">
        <f t="shared" si="15"/>
        <v>0</v>
      </c>
      <c r="H129" s="1698">
        <f t="shared" si="15"/>
        <v>0</v>
      </c>
      <c r="I129" s="1698">
        <f t="shared" si="15"/>
        <v>0</v>
      </c>
      <c r="J129" s="1698">
        <f t="shared" si="15"/>
        <v>0</v>
      </c>
      <c r="K129" s="1698">
        <f t="shared" si="15"/>
        <v>0</v>
      </c>
      <c r="L129" s="1698">
        <f t="shared" si="15"/>
        <v>0</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1954</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c r="I135" s="477"/>
      <c r="J135" s="617"/>
      <c r="K135" s="1693">
        <f>SUM(E135,H135)</f>
        <v>0</v>
      </c>
      <c r="L135" s="466"/>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223" t="s">
        <v>641</v>
      </c>
      <c r="B151" s="2203"/>
      <c r="C151" s="1691">
        <f>SUM(C129,C130,C139,C149,C150)</f>
        <v>0</v>
      </c>
      <c r="D151" s="1691">
        <f t="shared" ref="D151:K151" si="16">SUM(D129,D130,D139,D149,D150)</f>
        <v>0</v>
      </c>
      <c r="E151" s="1691">
        <f t="shared" si="16"/>
        <v>0</v>
      </c>
      <c r="F151" s="1691">
        <f t="shared" si="16"/>
        <v>0</v>
      </c>
      <c r="G151" s="1691">
        <f t="shared" si="16"/>
        <v>0</v>
      </c>
      <c r="H151" s="1691">
        <f t="shared" si="16"/>
        <v>0</v>
      </c>
      <c r="I151" s="1691">
        <f t="shared" si="16"/>
        <v>0</v>
      </c>
      <c r="J151" s="1691">
        <f t="shared" si="16"/>
        <v>0</v>
      </c>
      <c r="K151" s="1691">
        <f t="shared" si="16"/>
        <v>0</v>
      </c>
      <c r="L151" s="1691">
        <f>SUM(L129,L130,L139,L149,L150)</f>
        <v>0</v>
      </c>
    </row>
    <row r="152" spans="1:14" ht="12.75" customHeight="1" thickTop="1" x14ac:dyDescent="0.2">
      <c r="A152" s="2226" t="s">
        <v>1240</v>
      </c>
      <c r="B152" s="2227"/>
      <c r="C152" s="619"/>
      <c r="D152" s="619"/>
      <c r="E152" s="619"/>
      <c r="F152" s="619"/>
      <c r="G152" s="619"/>
      <c r="H152" s="619"/>
      <c r="I152" s="619"/>
      <c r="J152" s="617"/>
      <c r="K152" s="1705">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11" t="s">
        <v>642</v>
      </c>
      <c r="B154" s="2213"/>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1955</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1954</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1956</v>
      </c>
      <c r="C158" s="617"/>
      <c r="D158" s="617"/>
      <c r="E158" s="617"/>
      <c r="F158" s="617"/>
      <c r="G158" s="617"/>
      <c r="H158" s="467"/>
      <c r="I158" s="617"/>
      <c r="J158" s="617"/>
      <c r="K158" s="1692">
        <f>H158</f>
        <v>0</v>
      </c>
      <c r="L158" s="467"/>
      <c r="M158" s="620"/>
      <c r="N158" s="620"/>
    </row>
    <row r="159" spans="1:14" s="621" customFormat="1" ht="12" x14ac:dyDescent="0.2">
      <c r="A159" s="1848" t="s">
        <v>1957</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1958</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c r="I169" s="617"/>
      <c r="J169" s="617"/>
      <c r="K169" s="1692">
        <f>SUM(C169:H169)</f>
        <v>0</v>
      </c>
      <c r="L169" s="657"/>
    </row>
    <row r="170" spans="1:14" ht="33.75" customHeight="1" x14ac:dyDescent="0.2">
      <c r="A170" s="670" t="s">
        <v>1769</v>
      </c>
      <c r="B170" s="672" t="s">
        <v>31</v>
      </c>
      <c r="C170" s="617"/>
      <c r="D170" s="617"/>
      <c r="E170" s="617"/>
      <c r="F170" s="617"/>
      <c r="G170" s="617"/>
      <c r="H170" s="569"/>
      <c r="I170" s="617"/>
      <c r="J170" s="617"/>
      <c r="K170" s="1692">
        <f>SUM(C170:J170)</f>
        <v>0</v>
      </c>
      <c r="L170" s="569"/>
    </row>
    <row r="171" spans="1:14" ht="15.75" customHeight="1" x14ac:dyDescent="0.2">
      <c r="A171" s="622" t="s">
        <v>790</v>
      </c>
      <c r="B171" s="673" t="s">
        <v>86</v>
      </c>
      <c r="C171" s="617"/>
      <c r="D171" s="617"/>
      <c r="E171" s="466"/>
      <c r="F171" s="617"/>
      <c r="G171" s="617"/>
      <c r="H171" s="569"/>
      <c r="I171" s="477"/>
      <c r="J171" s="617"/>
      <c r="K171" s="1692">
        <f>SUM(C171:J171)</f>
        <v>0</v>
      </c>
      <c r="L171" s="569"/>
    </row>
    <row r="172" spans="1:14" ht="12.75" customHeight="1" thickBot="1" x14ac:dyDescent="0.25">
      <c r="A172" s="1689" t="s">
        <v>659</v>
      </c>
      <c r="B172" s="1690" t="s">
        <v>513</v>
      </c>
      <c r="C172" s="617"/>
      <c r="D172" s="617"/>
      <c r="E172" s="1698">
        <f>SUM(E168,E169,E170,E171)</f>
        <v>0</v>
      </c>
      <c r="F172" s="617"/>
      <c r="G172" s="617"/>
      <c r="H172" s="1698">
        <f>SUM(H168,H169,H170,H171)</f>
        <v>0</v>
      </c>
      <c r="I172" s="639"/>
      <c r="J172" s="617"/>
      <c r="K172" s="1698">
        <f>SUM(K168,K169,K170,K171)</f>
        <v>0</v>
      </c>
      <c r="L172" s="1698">
        <f>SUM(L168,L169,L170,L171)</f>
        <v>0</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0</v>
      </c>
      <c r="I174" s="639"/>
      <c r="J174" s="617"/>
      <c r="K174" s="1698">
        <f>SUM(K160,K172,K173)</f>
        <v>0</v>
      </c>
      <c r="L174" s="1698">
        <f>SUM(L160,L172,L173)</f>
        <v>0</v>
      </c>
    </row>
    <row r="175" spans="1:14" ht="13.5" thickTop="1" x14ac:dyDescent="0.2">
      <c r="A175" s="2206" t="s">
        <v>1053</v>
      </c>
      <c r="B175" s="2207"/>
      <c r="C175" s="617"/>
      <c r="D175" s="617"/>
      <c r="E175" s="617"/>
      <c r="F175" s="617"/>
      <c r="G175" s="617"/>
      <c r="H175" s="619"/>
      <c r="I175" s="617"/>
      <c r="J175" s="617"/>
      <c r="K175" s="1705">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c r="D182" s="466"/>
      <c r="E182" s="466"/>
      <c r="F182" s="466"/>
      <c r="G182" s="466"/>
      <c r="H182" s="466"/>
      <c r="I182" s="467"/>
      <c r="J182" s="467"/>
      <c r="K182" s="1692">
        <f>SUM(C182:J182)</f>
        <v>0</v>
      </c>
      <c r="L182" s="466"/>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0</v>
      </c>
      <c r="D184" s="1698">
        <f t="shared" ref="D184:J184" si="17">SUM(D180,D182,D183)</f>
        <v>0</v>
      </c>
      <c r="E184" s="1698">
        <f t="shared" si="17"/>
        <v>0</v>
      </c>
      <c r="F184" s="1698">
        <f t="shared" si="17"/>
        <v>0</v>
      </c>
      <c r="G184" s="1698">
        <f t="shared" si="17"/>
        <v>0</v>
      </c>
      <c r="H184" s="1698">
        <f t="shared" si="17"/>
        <v>0</v>
      </c>
      <c r="I184" s="1698">
        <f t="shared" si="17"/>
        <v>0</v>
      </c>
      <c r="J184" s="1698">
        <f t="shared" si="17"/>
        <v>0</v>
      </c>
      <c r="K184" s="1698">
        <f>SUM(K180,K182,K183)</f>
        <v>0</v>
      </c>
      <c r="L184" s="1698">
        <f>SUM(L180, L182:L183)</f>
        <v>0</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c r="F189" s="617"/>
      <c r="G189" s="617"/>
      <c r="H189" s="466"/>
      <c r="I189" s="477"/>
      <c r="J189" s="617"/>
      <c r="K189" s="1692">
        <f t="shared" si="18"/>
        <v>0</v>
      </c>
      <c r="L189" s="466"/>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0</v>
      </c>
      <c r="D210" s="1691">
        <f>SUM(D184,D185)</f>
        <v>0</v>
      </c>
      <c r="E210" s="1691">
        <f>SUM(E184,E185,E196)</f>
        <v>0</v>
      </c>
      <c r="F210" s="1691">
        <f>SUM(F184,F185)</f>
        <v>0</v>
      </c>
      <c r="G210" s="1691">
        <f>SUM(G184,G185)</f>
        <v>0</v>
      </c>
      <c r="H210" s="1691">
        <f>SUM(H184,H185,H196,H208,H209)</f>
        <v>0</v>
      </c>
      <c r="I210" s="1691">
        <f>SUM(I184,I185)</f>
        <v>0</v>
      </c>
      <c r="J210" s="1691">
        <f>SUM(J184,J185)</f>
        <v>0</v>
      </c>
      <c r="K210" s="1692">
        <f>SUM(K184,K185,K196,K208,K209)</f>
        <v>0</v>
      </c>
      <c r="L210" s="1691">
        <f>SUM(L184,L185,L196,L208,L209)</f>
        <v>0</v>
      </c>
    </row>
    <row r="211" spans="1:14" ht="13.5" thickTop="1" x14ac:dyDescent="0.2">
      <c r="A211" s="2206" t="s">
        <v>1053</v>
      </c>
      <c r="B211" s="2207"/>
      <c r="C211" s="619"/>
      <c r="D211" s="619"/>
      <c r="E211" s="619"/>
      <c r="F211" s="619"/>
      <c r="G211" s="619"/>
      <c r="H211" s="619"/>
      <c r="I211" s="617"/>
      <c r="J211" s="617"/>
      <c r="K211" s="1705">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28" t="s">
        <v>1022</v>
      </c>
      <c r="B213" s="2229"/>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c r="E215" s="617"/>
      <c r="F215" s="617"/>
      <c r="G215" s="617"/>
      <c r="H215" s="617"/>
      <c r="I215" s="617"/>
      <c r="J215" s="617"/>
      <c r="K215" s="1692">
        <f>D215</f>
        <v>0</v>
      </c>
      <c r="L215" s="466"/>
    </row>
    <row r="216" spans="1:14" x14ac:dyDescent="0.2">
      <c r="A216" s="1525" t="s">
        <v>165</v>
      </c>
      <c r="B216" s="615" t="s">
        <v>1024</v>
      </c>
      <c r="C216" s="617"/>
      <c r="D216" s="467"/>
      <c r="E216" s="617"/>
      <c r="F216" s="617"/>
      <c r="G216" s="617"/>
      <c r="H216" s="617"/>
      <c r="I216" s="617"/>
      <c r="J216" s="617"/>
      <c r="K216" s="1692">
        <f t="shared" ref="K216:K228" si="19">D216</f>
        <v>0</v>
      </c>
      <c r="L216" s="466"/>
    </row>
    <row r="217" spans="1:14" x14ac:dyDescent="0.2">
      <c r="A217" s="1525" t="s">
        <v>166</v>
      </c>
      <c r="B217" s="615">
        <v>1200</v>
      </c>
      <c r="C217" s="617"/>
      <c r="D217" s="466"/>
      <c r="E217" s="617"/>
      <c r="F217" s="617"/>
      <c r="G217" s="617"/>
      <c r="H217" s="617"/>
      <c r="I217" s="617"/>
      <c r="J217" s="617"/>
      <c r="K217" s="1692">
        <f t="shared" si="19"/>
        <v>0</v>
      </c>
      <c r="L217" s="466"/>
    </row>
    <row r="218" spans="1:14" x14ac:dyDescent="0.2">
      <c r="A218" s="1525" t="s">
        <v>296</v>
      </c>
      <c r="B218" s="615" t="s">
        <v>1025</v>
      </c>
      <c r="C218" s="617"/>
      <c r="D218" s="467"/>
      <c r="E218" s="617"/>
      <c r="F218" s="617"/>
      <c r="G218" s="617"/>
      <c r="H218" s="617"/>
      <c r="I218" s="617"/>
      <c r="J218" s="617"/>
      <c r="K218" s="1692">
        <f t="shared" si="19"/>
        <v>0</v>
      </c>
      <c r="L218" s="466"/>
    </row>
    <row r="219" spans="1:14" x14ac:dyDescent="0.2">
      <c r="A219" s="1525" t="s">
        <v>297</v>
      </c>
      <c r="B219" s="615">
        <v>1250</v>
      </c>
      <c r="C219" s="617"/>
      <c r="D219" s="466"/>
      <c r="E219" s="617"/>
      <c r="F219" s="617"/>
      <c r="G219" s="617"/>
      <c r="H219" s="617"/>
      <c r="I219" s="617"/>
      <c r="J219" s="617"/>
      <c r="K219" s="1692">
        <f t="shared" si="19"/>
        <v>0</v>
      </c>
      <c r="L219" s="466"/>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c r="E222" s="617"/>
      <c r="F222" s="617"/>
      <c r="G222" s="617"/>
      <c r="H222" s="617"/>
      <c r="I222" s="617"/>
      <c r="J222" s="617"/>
      <c r="K222" s="1692">
        <f t="shared" si="19"/>
        <v>0</v>
      </c>
      <c r="L222" s="466"/>
    </row>
    <row r="223" spans="1:14" x14ac:dyDescent="0.2">
      <c r="A223" s="1525" t="s">
        <v>1020</v>
      </c>
      <c r="B223" s="615">
        <v>1500</v>
      </c>
      <c r="C223" s="617"/>
      <c r="D223" s="466"/>
      <c r="E223" s="617"/>
      <c r="F223" s="617"/>
      <c r="G223" s="617"/>
      <c r="H223" s="617"/>
      <c r="I223" s="617"/>
      <c r="J223" s="617"/>
      <c r="K223" s="1692">
        <f t="shared" si="19"/>
        <v>0</v>
      </c>
      <c r="L223" s="466"/>
    </row>
    <row r="224" spans="1:14" x14ac:dyDescent="0.2">
      <c r="A224" s="1525" t="s">
        <v>1021</v>
      </c>
      <c r="B224" s="615">
        <v>1600</v>
      </c>
      <c r="C224" s="617"/>
      <c r="D224" s="466"/>
      <c r="E224" s="617"/>
      <c r="F224" s="617"/>
      <c r="G224" s="617"/>
      <c r="H224" s="617"/>
      <c r="I224" s="617"/>
      <c r="J224" s="617"/>
      <c r="K224" s="1692">
        <f t="shared" si="19"/>
        <v>0</v>
      </c>
      <c r="L224" s="466"/>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c r="E226" s="617"/>
      <c r="F226" s="617"/>
      <c r="G226" s="617"/>
      <c r="H226" s="617"/>
      <c r="I226" s="617"/>
      <c r="J226" s="617"/>
      <c r="K226" s="1692">
        <f t="shared" si="19"/>
        <v>0</v>
      </c>
      <c r="L226" s="466"/>
    </row>
    <row r="227" spans="1:12" x14ac:dyDescent="0.2">
      <c r="A227" s="1525" t="s">
        <v>1148</v>
      </c>
      <c r="B227" s="615">
        <v>1800</v>
      </c>
      <c r="C227" s="617"/>
      <c r="D227" s="466"/>
      <c r="E227" s="617"/>
      <c r="F227" s="617"/>
      <c r="G227" s="617"/>
      <c r="H227" s="617"/>
      <c r="I227" s="617"/>
      <c r="J227" s="617"/>
      <c r="K227" s="1692">
        <f t="shared" si="19"/>
        <v>0</v>
      </c>
      <c r="L227" s="466"/>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0</v>
      </c>
      <c r="E229" s="617"/>
      <c r="F229" s="617"/>
      <c r="G229" s="617"/>
      <c r="H229" s="617"/>
      <c r="I229" s="617"/>
      <c r="J229" s="617"/>
      <c r="K229" s="1691">
        <f>SUM(K215:K228)</f>
        <v>0</v>
      </c>
      <c r="L229" s="1691">
        <f>SUM(L215:L228)</f>
        <v>0</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row>
    <row r="233" spans="1:12" x14ac:dyDescent="0.2">
      <c r="A233" s="1525" t="s">
        <v>1151</v>
      </c>
      <c r="B233" s="615">
        <v>2120</v>
      </c>
      <c r="C233" s="617"/>
      <c r="D233" s="466"/>
      <c r="E233" s="617"/>
      <c r="F233" s="617"/>
      <c r="G233" s="617"/>
      <c r="H233" s="617"/>
      <c r="I233" s="617"/>
      <c r="J233" s="617"/>
      <c r="K233" s="1692">
        <f t="shared" si="20"/>
        <v>0</v>
      </c>
      <c r="L233" s="466"/>
    </row>
    <row r="234" spans="1:12" x14ac:dyDescent="0.2">
      <c r="A234" s="1525" t="s">
        <v>207</v>
      </c>
      <c r="B234" s="615">
        <v>2130</v>
      </c>
      <c r="C234" s="617"/>
      <c r="D234" s="466"/>
      <c r="E234" s="617"/>
      <c r="F234" s="617"/>
      <c r="G234" s="617"/>
      <c r="H234" s="617"/>
      <c r="I234" s="617"/>
      <c r="J234" s="617"/>
      <c r="K234" s="1692">
        <f t="shared" si="20"/>
        <v>0</v>
      </c>
      <c r="L234" s="466"/>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c r="E236" s="617"/>
      <c r="F236" s="617"/>
      <c r="G236" s="617"/>
      <c r="H236" s="617"/>
      <c r="I236" s="617"/>
      <c r="J236" s="617"/>
      <c r="K236" s="1692">
        <f t="shared" si="20"/>
        <v>0</v>
      </c>
      <c r="L236" s="466"/>
    </row>
    <row r="237" spans="1:12" x14ac:dyDescent="0.2">
      <c r="A237" s="1525"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0</v>
      </c>
      <c r="E238" s="617"/>
      <c r="F238" s="617"/>
      <c r="G238" s="617"/>
      <c r="H238" s="617"/>
      <c r="I238" s="617"/>
      <c r="J238" s="617"/>
      <c r="K238" s="1691">
        <f>SUM(K232:K237)</f>
        <v>0</v>
      </c>
      <c r="L238" s="1691">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c r="E240" s="617"/>
      <c r="F240" s="617"/>
      <c r="G240" s="617"/>
      <c r="H240" s="617"/>
      <c r="I240" s="617"/>
      <c r="J240" s="617"/>
      <c r="K240" s="1693">
        <f>D240</f>
        <v>0</v>
      </c>
      <c r="L240" s="481"/>
    </row>
    <row r="241" spans="1:12" x14ac:dyDescent="0.2">
      <c r="A241" s="1525" t="s">
        <v>869</v>
      </c>
      <c r="B241" s="615">
        <v>2220</v>
      </c>
      <c r="C241" s="617"/>
      <c r="D241" s="466"/>
      <c r="E241" s="617"/>
      <c r="F241" s="617"/>
      <c r="G241" s="617"/>
      <c r="H241" s="617"/>
      <c r="I241" s="617"/>
      <c r="J241" s="617"/>
      <c r="K241" s="1693">
        <f>D241</f>
        <v>0</v>
      </c>
      <c r="L241" s="466"/>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0</v>
      </c>
      <c r="E243" s="617"/>
      <c r="F243" s="617"/>
      <c r="G243" s="617"/>
      <c r="H243" s="617"/>
      <c r="I243" s="617"/>
      <c r="J243" s="617"/>
      <c r="K243" s="1691">
        <f>SUM(K240:K242)</f>
        <v>0</v>
      </c>
      <c r="L243" s="169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93">
        <f>D245</f>
        <v>0</v>
      </c>
      <c r="L245" s="481"/>
    </row>
    <row r="246" spans="1:12" x14ac:dyDescent="0.2">
      <c r="A246" s="1525" t="s">
        <v>872</v>
      </c>
      <c r="B246" s="615">
        <v>2320</v>
      </c>
      <c r="C246" s="617"/>
      <c r="D246" s="466"/>
      <c r="E246" s="617"/>
      <c r="F246" s="617"/>
      <c r="G246" s="617"/>
      <c r="H246" s="617"/>
      <c r="I246" s="617"/>
      <c r="J246" s="617"/>
      <c r="K246" s="1693">
        <f t="shared" ref="K246:K256" si="21">D246</f>
        <v>0</v>
      </c>
      <c r="L246" s="466"/>
    </row>
    <row r="247" spans="1:12" x14ac:dyDescent="0.2">
      <c r="A247" s="1525" t="s">
        <v>873</v>
      </c>
      <c r="B247" s="615">
        <v>2330</v>
      </c>
      <c r="C247" s="617"/>
      <c r="D247" s="466"/>
      <c r="E247" s="617"/>
      <c r="F247" s="617"/>
      <c r="G247" s="617"/>
      <c r="H247" s="617"/>
      <c r="I247" s="617"/>
      <c r="J247" s="617"/>
      <c r="K247" s="1693">
        <f t="shared" si="21"/>
        <v>0</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1905</v>
      </c>
      <c r="B249" s="684" t="s">
        <v>300</v>
      </c>
      <c r="C249" s="617"/>
      <c r="D249" s="474"/>
      <c r="E249" s="617"/>
      <c r="F249" s="617"/>
      <c r="G249" s="617"/>
      <c r="H249" s="617"/>
      <c r="I249" s="617"/>
      <c r="J249" s="617"/>
      <c r="K249" s="1693">
        <f t="shared" si="21"/>
        <v>0</v>
      </c>
      <c r="L249" s="466"/>
    </row>
    <row r="250" spans="1:12" x14ac:dyDescent="0.2">
      <c r="A250" s="1526" t="s">
        <v>1906</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c r="E254" s="617"/>
      <c r="F254" s="617"/>
      <c r="G254" s="617"/>
      <c r="H254" s="617"/>
      <c r="I254" s="617"/>
      <c r="J254" s="617"/>
      <c r="K254" s="1693">
        <f t="shared" si="21"/>
        <v>0</v>
      </c>
      <c r="L254" s="466"/>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0</v>
      </c>
      <c r="E257" s="617"/>
      <c r="F257" s="617"/>
      <c r="G257" s="617"/>
      <c r="H257" s="617"/>
      <c r="I257" s="617"/>
      <c r="J257" s="617"/>
      <c r="K257" s="1691">
        <f>SUM(K245:K256)</f>
        <v>0</v>
      </c>
      <c r="L257" s="1691">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c r="E259" s="617"/>
      <c r="F259" s="617"/>
      <c r="G259" s="617"/>
      <c r="H259" s="617"/>
      <c r="I259" s="617"/>
      <c r="J259" s="617"/>
      <c r="K259" s="1693">
        <f>D259</f>
        <v>0</v>
      </c>
      <c r="L259" s="481"/>
    </row>
    <row r="260" spans="1:14" s="598" customFormat="1" x14ac:dyDescent="0.2">
      <c r="A260" s="1543" t="s">
        <v>1904</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0</v>
      </c>
      <c r="E261" s="617"/>
      <c r="F261" s="617"/>
      <c r="G261" s="617"/>
      <c r="H261" s="617"/>
      <c r="I261" s="617"/>
      <c r="J261" s="617"/>
      <c r="K261" s="1691">
        <f>SUM(K259:K260)</f>
        <v>0</v>
      </c>
      <c r="L261" s="1691">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row>
    <row r="264" spans="1:14" x14ac:dyDescent="0.2">
      <c r="A264" s="1525" t="s">
        <v>483</v>
      </c>
      <c r="B264" s="686">
        <v>2520</v>
      </c>
      <c r="C264" s="617"/>
      <c r="D264" s="466"/>
      <c r="E264" s="617"/>
      <c r="F264" s="617"/>
      <c r="G264" s="617"/>
      <c r="H264" s="617"/>
      <c r="I264" s="617"/>
      <c r="J264" s="617"/>
      <c r="K264" s="1693">
        <f t="shared" ref="K264:K269" si="22">D264</f>
        <v>0</v>
      </c>
      <c r="L264" s="466"/>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c r="E266" s="617"/>
      <c r="F266" s="617"/>
      <c r="G266" s="617"/>
      <c r="H266" s="617"/>
      <c r="I266" s="617"/>
      <c r="J266" s="617"/>
      <c r="K266" s="1693">
        <f t="shared" si="22"/>
        <v>0</v>
      </c>
      <c r="L266" s="466"/>
    </row>
    <row r="267" spans="1:14" x14ac:dyDescent="0.2">
      <c r="A267" s="1525" t="s">
        <v>1010</v>
      </c>
      <c r="B267" s="615">
        <v>2550</v>
      </c>
      <c r="C267" s="617"/>
      <c r="D267" s="466"/>
      <c r="E267" s="617"/>
      <c r="F267" s="617"/>
      <c r="G267" s="617"/>
      <c r="H267" s="617"/>
      <c r="I267" s="617"/>
      <c r="J267" s="617"/>
      <c r="K267" s="1693">
        <f t="shared" si="22"/>
        <v>0</v>
      </c>
      <c r="L267" s="466"/>
    </row>
    <row r="268" spans="1:14" x14ac:dyDescent="0.2">
      <c r="A268" s="1525" t="s">
        <v>102</v>
      </c>
      <c r="B268" s="615">
        <v>2560</v>
      </c>
      <c r="C268" s="617"/>
      <c r="D268" s="466"/>
      <c r="E268" s="617"/>
      <c r="F268" s="617"/>
      <c r="G268" s="617"/>
      <c r="H268" s="617"/>
      <c r="I268" s="617"/>
      <c r="J268" s="617"/>
      <c r="K268" s="1693">
        <f t="shared" si="22"/>
        <v>0</v>
      </c>
      <c r="L268" s="466"/>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0</v>
      </c>
      <c r="E270" s="617"/>
      <c r="F270" s="617"/>
      <c r="G270" s="617"/>
      <c r="H270" s="617"/>
      <c r="I270" s="617"/>
      <c r="J270" s="617"/>
      <c r="K270" s="1691">
        <f>SUM(K263:K269)</f>
        <v>0</v>
      </c>
      <c r="L270" s="1691">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c r="E274" s="617"/>
      <c r="F274" s="617"/>
      <c r="G274" s="617"/>
      <c r="H274" s="617"/>
      <c r="I274" s="617"/>
      <c r="J274" s="617"/>
      <c r="K274" s="1693">
        <f>D274</f>
        <v>0</v>
      </c>
      <c r="L274" s="466"/>
    </row>
    <row r="275" spans="1:12" x14ac:dyDescent="0.2">
      <c r="A275" s="1525" t="s">
        <v>423</v>
      </c>
      <c r="B275" s="615">
        <v>2640</v>
      </c>
      <c r="C275" s="617"/>
      <c r="D275" s="466"/>
      <c r="E275" s="617"/>
      <c r="F275" s="617"/>
      <c r="G275" s="617"/>
      <c r="H275" s="617"/>
      <c r="I275" s="617"/>
      <c r="J275" s="617"/>
      <c r="K275" s="1693">
        <f>D275</f>
        <v>0</v>
      </c>
      <c r="L275" s="466"/>
    </row>
    <row r="276" spans="1:12" x14ac:dyDescent="0.2">
      <c r="A276" s="1525"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0</v>
      </c>
      <c r="E279" s="617"/>
      <c r="F279" s="617"/>
      <c r="G279" s="617"/>
      <c r="H279" s="617"/>
      <c r="I279" s="617"/>
      <c r="J279" s="617"/>
      <c r="K279" s="1698">
        <f>SUM(K238,K243,K257,K261,K270,K277,K278)</f>
        <v>0</v>
      </c>
      <c r="L279" s="1698">
        <f>SUM(L238,L243,L257,L261,L270,L277,L278)</f>
        <v>0</v>
      </c>
    </row>
    <row r="280" spans="1:12" ht="15.75" customHeight="1" thickTop="1" thickBot="1" x14ac:dyDescent="0.25">
      <c r="A280" s="1645" t="s">
        <v>930</v>
      </c>
      <c r="B280" s="1634">
        <v>3000</v>
      </c>
      <c r="C280" s="617"/>
      <c r="D280" s="576"/>
      <c r="E280" s="617"/>
      <c r="F280" s="617"/>
      <c r="G280" s="617"/>
      <c r="H280" s="617"/>
      <c r="I280" s="617"/>
      <c r="J280" s="617"/>
      <c r="K280" s="1700">
        <f>D280</f>
        <v>0</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1954</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224" t="s">
        <v>526</v>
      </c>
      <c r="B295" s="2225"/>
      <c r="C295" s="617"/>
      <c r="D295" s="1691">
        <f>SUM(D229,D279,D280,D285)</f>
        <v>0</v>
      </c>
      <c r="E295" s="617"/>
      <c r="F295" s="617"/>
      <c r="G295" s="617"/>
      <c r="H295" s="1691">
        <f>H293</f>
        <v>0</v>
      </c>
      <c r="I295" s="617"/>
      <c r="J295" s="617"/>
      <c r="K295" s="1691">
        <f>SUM(K229,K279,K280,K285,K293,K294)</f>
        <v>0</v>
      </c>
      <c r="L295" s="1691">
        <f>SUM(L229,L279,L280,L285,L293,L294)</f>
        <v>0</v>
      </c>
    </row>
    <row r="296" spans="1:14" ht="13.5" thickTop="1" x14ac:dyDescent="0.2">
      <c r="A296" s="2206" t="s">
        <v>1053</v>
      </c>
      <c r="B296" s="2207"/>
      <c r="C296" s="617"/>
      <c r="D296" s="619"/>
      <c r="E296" s="617"/>
      <c r="F296" s="617"/>
      <c r="G296" s="617"/>
      <c r="H296" s="688"/>
      <c r="I296" s="617"/>
      <c r="J296" s="617"/>
      <c r="K296" s="1705">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6" t="s">
        <v>145</v>
      </c>
      <c r="B298" s="2210"/>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92">
        <f>SUM(C301:J301)</f>
        <v>0</v>
      </c>
      <c r="L301" s="467"/>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1959</v>
      </c>
      <c r="B306" s="691" t="s">
        <v>1954</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221" t="s">
        <v>295</v>
      </c>
      <c r="B312" s="2222"/>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217" t="s">
        <v>1053</v>
      </c>
      <c r="B313" s="2218"/>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30" t="s">
        <v>151</v>
      </c>
      <c r="B315" s="2231"/>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32" t="s">
        <v>954</v>
      </c>
      <c r="B317" s="2231"/>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1905</v>
      </c>
      <c r="B320" s="699" t="s">
        <v>300</v>
      </c>
      <c r="C320" s="467"/>
      <c r="D320" s="467"/>
      <c r="E320" s="467"/>
      <c r="F320" s="467"/>
      <c r="G320" s="467"/>
      <c r="H320" s="467"/>
      <c r="I320" s="467"/>
      <c r="J320" s="467"/>
      <c r="K320" s="1692">
        <f t="shared" ref="K320:K327" si="24">SUM(C320:J320)</f>
        <v>0</v>
      </c>
      <c r="L320" s="467"/>
      <c r="M320" s="666"/>
      <c r="N320" s="666"/>
    </row>
    <row r="321" spans="1:14" s="675" customFormat="1" x14ac:dyDescent="0.2">
      <c r="A321" s="1540"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0" t="s">
        <v>256</v>
      </c>
      <c r="B322" s="698" t="s">
        <v>302</v>
      </c>
      <c r="C322" s="467"/>
      <c r="D322" s="467"/>
      <c r="E322" s="467"/>
      <c r="F322" s="467"/>
      <c r="G322" s="467"/>
      <c r="H322" s="467"/>
      <c r="I322" s="467"/>
      <c r="J322" s="467"/>
      <c r="K322" s="1692">
        <f t="shared" si="24"/>
        <v>0</v>
      </c>
      <c r="L322" s="467"/>
      <c r="M322" s="666"/>
      <c r="N322" s="666"/>
    </row>
    <row r="323" spans="1:14" s="675" customFormat="1" x14ac:dyDescent="0.2">
      <c r="A323" s="1540" t="s">
        <v>726</v>
      </c>
      <c r="B323" s="698" t="s">
        <v>303</v>
      </c>
      <c r="C323" s="467"/>
      <c r="D323" s="467"/>
      <c r="E323" s="467"/>
      <c r="F323" s="467"/>
      <c r="G323" s="467"/>
      <c r="H323" s="467"/>
      <c r="I323" s="467"/>
      <c r="J323" s="467"/>
      <c r="K323" s="1692">
        <f t="shared" si="24"/>
        <v>0</v>
      </c>
      <c r="L323" s="467"/>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c r="D325" s="467"/>
      <c r="E325" s="467"/>
      <c r="F325" s="467"/>
      <c r="G325" s="467"/>
      <c r="H325" s="467"/>
      <c r="I325" s="467"/>
      <c r="J325" s="467"/>
      <c r="K325" s="1692">
        <f t="shared" si="24"/>
        <v>0</v>
      </c>
      <c r="L325" s="467"/>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c r="F327" s="467"/>
      <c r="G327" s="467"/>
      <c r="H327" s="467"/>
      <c r="I327" s="467"/>
      <c r="J327" s="467"/>
      <c r="K327" s="1692">
        <f t="shared" si="24"/>
        <v>0</v>
      </c>
      <c r="L327" s="467"/>
      <c r="M327" s="666"/>
      <c r="N327" s="666"/>
    </row>
    <row r="328" spans="1:14" s="675" customFormat="1" x14ac:dyDescent="0.2">
      <c r="A328" s="1541"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0</v>
      </c>
      <c r="F330" s="1691">
        <f t="shared" si="25"/>
        <v>0</v>
      </c>
      <c r="G330" s="1691">
        <f t="shared" si="25"/>
        <v>0</v>
      </c>
      <c r="H330" s="1691">
        <f t="shared" si="25"/>
        <v>0</v>
      </c>
      <c r="I330" s="1691">
        <f t="shared" si="25"/>
        <v>0</v>
      </c>
      <c r="J330" s="1691">
        <f t="shared" si="25"/>
        <v>0</v>
      </c>
      <c r="K330" s="1691">
        <f>SUM(K319:K329)</f>
        <v>0</v>
      </c>
      <c r="L330" s="1691">
        <f>SUM(L319:L329)</f>
        <v>0</v>
      </c>
      <c r="M330" s="666"/>
      <c r="N330" s="666"/>
    </row>
    <row r="331" spans="1:14" s="675" customFormat="1" ht="12.75" customHeight="1" thickTop="1" x14ac:dyDescent="0.2">
      <c r="A331" s="1853" t="s">
        <v>1960</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1954</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1956</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1961</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0</v>
      </c>
      <c r="D342" s="1691">
        <f>SUM(D330)</f>
        <v>0</v>
      </c>
      <c r="E342" s="1691">
        <f>SUM(E330)</f>
        <v>0</v>
      </c>
      <c r="F342" s="1691">
        <f>SUM(F330)</f>
        <v>0</v>
      </c>
      <c r="G342" s="1691">
        <f>SUM(G330)</f>
        <v>0</v>
      </c>
      <c r="H342" s="1691">
        <f>SUM(H330,H334,H340)</f>
        <v>0</v>
      </c>
      <c r="I342" s="1691">
        <f>SUM(I330)</f>
        <v>0</v>
      </c>
      <c r="J342" s="1691">
        <f>SUM(J330)</f>
        <v>0</v>
      </c>
      <c r="K342" s="1691">
        <f>SUM(K330,K334,K340)</f>
        <v>0</v>
      </c>
      <c r="L342" s="1698">
        <f>SUM(L330,L340,L341)</f>
        <v>0</v>
      </c>
    </row>
    <row r="343" spans="1:14" ht="12.75" customHeight="1" thickTop="1" x14ac:dyDescent="0.2">
      <c r="A343" s="2219" t="s">
        <v>1053</v>
      </c>
      <c r="B343" s="2220"/>
      <c r="C343" s="617"/>
      <c r="D343" s="617"/>
      <c r="E343" s="617"/>
      <c r="F343" s="617"/>
      <c r="G343" s="617"/>
      <c r="H343" s="617"/>
      <c r="I343" s="617"/>
      <c r="J343" s="617"/>
      <c r="K343" s="1705">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09" t="s">
        <v>1023</v>
      </c>
      <c r="B345" s="2210"/>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row>
    <row r="349" spans="1:14" x14ac:dyDescent="0.2">
      <c r="A349" s="1525"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1962</v>
      </c>
      <c r="B354" s="684" t="s">
        <v>1954</v>
      </c>
      <c r="C354" s="617"/>
      <c r="D354" s="617"/>
      <c r="E354" s="617"/>
      <c r="F354" s="617"/>
      <c r="G354" s="617"/>
      <c r="H354" s="474"/>
      <c r="I354" s="702"/>
      <c r="J354" s="617"/>
      <c r="K354" s="1720">
        <f>H354</f>
        <v>0</v>
      </c>
      <c r="L354" s="471"/>
    </row>
    <row r="355" spans="1:14" ht="12.75" customHeight="1" x14ac:dyDescent="0.2">
      <c r="A355" s="1534" t="s">
        <v>1963</v>
      </c>
      <c r="B355" s="691" t="s">
        <v>1956</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206" t="s">
        <v>1053</v>
      </c>
      <c r="B368" s="2207"/>
      <c r="C368" s="655"/>
      <c r="D368" s="655"/>
      <c r="E368" s="627"/>
      <c r="F368" s="627"/>
      <c r="G368" s="627"/>
      <c r="H368" s="627"/>
      <c r="I368" s="627"/>
      <c r="J368" s="624"/>
      <c r="K368" s="1692">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BUDGET TO ACTUAL
FOR THE YEAR ENDING JUNE 30, 2018&amp;R&amp;8Page &amp;P</oddHeader>
    <oddFooter>&amp;L&amp;8Print Date: &amp;D
&amp;F&amp;CSee Accompanying Notes to Financial Statements.</oddFooter>
  </headerFooter>
  <rowBreaks count="6" manualBreakCount="6">
    <brk id="53" max="16383" man="1"/>
    <brk id="153" max="16383" man="1"/>
    <brk id="203" max="11"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openxmlformats.org/package/2006/metadata/core-properties"/>
    <ds:schemaRef ds:uri="d21dc803-237d-4c68-8692-8d731fd29118"/>
    <ds:schemaRef ds:uri="http://schemas.microsoft.com/office/infopath/2007/PartnerControls"/>
    <ds:schemaRef ds:uri="http://purl.org/dc/terms/"/>
    <ds:schemaRef ds:uri="4d435f69-8686-490b-bd6d-b153bf22ab50"/>
    <ds:schemaRef ds:uri="6ce3111e-7420-4802-b50a-75d4e9a0b980"/>
    <ds:schemaRef ds:uri="http://schemas.microsoft.com/office/2006/documentManagement/types"/>
    <ds:schemaRef ds:uri="http://purl.org/dc/elements/1.1/"/>
    <ds:schemaRef ds:uri="http://schemas.microsoft.com/sharepoint/v3"/>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 NOTES (2)</vt:lpstr>
      <vt:lpstr> SEFA</vt:lpstr>
      <vt:lpstr> SEFA (2)</vt:lpstr>
      <vt:lpstr>SF&amp;QC Sec-1</vt:lpstr>
      <vt:lpstr>SF&amp;QC Sec-2</vt:lpstr>
      <vt:lpstr>SF&amp;QC Sec-2 (2)</vt:lpstr>
      <vt:lpstr>SF&amp;QC Sec-3</vt:lpstr>
      <vt:lpstr>SSPAF</vt:lpstr>
      <vt:lpstr>' SEFA'!Print_Area</vt:lpstr>
      <vt:lpstr>' SEFA (2)'!Print_Area</vt:lpstr>
      <vt:lpstr>'SEFA NOTES'!Print_Area</vt:lpstr>
      <vt:lpstr>'SEFA NOTES (2)'!Print_Area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2018-07-05T20:21:48Z</cp:lastPrinted>
  <dcterms:created xsi:type="dcterms:W3CDTF">2003-10-29T19:06:34Z</dcterms:created>
  <dcterms:modified xsi:type="dcterms:W3CDTF">2018-12-19T20:45:39Z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