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89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G4" i="4"/>
  <c r="B2603" i="106" s="1"/>
  <c r="D2603" i="106" s="1"/>
  <c r="K274" i="5"/>
  <c r="H173" i="5"/>
  <c r="B5906" i="106" s="1"/>
  <c r="D5906" i="106" s="1"/>
  <c r="C172" i="5"/>
  <c r="B5214" i="106" s="1"/>
  <c r="D5214" i="106" s="1"/>
  <c r="H109" i="5"/>
  <c r="B6025" i="106" s="1"/>
  <c r="D6025" i="106" s="1"/>
  <c r="D109" i="5"/>
  <c r="B5356" i="106" s="1"/>
  <c r="D5356" i="106" s="1"/>
  <c r="F106" i="34"/>
  <c r="D7" i="7"/>
  <c r="B1763" i="106" s="1"/>
  <c r="D1763" i="106" s="1"/>
  <c r="H4" i="4"/>
  <c r="D4" i="4"/>
  <c r="B2564" i="106" s="1"/>
  <c r="D2564" i="106" s="1"/>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D7245" i="106" l="1"/>
  <c r="I342" i="29"/>
  <c r="B7222" i="106" s="1"/>
  <c r="D7222" i="106" s="1"/>
  <c r="I173" i="5"/>
  <c r="B4216" i="106" s="1"/>
  <c r="D4216" i="106" s="1"/>
  <c r="L342" i="29"/>
  <c r="L312" i="29"/>
  <c r="J41" i="3"/>
  <c r="D6103" i="106"/>
  <c r="E174" i="29"/>
  <c r="B1309" i="106" s="1"/>
  <c r="D1309" i="106" s="1"/>
  <c r="C129" i="29"/>
  <c r="K24" i="12"/>
  <c r="G352" i="29"/>
  <c r="C352" i="29"/>
  <c r="L15" i="11"/>
  <c r="B3459" i="106" s="1"/>
  <c r="D3459" i="106" s="1"/>
  <c r="B1410" i="106"/>
  <c r="D1410" i="106" s="1"/>
  <c r="B1329" i="106"/>
  <c r="D1329" i="106" s="1"/>
  <c r="F61" i="34"/>
  <c r="C173" i="5"/>
  <c r="B5223" i="106" s="1"/>
  <c r="D5223"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B3649" i="106" l="1"/>
  <c r="D3649" i="106" s="1"/>
  <c r="G367" i="29"/>
  <c r="B3650" i="106" s="1"/>
  <c r="D3650" i="106" s="1"/>
  <c r="H367" i="29"/>
  <c r="B3660" i="106" s="1"/>
  <c r="D3660" i="106" s="1"/>
  <c r="B3621" i="106"/>
  <c r="D3621" i="106" s="1"/>
  <c r="C367" i="29"/>
  <c r="B3622" i="106" s="1"/>
  <c r="D3622" i="106" s="1"/>
  <c r="B7733" i="106"/>
  <c r="D7733" i="106" s="1"/>
  <c r="K26" i="12"/>
  <c r="B7743" i="106" s="1"/>
  <c r="D7743"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G41" i="108" l="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<sst xmlns="http://schemas.openxmlformats.org/spreadsheetml/2006/main" count="5036" uniqueCount="2106">
  <si>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</si>
  <si>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</si>
  <si>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</si>
  <si>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</si>
  <si>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</si>
  <si>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</si>
  <si>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</si>
  <si>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</si>
  <si>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</si>
  <si>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</si>
  <si>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</si>
  <si>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</si>
  <si>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</si>
  <si>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</si>
  <si>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</si>
  <si>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</si>
  <si>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</si>
  <si>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</si>
  <si>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</si>
  <si>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</si>
  <si>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</si>
  <si>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</si>
  <si>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</si>
  <si>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</si>
  <si>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</si>
  <si>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</si>
  <si>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</si>
  <si>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</si>
  <si>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</si>
  <si>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</si>
  <si>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</si>
  <si>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</si>
  <si>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</si>
  <si>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</si>
  <si>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</si>
  <si>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</si>
  <si>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</si>
  <si>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</si>
  <si>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</si>
  <si>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</si>
  <si>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</si>
  <si>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</si>
  <si>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</si>
  <si>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</si>
  <si>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</si>
  <si>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</si>
  <si>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</si>
  <si>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</si>
  <si>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</si>
  <si>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</si>
  <si>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</si>
  <si>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</si>
  <si>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</si>
  <si>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</si>
  <si>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</si>
  <si>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</si>
  <si>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</si>
  <si>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</si>
  <si>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</si>
  <si>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</si>
  <si>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</si>
  <si>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</si>
  <si>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</si>
  <si>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</si>
  <si>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</si>
  <si>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</si>
  <si>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</si>
  <si>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</si>
  <si>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</si>
  <si>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</si>
  <si>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</si>
  <si>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</si>
  <si>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</si>
  <si>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</si>
  <si>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</si>
  <si>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</si>
  <si>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</si>
  <si>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</si>
  <si>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</si>
  <si>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</si>
  <si>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</si>
  <si>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</si>
  <si>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</si>
  <si>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</si>
  <si>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</si>
  <si>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</si>
  <si>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</si>
  <si>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</si>
  <si>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</si>
  <si>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</si>
  <si>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</si>
  <si>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</si>
  <si>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</si>
  <si>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</si>
  <si>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</si>
  <si>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</si>
  <si>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</si>
  <si>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</si>
  <si>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</si>
  <si>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</si>
  <si>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</si>
  <si>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</si>
  <si>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</si>
  <si>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</si>
  <si>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</si>
  <si>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</si>
  <si>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</si>
  <si>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</si>
  <si>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</si>
  <si>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</si>
  <si>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</si>
  <si>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</si>
  <si>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</si>
  <si>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</si>
  <si>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</si>
  <si>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</si>
  <si>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</si>
  <si>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</si>
  <si>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</si>
  <si>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</si>
  <si>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</si>
  <si>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</si>
  <si>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</si>
  <si>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</si>
  <si>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</si>
  <si>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</si>
  <si>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</si>
  <si>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</si>
  <si>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</si>
  <si>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</si>
  <si>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</si>
  <si>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</si>
  <si>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</si>
  <si>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</si>
  <si>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</si>
  <si>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</si>
  <si>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</si>
  <si>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</si>
  <si>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</si>
  <si>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</si>
  <si>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</si>
  <si>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</si>
  <si>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</si>
  <si>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</si>
  <si>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</si>
  <si>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</si>
  <si>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</si>
  <si>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</si>
  <si>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</si>
  <si>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</si>
  <si>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</si>
  <si>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</si>
  <si>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</si>
  <si>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</si>
  <si>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</si>
  <si>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</si>
  <si>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</si>
  <si>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</si>
  <si>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</si>
  <si>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</si>
  <si>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</si>
  <si>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</si>
  <si>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</si>
  <si>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</si>
  <si>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</si>
  <si>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</si>
  <si>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</si>
  <si>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</si>
  <si>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</si>
  <si>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</si>
  <si>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</si>
  <si>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</si>
  <si>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</si>
  <si>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</si>
  <si>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</si>
  <si>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</si>
  <si>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</si>
  <si>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</si>
  <si>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</si>
  <si>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</si>
  <si>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</si>
  <si>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</si>
  <si>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</si>
  <si>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</si>
  <si>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</si>
  <si>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</si>
  <si>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</si>
  <si>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</si>
  <si>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</si>
  <si>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</si>
  <si>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</si>
  <si>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</si>
  <si>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</si>
  <si>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</si>
  <si>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</si>
  <si>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</si>
  <si>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</si>
  <si>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</si>
  <si>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</si>
  <si>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</si>
  <si>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</si>
  <si>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</si>
  <si>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</si>
  <si>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</si>
  <si>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</si>
  <si>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</si>
  <si>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</si>
  <si>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</si>
  <si>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</si>
  <si>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</si>
  <si>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</si>
  <si>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</si>
  <si>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</si>
  <si>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</si>
  <si>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</si>
  <si>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</si>
  <si>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</si>
  <si>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</si>
  <si>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</si>
  <si>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</si>
  <si>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</si>
  <si>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</si>
  <si>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</si>
  <si>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</si>
  <si>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</si>
  <si>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</si>
  <si>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</si>
  <si>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</si>
  <si>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</si>
  <si>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</si>
  <si>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</si>
  <si>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</si>
  <si>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</si>
  <si>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</si>
  <si>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</si>
  <si>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</si>
  <si>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</si>
  <si>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</si>
  <si>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</si>
  <si>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</si>
  <si>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</si>
  <si>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</si>
  <si>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</si>
  <si>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</si>
  <si>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</si>
  <si>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</si>
  <si>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</si>
  <si>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</si>
  <si>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</si>
  <si>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</si>
  <si>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</si>
  <si>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</si>
  <si>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</si>
  <si>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</si>
  <si>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</si>
  <si>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</si>
  <si>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</si>
  <si>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</si>
  <si>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</si>
  <si>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</si>
  <si>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</si>
  <si>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</si>
  <si>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</si>
  <si>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</si>
  <si>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</si>
  <si>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</si>
  <si>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</si>
  <si>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</si>
  <si>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</si>
  <si>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</si>
  <si>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</si>
  <si>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</si>
  <si>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</si>
  <si>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</si>
  <si>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</si>
  <si>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</si>
  <si>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</si>
  <si>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</si>
  <si>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</si>
  <si>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</si>
  <si>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</si>
  <si>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</si>
  <si>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</si>
  <si>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</si>
  <si>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</si>
  <si>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</si>
  <si>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</si>
  <si>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</si>
  <si>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</si>
  <si>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</si>
  <si>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</si>
  <si>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</si>
  <si>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</si>
  <si>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</si>
  <si>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</si>
  <si>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</si>
  <si>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</si>
  <si>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</si>
  <si>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</si>
  <si>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</si>
  <si>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</si>
  <si>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</si>
  <si>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</si>
  <si>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</si>
  <si>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</si>
  <si>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</si>
  <si>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</si>
  <si>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</si>
  <si>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</si>
  <si>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</si>
  <si>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</si>
  <si>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</si>
  <si>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</si>
  <si>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</si>
  <si>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</si>
  <si>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</si>
  <si>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</si>
  <si>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</si>
  <si>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</si>
  <si>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</si>
  <si>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</si>
  <si>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</si>
  <si>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</si>
  <si>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</si>
  <si>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</si>
  <si>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</si>
  <si>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</si>
  <si>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</si>
  <si>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</si>
  <si>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</si>
  <si>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</si>
  <si>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</si>
  <si>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</si>
  <si>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</si>
  <si>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</si>
  <si>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</si>
  <si>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</si>
  <si>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</si>
  <si>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</si>
  <si>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</si>
  <si>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</si>
  <si>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</si>
  <si>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</si>
  <si>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</si>
  <si>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</si>
  <si>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</si>
  <si>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</si>
  <si>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</si>
  <si>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</si>
  <si>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</si>
  <si>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</si>
  <si>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</si>
  <si>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</si>
  <si>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</si>
  <si>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</si>
  <si>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</si>
  <si>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</si>
  <si>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</si>
  <si>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</si>
  <si>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</si>
  <si>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</si>
  <si>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</si>
  <si>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</si>
  <si>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</si>
  <si>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</si>
  <si>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</si>
  <si>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</si>
  <si>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</si>
  <si>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</si>
  <si>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</si>
  <si>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</si>
  <si>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</si>
  <si>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</si>
  <si>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</si>
  <si>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</si>
  <si>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</si>
  <si>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</si>
  <si>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</si>
  <si>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</si>
  <si>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</si>
  <si>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</si>
  <si>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</si>
  <si>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</si>
  <si>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</si>
  <si>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</si>
  <si>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</si>
  <si>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</si>
  <si>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</si>
  <si>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</si>
  <si>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</si>
  <si>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</si>
  <si>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</si>
  <si>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</si>
  <si>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</si>
  <si>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</si>
  <si>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</si>
  <si>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</si>
  <si>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</si>
  <si>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</si>
  <si>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</si>
  <si>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</si>
  <si>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</si>
  <si>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</si>
  <si>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</si>
  <si>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</si>
  <si>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</si>
  <si>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</si>
  <si>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</si>
  <si>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</si>
  <si>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</si>
  <si>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</si>
  <si>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</si>
  <si>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</si>
  <si>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</si>
  <si>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</si>
  <si>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</si>
  <si>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</si>
  <si>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</si>
  <si>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</si>
  <si>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</si>
  <si>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</si>
  <si>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</si>
  <si>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</si>
  <si>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</si>
  <si>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</si>
  <si>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</si>
  <si>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</si>
  <si>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</si>
  <si>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</si>
  <si>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</si>
  <si>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</si>
  <si>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</si>
  <si>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</si>
  <si>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</si>
  <si>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</si>
  <si>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</si>
  <si>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</si>
  <si>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</si>
  <si>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</si>
  <si>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</si>
  <si>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</si>
  <si>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</si>
  <si>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</si>
  <si>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</si>
  <si>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</si>
  <si>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</si>
  <si>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</si>
  <si>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</si>
  <si>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</si>
  <si>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</si>
  <si>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</si>
  <si>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</si>
  <si>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</si>
  <si>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</si>
  <si>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</si>
  <si>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</si>
  <si>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</si>
  <si>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</si>
  <si>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</si>
  <si>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</si>
  <si>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</si>
  <si>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</si>
  <si>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</si>
  <si>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</si>
  <si>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</si>
  <si>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</si>
  <si>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</si>
  <si>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</si>
  <si>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</si>
  <si>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</si>
  <si>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</si>
  <si>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</si>
  <si>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</si>
  <si>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</si>
  <si>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</si>
  <si>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</si>
  <si>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</si>
  <si>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</si>
  <si>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</si>
  <si>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</si>
  <si>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</si>
  <si>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</si>
  <si>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</si>
  <si>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</si>
  <si>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</si>
  <si>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</si>
  <si>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</si>
  <si>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</si>
  <si>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</si>
  <si>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</si>
  <si>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</si>
  <si>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</si>
  <si>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</si>
  <si>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</si>
  <si>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</si>
  <si>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</si>
  <si>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</si>
  <si>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</si>
  <si>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</si>
  <si>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</si>
  <si>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</si>
  <si>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</si>
  <si>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</si>
  <si>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</si>
  <si>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</si>
  <si>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</si>
  <si>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</si>
  <si>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</si>
  <si>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</si>
  <si>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</si>
  <si>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</si>
  <si>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</si>
  <si>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</si>
  <si>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</si>
  <si>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</si>
  <si>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</si>
  <si>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</si>
  <si>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</si>
  <si>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</si>
  <si>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</si>
  <si>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</si>
  <si>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</si>
  <si>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</si>
  <si>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</si>
  <si>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</si>
  <si>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</si>
  <si>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</si>
  <si>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</si>
  <si>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</si>
  <si>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</si>
  <si>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</si>
  <si>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</si>
  <si>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</si>
  <si>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</si>
  <si>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</si>
  <si>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</si>
  <si>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</si>
  <si>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</si>
  <si>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</si>
  <si>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</si>
  <si>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</si>
  <si>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</si>
  <si>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</si>
  <si>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</si>
  <si>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</si>
  <si>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</si>
  <si>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</si>
  <si>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</si>
  <si>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</si>
  <si>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</si>
  <si>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</si>
  <si>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</si>
  <si>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</si>
  <si>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</si>
  <si>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</si>
  <si>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</si>
  <si>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</si>
  <si>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</si>
  <si>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</si>
  <si>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</si>
  <si>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</si>
  <si>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</si>
  <si>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</si>
  <si>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</si>
  <si>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</si>
  <si>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</si>
  <si>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</si>
  <si>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</si>
  <si>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</si>
  <si>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</si>
  <si>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</si>
  <si>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</si>
  <si>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</si>
  <si>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</si>
  <si>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</si>
  <si>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</si>
  <si>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</si>
  <si>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</si>
  <si>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</si>
  <si>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</si>
  <si>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</si>
  <si>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</si>
  <si>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</si>
  <si>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</si>
  <si>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</si>
  <si>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</si>
  <si>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</si>
  <si>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</si>
  <si>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</si>
  <si>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</si>
  <si>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</si>
  <si>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</si>
  <si>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</si>
  <si>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</si>
  <si>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</si>
  <si>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</si>
  <si>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</si>
  <si>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</si>
  <si>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</si>
  <si>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</si>
  <si>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</si>
  <si>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</si>
  <si>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</si>
  <si>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</si>
  <si>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</si>
  <si>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</si>
  <si>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</si>
  <si>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</si>
  <si>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</si>
  <si>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</si>
  <si>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</si>
  <si>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</si>
  <si>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</si>
  <si>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</si>
  <si>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</si>
  <si>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</si>
  <si>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</si>
  <si>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</si>
  <si>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</si>
  <si>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</si>
  <si>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</si>
  <si>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</si>
  <si>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</si>
  <si>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</si>
  <si>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</si>
  <si>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</si>
  <si>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</si>
  <si>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</si>
  <si>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</si>
  <si>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</si>
  <si>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</si>
  <si>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</si>
  <si>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</si>
  <si>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</si>
  <si>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</si>
  <si>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</si>
  <si>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</si>
  <si>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</si>
  <si>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</si>
  <si>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</si>
  <si>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</si>
  <si>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</si>
  <si>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</si>
  <si>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</si>
  <si>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</si>
  <si>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</si>
  <si>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</si>
  <si>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</si>
  <si>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</si>
  <si>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</si>
  <si>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</si>
  <si>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</si>
  <si>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</si>
  <si>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</si>
  <si>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</si>
  <si>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</si>
  <si>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</si>
  <si>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</si>
  <si>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</si>
  <si>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</si>
  <si>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</si>
  <si>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</si>
  <si>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</si>
  <si>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</si>
  <si>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</si>
  <si>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</si>
  <si>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</si>
  <si>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</si>
  <si>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</si>
  <si>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</si>
  <si>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</si>
  <si>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</si>
  <si>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</si>
  <si>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</si>
  <si>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</si>
  <si>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</si>
  <si>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</si>
  <si>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</si>
  <si>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</si>
  <si>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</si>
  <si>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</si>
  <si>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</si>
  <si>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</si>
  <si>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</si>
  <si>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</si>
  <si>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</si>
  <si>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</si>
  <si>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</si>
  <si>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</si>
  <si>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</si>
  <si>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</si>
  <si>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</si>
  <si>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</si>
  <si>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</si>
  <si>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</si>
  <si>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</si>
  <si>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</si>
  <si>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</si>
  <si>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</si>
  <si>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</si>
  <si>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</si>
  <si>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</si>
  <si>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</si>
  <si>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</si>
  <si>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</si>
  <si>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</si>
  <si>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</si>
  <si>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</si>
  <si>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</si>
  <si>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</si>
  <si>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</si>
  <si>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</si>
  <si>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</si>
  <si>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</si>
  <si>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</si>
  <si>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</si>
  <si>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</si>
  <si>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</si>
  <si>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</si>
  <si>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</si>
  <si>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</si>
  <si>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</si>
  <si>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</si>
  <si>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</si>
  <si>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</si>
  <si>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</si>
  <si>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</si>
  <si>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</si>
  <si>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</si>
  <si>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</si>
  <si>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</si>
  <si>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</si>
  <si>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</si>
  <si>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</si>
  <si>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</si>
  <si>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</si>
  <si>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</si>
  <si>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</si>
  <si>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</si>
  <si>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</si>
  <si>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</si>
  <si>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</si>
  <si>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</si>
  <si>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</si>
  <si>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</si>
  <si>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</si>
  <si>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</si>
  <si>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</si>
  <si>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</si>
  <si>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</si>
  <si>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</si>
  <si>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</si>
  <si>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</si>
  <si>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</si>
  <si>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</si>
  <si>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</si>
  <si>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</si>
  <si>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</si>
  <si>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</si>
  <si>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</si>
  <si>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</si>
  <si>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</si>
  <si>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</si>
  <si>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</si>
  <si>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</si>
  <si>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</si>
  <si>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</si>
  <si>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</si>
  <si>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</si>
  <si>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</si>
  <si>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</si>
  <si>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</si>
  <si>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</si>
  <si>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</si>
  <si>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</si>
  <si>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</si>
  <si>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</si>
  <si>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</si>
  <si>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</si>
  <si>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</si>
  <si>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</si>
  <si>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</si>
  <si>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</si>
  <si>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</si>
  <si>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</si>
  <si>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</si>
  <si>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</si>
  <si>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</si>
  <si>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</si>
  <si>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</si>
  <si>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</si>
  <si>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</si>
  <si>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</si>
  <si>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</si>
  <si>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</si>
  <si>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</si>
  <si>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</si>
  <si>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</si>
  <si>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</si>
  <si>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</si>
  <si>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</si>
  <si>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</si>
  <si>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</si>
  <si>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</si>
  <si>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</si>
  <si>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</si>
  <si>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</si>
  <si>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</si>
  <si>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</si>
  <si>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</si>
  <si>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</si>
  <si>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</si>
  <si>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</si>
  <si>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</si>
  <si>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</si>
  <si>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</si>
  <si>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</si>
  <si>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</si>
  <si>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</si>
  <si>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</si>
  <si>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</si>
  <si>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</si>
  <si>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</si>
  <si>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</si>
  <si>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</si>
  <si>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</si>
  <si>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</si>
  <si>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</si>
  <si>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</si>
  <si>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</si>
  <si>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</si>
  <si>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</si>
  <si>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</si>
  <si>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</si>
  <si>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</si>
  <si>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</si>
  <si>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</si>
  <si>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</si>
  <si>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</si>
  <si>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</si>
  <si>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</si>
  <si>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</si>
  <si>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</si>
  <si>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</si>
  <si>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</si>
  <si>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</si>
  <si>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</si>
  <si>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</si>
  <si>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</si>
  <si>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</si>
  <si>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</si>
  <si>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</si>
  <si>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</si>
  <si>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</si>
  <si>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</si>
  <si>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</si>
  <si>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</si>
  <si>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</si>
  <si>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</si>
  <si>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</si>
  <si>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</si>
  <si>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</si>
  <si>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</si>
  <si>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</si>
  <si>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</si>
  <si>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</si>
  <si>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</si>
  <si>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</si>
  <si>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</si>
  <si>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</si>
  <si>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</si>
  <si>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</si>
  <si>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</si>
  <si>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</si>
  <si>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</si>
  <si>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</si>
  <si>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</si>
  <si>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</si>
  <si>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</si>
  <si>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</si>
  <si>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</si>
  <si>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</si>
  <si>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</si>
  <si>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</si>
  <si>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</si>
  <si>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</si>
  <si>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</si>
  <si>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</si>
  <si>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</si>
  <si>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</si>
  <si>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</si>
  <si>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</si>
  <si>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</si>
  <si>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</si>
  <si>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</si>
  <si>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</si>
  <si>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</si>
  <si>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</si>
  <si>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</si>
  <si>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</si>
  <si>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</si>
  <si>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</si>
  <si>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</si>
  <si>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</si>
  <si>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</si>
  <si>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</si>
  <si>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</si>
  <si>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</si>
  <si>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</si>
  <si>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</si>
  <si>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</si>
  <si>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</si>
  <si>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</si>
  <si>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</si>
  <si>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</si>
  <si>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</si>
  <si>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</si>
  <si>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</si>
  <si>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</si>
  <si>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</si>
  <si>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</si>
  <si>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</si>
  <si>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</si>
  <si>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</si>
  <si>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</si>
  <si>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</si>
  <si>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</si>
  <si>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</si>
  <si>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</si>
  <si>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</si>
  <si>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</si>
  <si>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</si>
  <si>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</si>
  <si>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</si>
  <si>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</si>
  <si>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</si>
  <si>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</si>
  <si>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</si>
  <si>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</si>
  <si>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</si>
  <si>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</si>
  <si>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</si>
  <si>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</si>
  <si>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</si>
  <si>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</si>
  <si>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</si>
  <si>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</si>
  <si>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</si>
  <si>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</si>
  <si>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</si>
  <si>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</si>
  <si>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</si>
  <si>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</si>
  <si>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</si>
  <si>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</si>
  <si>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</si>
  <si>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</si>
  <si>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</si>
  <si>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</si>
  <si>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</si>
  <si>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</si>
  <si>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</si>
  <si>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</si>
  <si>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</si>
  <si>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</si>
  <si>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</si>
  <si>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</si>
  <si>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</si>
  <si>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</si>
  <si>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</si>
  <si>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</si>
  <si>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</si>
  <si>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</si>
  <si>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</si>
  <si>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</si>
  <si>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</si>
  <si>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</si>
  <si>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</si>
  <si>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</si>
  <si>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</si>
  <si>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</si>
  <si>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</si>
  <si>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</si>
  <si>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</si>
  <si>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</si>
  <si>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</si>
  <si>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</si>
  <si>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</si>
  <si>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</si>
  <si>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</si>
  <si>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</si>
  <si>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</si>
  <si>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</si>
  <si>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</si>
  <si>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</si>
  <si>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</si>
  <si>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</si>
  <si>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</si>
  <si>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</si>
  <si>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</si>
  <si>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</si>
  <si>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</si>
  <si>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</si>
  <si>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</si>
  <si>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</si>
  <si>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</si>
  <si>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</si>
  <si>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</si>
  <si>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</si>
  <si>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</si>
  <si>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</si>
  <si>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</si>
  <si>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</si>
  <si>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</si>
  <si>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</si>
  <si>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</si>
  <si>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</si>
  <si>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</si>
  <si>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</si>
  <si>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</si>
  <si>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</si>
  <si>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</si>
  <si>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</si>
  <si>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</si>
  <si>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</si>
  <si>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</si>
  <si>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</si>
  <si>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</si>
  <si>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</si>
  <si>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</si>
  <si>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</si>
  <si>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</si>
  <si>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</si>
  <si>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</si>
  <si>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</si>
  <si>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</si>
  <si>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</si>
  <si>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</si>
  <si>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</si>
  <si>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</si>
  <si>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</si>
  <si>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</si>
  <si>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</si>
  <si>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</si>
  <si>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</si>
  <si>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</si>
  <si>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</si>
  <si>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</si>
  <si>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</si>
  <si>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</si>
  <si>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</si>
  <si>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</si>
  <si>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</si>
  <si>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</si>
  <si>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</si>
  <si>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</si>
  <si>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</si>
  <si>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</si>
  <si>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</si>
  <si>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</si>
  <si>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</si>
  <si>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</si>
  <si>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</si>
  <si>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</si>
  <si>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</si>
  <si>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</si>
  <si>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</si>
  <si>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</si>
  <si>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</si>
  <si>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</si>
  <si>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</si>
  <si>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</si>
  <si>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</si>
  <si>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</si>
  <si>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</si>
  <si>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</si>
  <si>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</si>
  <si>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</si>
  <si>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</si>
  <si>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</si>
  <si>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</si>
  <si>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</si>
  <si>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</si>
  <si>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</si>
  <si>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</si>
  <si>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</si>
  <si>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</si>
  <si>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</si>
  <si>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</si>
  <si>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</si>
  <si>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</si>
  <si>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</si>
  <si>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</si>
  <si>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</si>
  <si>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</si>
  <si>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</si>
  <si>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</si>
  <si>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</si>
  <si>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</si>
  <si>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</si>
  <si>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</si>
  <si>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</si>
  <si>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</si>
  <si>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</si>
  <si>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</si>
  <si>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</si>
  <si>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</si>
  <si>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</si>
  <si>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</si>
  <si>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</si>
  <si>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</si>
  <si>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</si>
  <si>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</si>
  <si>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</si>
  <si>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</si>
  <si>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</si>
  <si>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</si>
  <si>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</si>
  <si>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</si>
  <si>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</si>
  <si>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</si>
  <si>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</si>
  <si>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</si>
  <si>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</si>
  <si>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</si>
  <si>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</si>
  <si>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</si>
  <si>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</si>
  <si>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</si>
  <si>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</si>
  <si>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</si>
  <si>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</si>
  <si>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</si>
  <si>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</si>
  <si>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</si>
  <si>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</si>
  <si>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</si>
  <si>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</si>
  <si>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</si>
  <si>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</si>
  <si>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</si>
  <si>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</si>
  <si>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</si>
  <si>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</si>
  <si>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</si>
  <si>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</si>
  <si>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</si>
  <si>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</si>
  <si>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</si>
  <si>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</si>
  <si>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</si>
  <si>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</si>
  <si>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</si>
  <si>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</si>
  <si>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</si>
  <si>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</si>
  <si>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</si>
  <si>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</si>
  <si>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</si>
  <si>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</si>
  <si>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</si>
  <si>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</si>
  <si>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</si>
  <si>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</si>
  <si>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</si>
  <si>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</si>
  <si>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</si>
  <si>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</si>
  <si>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</si>
  <si>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</si>
  <si>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</si>
  <si>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</si>
  <si>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</si>
  <si>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</si>
  <si>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</si>
  <si>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</si>
  <si>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</si>
  <si>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</si>
  <si>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</si>
  <si>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</si>
  <si>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</si>
  <si>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</si>
  <si>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</si>
  <si>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</si>
  <si>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</si>
  <si>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</si>
  <si>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</si>
  <si>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</si>
  <si>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</si>
  <si>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</si>
  <si>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</si>
  <si>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</si>
  <si>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</si>
  <si>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</si>
  <si>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</si>
  <si>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</si>
  <si>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</si>
  <si>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</si>
  <si>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</si>
  <si>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</si>
  <si>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</si>
  <si>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</si>
  <si>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</si>
  <si>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</si>
  <si>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</si>
  <si>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</si>
  <si>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</si>
  <si>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</si>
  <si>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</si>
  <si>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</si>
  <si>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</si>
  <si>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</si>
  <si>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</si>
  <si>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</si>
  <si>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</si>
  <si>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</si>
  <si>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</si>
  <si>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</si>
  <si>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</si>
  <si>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</si>
  <si>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</si>
  <si>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</si>
  <si>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</si>
  <si>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</si>
  <si>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</si>
  <si>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</si>
  <si>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</si>
  <si>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</si>
  <si>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</si>
  <si>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</si>
  <si>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</si>
  <si>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</si>
  <si>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</si>
  <si>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</si>
  <si>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</si>
  <si>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</si>
  <si>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</si>
  <si>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</si>
  <si>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</si>
  <si>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</si>
  <si>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</si>
  <si>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</si>
  <si>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</si>
  <si>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</si>
  <si>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</si>
  <si>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</si>
  <si>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</si>
  <si>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</si>
  <si>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</si>
  <si>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</si>
  <si>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</si>
  <si>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</si>
  <si>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</si>
  <si>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</si>
  <si>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</si>
  <si>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</si>
  <si>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</si>
  <si>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</si>
  <si>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</si>
  <si>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</si>
  <si>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</si>
  <si>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</si>
  <si>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</si>
  <si>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</si>
  <si>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</si>
  <si>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</si>
  <si>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</si>
  <si>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</si>
  <si>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</si>
  <si>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</si>
  <si>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</si>
  <si>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</si>
  <si>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</si>
  <si>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</si>
  <si>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</si>
  <si>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</si>
  <si>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</si>
  <si>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</si>
  <si>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</si>
  <si>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</si>
  <si>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</si>
  <si>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</si>
  <si>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</si>
  <si>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</si>
  <si>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</si>
  <si>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</si>
  <si>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</si>
  <si>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</si>
  <si>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</si>
  <si>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</si>
  <si>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</si>
  <si>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</si>
  <si>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</si>
  <si>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</si>
  <si>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</si>
  <si>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</si>
  <si>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</si>
  <si>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</si>
  <si>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</si>
  <si>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</si>
  <si>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</si>
  <si>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</si>
  <si>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</si>
  <si>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</si>
  <si>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</si>
  <si>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</si>
  <si>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</si>
  <si>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</si>
  <si>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</si>
  <si>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</si>
  <si>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</si>
  <si>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</si>
  <si>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</si>
  <si>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</si>
  <si>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</si>
  <si>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</si>
  <si>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</si>
  <si>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</si>
  <si>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</si>
  <si>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</si>
  <si>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</si>
  <si>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</si>
  <si>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</si>
  <si>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</si>
  <si>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</si>
  <si>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</si>
  <si>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</si>
  <si>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</si>
  <si>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</si>
  <si>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</si>
  <si>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</si>
  <si>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</si>
  <si>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</si>
  <si>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</si>
  <si>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</si>
  <si>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</si>
  <si>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</si>
  <si>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</si>
  <si>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</si>
  <si>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</si>
  <si>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</si>
  <si>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</si>
  <si>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</si>
  <si>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</si>
  <si>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</si>
  <si>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</si>
  <si>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</si>
  <si>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</si>
  <si>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</si>
  <si>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</si>
  <si>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</si>
  <si>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</si>
  <si>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</si>
  <si>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</si>
  <si>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</si>
  <si>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</si>
  <si>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</si>
  <si>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</si>
  <si>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</si>
  <si>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</si>
  <si>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</si>
  <si>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</si>
  <si>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</si>
  <si>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</si>
  <si>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</si>
  <si>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</si>
  <si>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</si>
  <si>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</si>
  <si>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</si>
  <si>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</si>
  <si>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</si>
  <si>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</si>
  <si>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</si>
  <si>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</si>
  <si>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</si>
  <si>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</si>
  <si>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</si>
  <si>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</si>
  <si>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</si>
  <si>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</si>
  <si>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</si>
  <si>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</si>
  <si>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</si>
  <si>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</si>
  <si>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</si>
  <si>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</si>
  <si>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</si>
  <si>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</si>
  <si>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</si>
  <si>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</si>
  <si>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</si>
  <si>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</si>
  <si>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</si>
  <si>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</si>
  <si>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</si>
  <si>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</si>
  <si>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</si>
  <si>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</si>
  <si>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</si>
  <si>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</si>
  <si>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</si>
  <si>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</si>
  <si>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</si>
  <si>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</si>
  <si>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</si>
  <si>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</si>
  <si>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</si>
  <si>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</si>
  <si>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</si>
  <si>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</si>
  <si>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</si>
  <si>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</si>
  <si>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</si>
  <si>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</si>
  <si>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</si>
  <si>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</si>
  <si>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</si>
  <si>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</si>
  <si>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</si>
  <si>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</si>
  <si>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</si>
  <si>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</si>
  <si>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</si>
  <si>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</si>
  <si>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</si>
  <si>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</si>
  <si>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</si>
  <si>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</si>
  <si>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</si>
  <si>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</si>
  <si>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</si>
  <si>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</si>
  <si>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</si>
  <si>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</si>
  <si>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</si>
  <si>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</si>
  <si>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</si>
  <si>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</si>
  <si>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</si>
  <si>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</si>
  <si>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</si>
  <si>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</si>
  <si>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</si>
  <si>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</si>
  <si>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</si>
  <si>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</si>
  <si>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</si>
  <si>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</si>
  <si>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</si>
  <si>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</si>
  <si>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</si>
  <si>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</si>
  <si>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</si>
  <si>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</si>
  <si>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</si>
  <si>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</si>
  <si>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</si>
  <si>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</si>
  <si>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</si>
  <si>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</si>
  <si>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</si>
  <si>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</si>
  <si>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</si>
  <si>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</si>
  <si>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</si>
  <si>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</si>
  <si>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</si>
  <si>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</si>
  <si>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</si>
  <si>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</si>
  <si>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</si>
  <si>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</si>
  <si>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</si>
  <si>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</si>
  <si>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</si>
  <si>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</si>
  <si>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</si>
  <si>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</si>
  <si>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</si>
  <si>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</si>
  <si>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</si>
  <si>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</si>
  <si>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</si>
  <si>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</si>
  <si>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</si>
  <si>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</si>
  <si>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</si>
  <si>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</si>
  <si>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</si>
  <si>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</si>
  <si>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</si>
  <si>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</si>
  <si>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</si>
  <si>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</si>
  <si>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</si>
  <si>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</si>
  <si>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</si>
  <si>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</si>
  <si>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</si>
  <si>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</si>
  <si>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</si>
  <si>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</si>
  <si>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</si>
  <si>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</si>
  <si>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</si>
  <si>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</si>
  <si>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</si>
  <si>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</si>
  <si>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</si>
  <si>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</si>
  <si>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</si>
  <si>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</si>
  <si>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</si>
  <si>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</si>
  <si>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</si>
  <si>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</si>
  <si>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</si>
  <si>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</si>
  <si>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</si>
  <si>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</si>
  <si>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</si>
  <si>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</si>
  <si>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</si>
  <si>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</si>
  <si>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</si>
  <si>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</si>
  <si>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</si>
  <si>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</si>
  <si>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</si>
  <si>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</si>
  <si>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</si>
  <si>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</si>
  <si>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</si>
  <si>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</si>
  <si>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</si>
  <si>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</si>
  <si>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</si>
  <si>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</si>
  <si>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</si>
  <si>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</si>
  <si>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</si>
  <si>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</si>
  <si>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</si>
  <si>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</si>
  <si>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</si>
  <si>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</si>
  <si>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</si>
  <si>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</si>
  <si>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</si>
  <si>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</si>
  <si>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</si>
  <si>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</si>
  <si>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</si>
  <si>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</si>
  <si>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</si>
  <si>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</si>
  <si>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</si>
  <si>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</si>
  <si>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</si>
  <si>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</si>
  <si>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</si>
  <si>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</si>
  <si>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</si>
  <si>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</si>
  <si>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</si>
  <si>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</si>
  <si>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</si>
  <si>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</si>
  <si>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</si>
  <si>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</si>
  <si>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</si>
  <si>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</si>
  <si>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</si>
  <si>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</si>
  <si>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</si>
  <si>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</si>
  <si>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</si>
  <si>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</si>
  <si>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</si>
  <si>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</si>
  <si>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</si>
  <si>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</si>
  <si>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</si>
  <si>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</si>
  <si>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</si>
  <si>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</si>
  <si>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</si>
  <si>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</si>
  <si>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</si>
  <si>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</si>
  <si>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</si>
  <si>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</si>
  <si>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</si>
  <si>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</si>
  <si>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</si>
  <si>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</si>
  <si>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</si>
  <si>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</si>
  <si>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</si>
  <si>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</si>
  <si>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</si>
  <si>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</si>
  <si>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</si>
  <si>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</si>
  <si>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</si>
  <si>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</si>
  <si>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</si>
  <si>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</si>
  <si>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</si>
  <si>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</si>
  <si>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</si>
  <si>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</si>
  <si>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</si>
  <si>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</si>
  <si>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</si>
  <si>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</si>
  <si>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</si>
  <si>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</si>
  <si>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</si>
  <si>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</si>
  <si>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</si>
  <si>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</si>
  <si>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</si>
  <si>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</si>
  <si>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</si>
  <si>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</si>
  <si>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</si>
  <si>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</si>
  <si>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</si>
  <si>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</si>
  <si>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</si>
  <si>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</si>
  <si>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</si>
  <si>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</si>
  <si>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</si>
  <si>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</si>
  <si>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</si>
  <si>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</si>
  <si>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</si>
  <si>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</si>
  <si>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</si>
  <si>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</si>
  <si>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</si>
  <si>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</si>
  <si>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</si>
  <si>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</si>
  <si>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</si>
  <si>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</si>
  <si>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</si>
  <si>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</si>
  <si>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</si>
  <si>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</si>
  <si>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</si>
  <si>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</si>
  <si>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</si>
  <si>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</si>
  <si>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</si>
  <si>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</si>
  <si>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</si>
  <si>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</si>
  <si>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</si>
  <si>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</si>
  <si>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</si>
  <si>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</si>
  <si>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</si>
  <si>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</si>
  <si>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</si>
  <si>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</si>
  <si>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</si>
  <si>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</si>
  <si>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</si>
  <si>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</si>
  <si>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</si>
  <si>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</si>
  <si>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</si>
  <si>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</si>
  <si>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</si>
  <si>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</si>
  <si>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</si>
  <si>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</si>
  <si>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</si>
  <si>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</si>
  <si>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</si>
  <si>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</si>
  <si>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</si>
  <si>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</si>
  <si>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</si>
  <si>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</si>
  <si>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</si>
  <si>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</si>
  <si>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</si>
  <si>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</si>
  <si>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</si>
  <si>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</si>
  <si>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</si>
  <si>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</si>
  <si>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</si>
  <si>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</si>
  <si>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</si>
  <si>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</si>
  <si>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</si>
  <si>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</si>
  <si>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</si>
  <si>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</si>
  <si>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</si>
  <si>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</si>
  <si>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</si>
  <si>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</si>
  <si>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</si>
  <si>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</si>
  <si>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</si>
  <si>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</si>
  <si>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</si>
  <si>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</si>
  <si>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</si>
  <si>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</si>
  <si>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</si>
  <si>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</si>
  <si>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</si>
  <si>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</si>
  <si>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</si>
  <si>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</si>
  <si>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</si>
  <si>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</si>
  <si>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</si>
  <si>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</si>
  <si>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</si>
  <si>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</si>
  <si>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</si>
  <si>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</si>
  <si>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</si>
  <si>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</si>
  <si>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</si>
  <si>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</si>
  <si>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</si>
  <si>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</si>
  <si>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</si>
  <si>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</si>
  <si>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</si>
  <si>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</si>
  <si>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</si>
  <si>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</si>
  <si>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</si>
  <si>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</si>
  <si>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</si>
  <si>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</si>
  <si>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</si>
  <si>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</si>
  <si>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</si>
  <si>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</si>
  <si>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</si>
  <si>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</si>
  <si>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</si>
  <si>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</si>
  <si>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</si>
  <si>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</si>
  <si>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</si>
  <si>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</si>
  <si>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</si>
  <si>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</si>
  <si>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</si>
  <si>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</si>
  <si>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</si>
  <si>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</si>
  <si>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</si>
  <si>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</si>
  <si>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</si>
  <si>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</si>
  <si>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</si>
  <si>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</si>
  <si>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</si>
  <si>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</si>
  <si>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</si>
  <si>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</si>
  <si>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</si>
  <si>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</si>
  <si>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</si>
  <si>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</si>
  <si>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</si>
  <si>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</si>
  <si>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</si>
  <si>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</si>
  <si>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</si>
  <si>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</si>
  <si>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</si>
  <si>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</si>
  <si>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</si>
  <si>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</si>
  <si>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</si>
  <si>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</si>
  <si>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</si>
  <si>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</si>
  <si>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</si>
  <si>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</si>
  <si>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</si>
  <si>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</si>
  <si>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</si>
  <si>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</si>
  <si>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</si>
  <si>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</si>
  <si>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</si>
  <si>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</si>
  <si>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</si>
  <si>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</si>
  <si>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</si>
  <si>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</si>
  <si>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</si>
  <si>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</si>
  <si>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</si>
  <si>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</si>
  <si>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</si>
  <si>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</si>
  <si>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</si>
  <si>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</si>
  <si>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</si>
  <si>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</si>
  <si>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</si>
  <si>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</si>
  <si>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</si>
  <si>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</si>
  <si>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</si>
  <si>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</si>
  <si>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</si>
  <si>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</si>
  <si>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</si>
  <si>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</si>
  <si>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</si>
  <si>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</si>
  <si>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</si>
  <si>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</si>
  <si>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</si>
  <si>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</si>
  <si>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</si>
  <si>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</si>
  <si>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</si>
  <si>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</si>
  <si>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</si>
  <si>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</si>
  <si>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</si>
  <si>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</si>
  <si>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</si>
  <si>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</si>
  <si>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</si>
  <si>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</si>
  <si>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</si>
  <si>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</si>
  <si>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</si>
  <si>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</si>
  <si>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</si>
  <si>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</si>
  <si>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</si>
  <si>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</si>
  <si>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</si>
  <si>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</si>
  <si>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</si>
  <si>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</si>
  <si>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</si>
  <si>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</si>
  <si>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</si>
  <si>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</si>
  <si>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</si>
  <si>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</si>
  <si>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</si>
  <si>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</si>
  <si>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</si>
  <si>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</si>
  <si>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</si>
  <si>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</si>
  <si>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</si>
  <si>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</si>
  <si>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</si>
  <si>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</si>
  <si>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</si>
  <si>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</si>
  <si>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</si>
  <si>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</si>
  <si>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</si>
  <si>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</si>
  <si>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</si>
  <si>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</si>
  <si>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</si>
  <si>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</si>
  <si>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</si>
  <si>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</si>
  <si>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</si>
  <si>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</si>
  <si>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</si>
  <si>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</si>
  <si>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</si>
  <si>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</si>
  <si>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</si>
  <si>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</si>
  <si>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</si>
  <si>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</si>
  <si>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</si>
  <si>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</si>
  <si>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</si>
  <si>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</si>
  <si>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</si>
  <si>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</si>
  <si>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</si>
  <si>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</si>
  <si>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</si>
  <si>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</si>
  <si>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</si>
  <si>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</si>
  <si>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</si>
  <si>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</si>
  <si>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</si>
  <si>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</si>
  <si>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</si>
  <si>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</si>
  <si>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</si>
  <si>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</si>
  <si>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</si>
  <si>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</si>
  <si>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</si>
  <si>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</si>
  <si>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</si>
  <si>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</si>
  <si>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</si>
  <si>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</si>
  <si>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</si>
  <si>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</si>
  <si>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</si>
  <si>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</si>
  <si>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</si>
  <si>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</si>
  <si>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</si>
  <si>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</si>
  <si>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</si>
  <si>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</si>
  <si>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</si>
  <si>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</si>
  <si>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</si>
  <si>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</si>
  <si>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</si>
  <si>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</si>
  <si>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</si>
  <si>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</si>
  <si>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</si>
  <si>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</si>
  <si>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</si>
  <si>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</si>
  <si>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</si>
  <si>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</si>
  <si>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</si>
  <si>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</si>
  <si>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</si>
  <si>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</si>
  <si>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</si>
  <si>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</si>
  <si>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</si>
  <si>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</si>
  <si>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</si>
  <si>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</si>
  <si>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</si>
  <si>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</si>
  <si>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</si>
  <si>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</si>
  <si>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</si>
  <si>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</si>
  <si>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</si>
  <si>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</si>
  <si>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</si>
  <si>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</si>
  <si>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</si>
  <si>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</si>
  <si>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</si>
  <si>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</si>
  <si>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</si>
  <si>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</si>
  <si>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</si>
  <si>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</si>
  <si>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</si>
  <si>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</si>
  <si>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</si>
  <si>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</si>
  <si>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</si>
  <si>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</si>
  <si>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</si>
  <si>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</si>
  <si>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</si>
  <si>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</si>
  <si>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</si>
  <si>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</si>
  <si>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</si>
  <si>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</si>
  <si>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</si>
  <si>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</si>
  <si>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</si>
  <si>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</si>
  <si>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</si>
  <si>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</si>
  <si>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</si>
  <si>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</si>
  <si>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</si>
  <si>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</si>
  <si>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</si>
  <si>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</si>
  <si>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</si>
  <si>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</si>
  <si>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</si>
  <si>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</si>
  <si>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</si>
  <si>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</si>
  <si>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</si>
  <si>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</si>
  <si>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</si>
  <si>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</si>
  <si>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</si>
  <si>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</si>
  <si>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</si>
  <si>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</si>
  <si>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</si>
  <si>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</si>
  <si>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</si>
  <si>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</si>
  <si>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</si>
  <si>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</si>
  <si>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</si>
  <si>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</si>
  <si>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</si>
  <si>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</si>
  <si>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</si>
  <si>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</si>
  <si>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</si>
  <si>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</si>
  <si>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</si>
  <si>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</si>
  <si>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</si>
  <si>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</si>
  <si>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</si>
  <si>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</si>
  <si>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</si>
  <si>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</si>
  <si>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</si>
  <si>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</si>
  <si>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</si>
  <si>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</si>
  <si>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</si>
  <si>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</si>
  <si>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</si>
  <si>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</si>
  <si>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</si>
  <si>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</si>
  <si>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</si>
  <si>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</si>
  <si>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</si>
  <si>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</si>
  <si>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</si>
  <si>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</si>
  <si>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</si>
  <si>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</si>
  <si>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</si>
  <si>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</si>
  <si>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</si>
  <si>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</si>
  <si>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</si>
  <si>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</si>
  <si>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</si>
  <si>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</si>
  <si>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</si>
  <si>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</si>
  <si>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</si>
  <si>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</si>
  <si>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</si>
  <si>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</si>
  <si>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</si>
  <si>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</si>
  <si>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</si>
  <si>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</si>
  <si>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</si>
  <si>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</si>
  <si>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</si>
  <si>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</si>
  <si>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</si>
  <si>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</si>
  <si>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</si>
  <si>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50 W. DOUGLAS STREET, SUITE 801</t>
  </si>
  <si>
    <t>FREEPORT</t>
  </si>
  <si>
    <t>815/235-3157</t>
  </si>
  <si>
    <t>IL</t>
  </si>
  <si>
    <t>815/235-3158</t>
  </si>
  <si>
    <t>066-004238</t>
  </si>
  <si>
    <t>jblocker@benninggroup.com</t>
  </si>
  <si>
    <t>CARROLL, JO DAVIESS</t>
  </si>
  <si>
    <t>27 S. STATE AVENUE, SUITE 101</t>
  </si>
  <si>
    <t>X</t>
  </si>
  <si>
    <t>815/599-1408</t>
  </si>
  <si>
    <t>815/297-9032</t>
  </si>
  <si>
    <t>AARON MERCIER</t>
  </si>
  <si>
    <t>amercier@roe8.com</t>
  </si>
  <si>
    <t xml:space="preserve">Warren, Lena-Winslow, River Ridge, Stockton * </t>
  </si>
  <si>
    <t xml:space="preserve">Account </t>
  </si>
  <si>
    <t xml:space="preserve">Page </t>
  </si>
  <si>
    <t xml:space="preserve">Fund </t>
  </si>
  <si>
    <t xml:space="preserve">Line </t>
  </si>
  <si>
    <t xml:space="preserve">Amount </t>
  </si>
  <si>
    <t>KRIS HALL</t>
  </si>
  <si>
    <t>Perkins CTE Federal Secondary School Program</t>
  </si>
  <si>
    <t>No contract obligations</t>
  </si>
  <si>
    <t>x</t>
  </si>
  <si>
    <t xml:space="preserve">* - Scales Mound, West Carroll, East Dubuque, Galena, Jo Daviess Carroll CTE Academy </t>
  </si>
  <si>
    <t>khall@cteacademy.net</t>
  </si>
  <si>
    <t>Eagle Ridge Vocational Del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</si>
</sst>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73" fillId="0" borderId="0" xfId="0" applyFont="1" applyBorder="1" applyAlignment="1">
      <alignment horizontal="center"/>
    </xf>
    <xf numFmtId="0" fontId="55" fillId="0" borderId="0" xfId="0" applyFont="1" applyAlignment="1">
      <alignment horizontal="center"/>
    </xf>
    <xf numFmtId="44" fontId="55" fillId="0" borderId="166" xfId="19" applyFont="1" applyBorder="1"/>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1688523</xdr:colOff>
          <xdr:row>3</xdr:row>
          <xdr:rowOff>103909</xdr:rowOff>
        </xdr:from>
        <xdr:to>
          <xdr:col>1</xdr:col>
          <xdr:colOff>2600325</xdr:colOff>
          <xdr:row>8</xdr:row>
          <xdr:rowOff>63211</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c r="C5" s="26" t="s">
        <v>966</v>
      </c>
      <c r="D5" s="84"/>
      <c r="E5" s="84"/>
      <c r="H5" s="38"/>
      <c r="I5" s="2044" t="s">
        <v>701</v>
      </c>
      <c r="J5" s="1989"/>
      <c r="K5" s="1989"/>
      <c r="L5" s="1989"/>
      <c r="M5" s="1989"/>
      <c r="N5" s="1989"/>
      <c r="O5" s="1989"/>
      <c r="P5" s="1989"/>
      <c r="Q5" s="1989"/>
      <c r="R5" s="1989"/>
      <c r="S5" s="1989"/>
    </row>
    <row r="6" spans="1:28" ht="14.1" customHeight="1" x14ac:dyDescent="0.2">
      <c r="B6" s="104" t="s">
        <v>2088</v>
      </c>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2088</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8000000046</v>
      </c>
      <c r="B13" s="2006"/>
      <c r="C13" s="2006"/>
      <c r="D13" s="2006"/>
      <c r="E13" s="2006"/>
      <c r="F13" s="2006"/>
      <c r="G13" s="2006"/>
      <c r="H13" s="2007"/>
      <c r="I13" s="31"/>
      <c r="J13" s="30"/>
      <c r="K13" s="28"/>
      <c r="L13" s="30"/>
      <c r="M13" s="30"/>
      <c r="N13" s="30"/>
      <c r="O13" s="30"/>
      <c r="P13" s="30"/>
      <c r="Q13" s="30"/>
      <c r="R13" s="30"/>
      <c r="S13" s="30"/>
      <c r="T13" s="2010" t="s">
        <v>2077</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2086</v>
      </c>
      <c r="B15" s="2008"/>
      <c r="C15" s="2008"/>
      <c r="D15" s="2008"/>
      <c r="E15" s="2008"/>
      <c r="F15" s="2008"/>
      <c r="G15" s="2008"/>
      <c r="H15" s="2009"/>
      <c r="T15" s="1971" t="s">
        <v>2078</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2105</v>
      </c>
      <c r="B17" s="2033"/>
      <c r="C17" s="2033"/>
      <c r="D17" s="2033"/>
      <c r="E17" s="2033"/>
      <c r="F17" s="2033"/>
      <c r="G17" s="2033"/>
      <c r="H17" s="2034"/>
      <c r="T17" s="2020" t="s">
        <v>2079</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2087</v>
      </c>
      <c r="B19" s="2004"/>
      <c r="C19" s="2004"/>
      <c r="D19" s="2004"/>
      <c r="E19" s="2004"/>
      <c r="F19" s="2004"/>
      <c r="G19" s="2004"/>
      <c r="H19" s="2002"/>
      <c r="I19" s="30"/>
      <c r="J19" s="99"/>
      <c r="K19" s="40"/>
      <c r="L19" s="38"/>
      <c r="M19" s="112" t="s">
        <v>333</v>
      </c>
      <c r="P19" s="27"/>
      <c r="Q19" s="27"/>
      <c r="R19" s="27"/>
      <c r="S19" s="31"/>
      <c r="T19" s="2003" t="s">
        <v>2080</v>
      </c>
      <c r="U19" s="2001"/>
      <c r="V19" s="2001"/>
      <c r="W19" s="2002"/>
      <c r="X19" s="2018" t="s">
        <v>2082</v>
      </c>
      <c r="Y19" s="2019"/>
      <c r="Z19" s="2016">
        <v>61032</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2080</v>
      </c>
      <c r="B21" s="2001"/>
      <c r="C21" s="2001"/>
      <c r="D21" s="2001"/>
      <c r="E21" s="2001"/>
      <c r="F21" s="2001"/>
      <c r="G21" s="2001"/>
      <c r="H21" s="2002"/>
      <c r="I21" s="2026" t="s">
        <v>699</v>
      </c>
      <c r="J21" s="1989"/>
      <c r="K21" s="1989"/>
      <c r="L21" s="1989"/>
      <c r="M21" s="1989"/>
      <c r="N21" s="1989"/>
      <c r="O21" s="1989"/>
      <c r="P21" s="1989"/>
      <c r="Q21" s="1989"/>
      <c r="R21" s="1989"/>
      <c r="S21" s="1990"/>
      <c r="T21" s="1968" t="s">
        <v>2081</v>
      </c>
      <c r="U21" s="1969"/>
      <c r="V21" s="1969"/>
      <c r="W21" s="1969"/>
      <c r="X21" s="1982" t="s">
        <v>2083</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c r="B23" s="2024"/>
      <c r="C23" s="2024"/>
      <c r="D23" s="2024"/>
      <c r="E23" s="2024"/>
      <c r="F23" s="2024"/>
      <c r="G23" s="2024"/>
      <c r="H23" s="2025"/>
      <c r="T23" s="1963" t="s">
        <v>2084</v>
      </c>
      <c r="U23" s="1964"/>
      <c r="V23" s="1964"/>
      <c r="W23" s="1964"/>
      <c r="X23" s="1979">
        <v>43434</v>
      </c>
      <c r="Y23" s="1980"/>
      <c r="Z23" s="1980"/>
      <c r="AA23" s="1981"/>
    </row>
    <row r="24" spans="1:27" ht="14.1" customHeight="1" x14ac:dyDescent="0.2">
      <c r="A24" s="88" t="s">
        <v>698</v>
      </c>
      <c r="B24" s="49"/>
      <c r="C24" s="49"/>
      <c r="D24" s="49"/>
      <c r="E24" s="49"/>
      <c r="F24" s="49"/>
      <c r="G24" s="49"/>
      <c r="H24" s="61"/>
      <c r="J24" s="2065" t="str">
        <f>IF(B5="x",IF(AUDITCHECK!D29="AFR form Incomplete.","",IF(AUDITCHECK!D29="Deficit reduction plan is required.","School District must complete a deficit reduction plan in the 2018-2019 Budget",)),"")</f>
        <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61032</v>
      </c>
      <c r="B25" s="2001"/>
      <c r="C25" s="2001"/>
      <c r="D25" s="2001"/>
      <c r="E25" s="2001"/>
      <c r="F25" s="2001"/>
      <c r="G25" s="2001"/>
      <c r="H25" s="2002"/>
      <c r="I25" s="113"/>
      <c r="J25" s="2067"/>
      <c r="K25" s="2067"/>
      <c r="L25" s="2067"/>
      <c r="M25" s="2067"/>
      <c r="N25" s="2067"/>
      <c r="O25" s="2067"/>
      <c r="P25" s="2067"/>
      <c r="Q25" s="2067"/>
      <c r="R25" s="2067"/>
      <c r="S25" s="2068"/>
      <c r="T25" s="1960" t="s">
        <v>2085</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2088</v>
      </c>
      <c r="M29" s="40" t="s">
        <v>101</v>
      </c>
      <c r="N29" s="32" t="s">
        <v>1604</v>
      </c>
      <c r="O29" s="32"/>
      <c r="P29" s="32"/>
      <c r="Q29" s="32"/>
      <c r="R29" s="32"/>
      <c r="S29" s="123"/>
      <c r="T29" s="6"/>
      <c r="U29" s="6"/>
      <c r="V29" s="6"/>
      <c r="W29" s="6"/>
      <c r="X29" s="6"/>
      <c r="Y29" s="6"/>
      <c r="Z29" s="6"/>
      <c r="AA29" s="132"/>
    </row>
    <row r="30" spans="1:27" ht="13.5" customHeight="1" x14ac:dyDescent="0.2">
      <c r="A30" s="153"/>
      <c r="B30" s="136" t="s">
        <v>2088</v>
      </c>
      <c r="C30" s="124" t="s">
        <v>1226</v>
      </c>
      <c r="D30" s="28"/>
      <c r="E30" s="28"/>
      <c r="F30" s="140"/>
      <c r="G30" s="114"/>
      <c r="H30" s="114"/>
      <c r="I30" s="54"/>
      <c r="J30" s="102"/>
      <c r="K30" s="28" t="s">
        <v>597</v>
      </c>
      <c r="L30" s="148"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2099</v>
      </c>
      <c r="B38" s="2033"/>
      <c r="C38" s="2033"/>
      <c r="D38" s="2033"/>
      <c r="E38" s="2033"/>
      <c r="F38" s="2001"/>
      <c r="G38" s="2001"/>
      <c r="H38" s="2002"/>
      <c r="I38" s="2052"/>
      <c r="J38" s="1972"/>
      <c r="K38" s="1972"/>
      <c r="L38" s="1972"/>
      <c r="M38" s="1972"/>
      <c r="N38" s="1972"/>
      <c r="O38" s="1972"/>
      <c r="P38" s="1973"/>
      <c r="Q38" s="1973"/>
      <c r="R38" s="1973"/>
      <c r="S38" s="1974"/>
      <c r="T38" s="1971" t="s">
        <v>2091</v>
      </c>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2104</v>
      </c>
      <c r="B40" s="2060"/>
      <c r="C40" s="2061"/>
      <c r="D40" s="2061"/>
      <c r="E40" s="2061"/>
      <c r="F40" s="2062"/>
      <c r="G40" s="2062"/>
      <c r="H40" s="2063"/>
      <c r="I40" s="1975"/>
      <c r="J40" s="1977"/>
      <c r="K40" s="1977"/>
      <c r="L40" s="1977"/>
      <c r="M40" s="1977"/>
      <c r="N40" s="1977"/>
      <c r="O40" s="1977"/>
      <c r="P40" s="1977"/>
      <c r="Q40" s="1977"/>
      <c r="R40" s="1977"/>
      <c r="S40" s="1978"/>
      <c r="T40" s="1975" t="s">
        <v>2092</v>
      </c>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2089</v>
      </c>
      <c r="B42" s="2050"/>
      <c r="C42" s="2051"/>
      <c r="D42" s="2064" t="s">
        <v>2090</v>
      </c>
      <c r="E42" s="2050"/>
      <c r="F42" s="2050"/>
      <c r="G42" s="2050"/>
      <c r="H42" s="2051"/>
      <c r="I42" s="1970"/>
      <c r="J42" s="1966"/>
      <c r="K42" s="1966"/>
      <c r="L42" s="1966"/>
      <c r="M42" s="1966"/>
      <c r="N42" s="1966"/>
      <c r="O42" s="1967"/>
      <c r="P42" s="1965"/>
      <c r="Q42" s="1966"/>
      <c r="R42" s="1966"/>
      <c r="S42" s="1967"/>
      <c r="T42" s="1970" t="s">
        <v>2089</v>
      </c>
      <c r="U42" s="1966"/>
      <c r="V42" s="1966"/>
      <c r="W42" s="1967"/>
      <c r="X42" s="1965" t="s">
        <v>2090</v>
      </c>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38" sqref="A38:H3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0" colorId="8" zoomScale="110" zoomScaleNormal="110" workbookViewId="0">
      <selection activeCell="A38" sqref="A38:H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2038</v>
      </c>
      <c r="D2" s="724" t="s">
        <v>2045</v>
      </c>
      <c r="E2" s="724" t="s">
        <v>2046</v>
      </c>
      <c r="F2" s="1909" t="s">
        <v>2039</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38" sqref="A38:H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0</v>
      </c>
      <c r="I12" s="1780">
        <f>SUM(I5:I11)</f>
        <v>0</v>
      </c>
      <c r="J12" s="1780">
        <f>SUM(J5:J11)</f>
        <v>0</v>
      </c>
      <c r="K12" s="1780">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0</v>
      </c>
      <c r="I23" s="1780">
        <f>SUM(I14:I16,I21,I22)</f>
        <v>0</v>
      </c>
      <c r="J23" s="1780">
        <f>SUM(J14:J16,J21,J22)</f>
        <v>0</v>
      </c>
      <c r="K23" s="1780">
        <f>SUM(K14:K16,K21,K22)</f>
        <v>0</v>
      </c>
    </row>
    <row r="24" spans="1:11" ht="14.25" thickTop="1" thickBot="1" x14ac:dyDescent="0.25">
      <c r="A24" s="2254" t="s">
        <v>2026</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38" sqref="A38:H3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32638</v>
      </c>
      <c r="D12" s="845">
        <v>44880</v>
      </c>
      <c r="E12" s="845"/>
      <c r="F12" s="1782">
        <f>(C12+D12)-E12</f>
        <v>77518</v>
      </c>
      <c r="G12" s="844">
        <v>10</v>
      </c>
      <c r="H12" s="766">
        <v>12838</v>
      </c>
      <c r="I12" s="766">
        <v>4248</v>
      </c>
      <c r="J12" s="766"/>
      <c r="K12" s="1791">
        <f>(H12+I12)-J12</f>
        <v>17086</v>
      </c>
      <c r="L12" s="1791">
        <f>F12-K12</f>
        <v>60432</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32638</v>
      </c>
      <c r="D16" s="1782">
        <f>SUM(D3,D5:D6,D8:D10,D12:D15)</f>
        <v>44880</v>
      </c>
      <c r="E16" s="1782">
        <f>SUM(E3,E5:E6,E8:E10,E12:E15)</f>
        <v>0</v>
      </c>
      <c r="F16" s="1782">
        <f>SUM(F3,F5:F6,F8:F10,F12:F15)</f>
        <v>77518</v>
      </c>
      <c r="G16" s="844"/>
      <c r="H16" s="1782">
        <f>SUM(H3,H6,H8:H10,H12:H14,)</f>
        <v>12838</v>
      </c>
      <c r="I16" s="1782">
        <f>SUM(I3,I6,I8:I10,I12:I14,)</f>
        <v>4248</v>
      </c>
      <c r="J16" s="1782">
        <f>SUM(J3,J6,J8:J10,J12:J14,)</f>
        <v>0</v>
      </c>
      <c r="K16" s="1782">
        <f>(H16+I16)-J16</f>
        <v>17086</v>
      </c>
      <c r="L16" s="1782">
        <f>F16-K16</f>
        <v>60432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4248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A38" sqref="A38:H38"/>
      <selection pane="bottomLeft" activeCell="A38" sqref="A38:H3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566233</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566233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381739</v>
      </c>
      <c r="G53" s="866"/>
    </row>
    <row r="54" spans="1:7" x14ac:dyDescent="0.2">
      <c r="A54" s="870" t="s">
        <v>479</v>
      </c>
      <c r="B54" s="870" t="s">
        <v>1552</v>
      </c>
      <c r="C54" s="890" t="s">
        <v>1039</v>
      </c>
      <c r="D54" s="886" t="s">
        <v>1157</v>
      </c>
      <c r="E54" s="869"/>
      <c r="F54" s="1939">
        <f>'Expenditures 15-22'!G114</f>
        <v>44880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426619</v>
      </c>
      <c r="G76" s="866"/>
    </row>
    <row r="77" spans="1:8" s="894" customFormat="1" ht="12" customHeight="1" thickTop="1" thickBot="1" x14ac:dyDescent="0.25">
      <c r="A77" s="1801"/>
      <c r="B77" s="1798"/>
      <c r="C77" s="1794"/>
      <c r="D77" s="1799" t="s">
        <v>2012</v>
      </c>
      <c r="E77" s="1796"/>
      <c r="F77" s="1802">
        <f>(F14-F76)</f>
        <v>139614</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170702</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45740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216442</v>
      </c>
    </row>
    <row r="179" spans="1:7" ht="12" customHeight="1" x14ac:dyDescent="0.2">
      <c r="A179" s="1792"/>
      <c r="B179" s="1806"/>
      <c r="C179" s="1807"/>
      <c r="D179" s="1808" t="s">
        <v>2015</v>
      </c>
      <c r="E179" s="1809"/>
      <c r="F179" s="1811">
        <f>'PCTC-OEPP 27-28'!F77-F178</f>
        <v>-76828</v>
      </c>
    </row>
    <row r="180" spans="1:7" ht="12" customHeight="1" x14ac:dyDescent="0.2">
      <c r="A180" s="1792"/>
      <c r="B180" s="1806"/>
      <c r="C180" s="1807"/>
      <c r="D180" s="1808" t="s">
        <v>1924</v>
      </c>
      <c r="E180" s="1809"/>
      <c r="F180" s="1811">
        <f>'Cap Outlay Deprec 26'!I18</f>
        <v>4248</v>
      </c>
    </row>
    <row r="181" spans="1:7" ht="12" customHeight="1" x14ac:dyDescent="0.2">
      <c r="A181" s="1792"/>
      <c r="B181" s="1806"/>
      <c r="C181" s="1807"/>
      <c r="D181" s="1808" t="s">
        <v>2016</v>
      </c>
      <c r="E181" s="1809"/>
      <c r="F181" s="1811">
        <f>F179+F180</f>
        <v>-72580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38" sqref="A38:H38"/>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2101</v>
      </c>
      <c r="B17" s="1868"/>
      <c r="C17" s="1678"/>
      <c r="D17" s="1867">
        <v>1E-4</v>
      </c>
      <c r="E17" s="1562">
        <f t="shared" ref="E17:E141" si="1">IF(D17&lt;=25000,D17,IF(D17&gt;25000,25000,0))</f>
        <v>1E-4</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1E-4</v>
      </c>
      <c r="E141" s="1563">
        <f t="shared" si="1"/>
        <v>1E-4</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A38" sqref="A38:H3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60873</v>
      </c>
      <c r="F19" s="1822"/>
      <c r="G19" s="1824">
        <f>'Expenditures 15-22'!K33-SUM('Expenditures 15-22'!G33,'Expenditures 15-22'!I33)+'Expenditures 15-22'!D229</f>
        <v>60873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11017</v>
      </c>
      <c r="F22" s="1825"/>
      <c r="G22" s="1828">
        <f>'Expenditures 15-22'!K47-SUM('Expenditures 15-22'!G47,'Expenditures 15-22'!I47)+'Expenditures 15-22'!D243</f>
        <v>11017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58434</v>
      </c>
      <c r="F23" s="1825"/>
      <c r="G23" s="1827">
        <f>'Expenditures 15-22'!K53-SUM('Expenditures 15-22'!G53,'Expenditures 15-22'!I53)+'Expenditures 15-22'!D257+'Expenditures 15-22'!K330-SUM('Expenditures 15-22'!G330,'Expenditures 15-22'!I330)</f>
        <v>58434</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9290</v>
      </c>
      <c r="E27" s="1827">
        <f>E8</f>
        <v>0</v>
      </c>
      <c r="F27" s="1827">
        <f>'Expenditures 15-22'!K60-SUM('Expenditures 15-22'!G60,'Expenditures 15-22'!I60)+'Expenditures 15-22'!D264-E8</f>
        <v>9290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9290</v>
      </c>
      <c r="E41" s="1829">
        <f>SUM(E19:E40)</f>
        <v>130324</v>
      </c>
      <c r="F41" s="1829">
        <f>SUM(F19:F39)</f>
        <v>9290</v>
      </c>
      <c r="G41" s="1829">
        <f>SUM(G19:G40)</f>
        <v>130324</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9290</v>
      </c>
      <c r="F43" s="1830" t="s">
        <v>495</v>
      </c>
      <c r="G43" s="1831">
        <f>F41</f>
        <v>9290</v>
      </c>
    </row>
    <row r="44" spans="1:7" ht="12" customHeight="1" x14ac:dyDescent="0.2">
      <c r="A44" s="988"/>
      <c r="B44" s="162"/>
      <c r="C44" s="1002"/>
      <c r="D44" s="1830" t="s">
        <v>494</v>
      </c>
      <c r="E44" s="1831">
        <f>E41</f>
        <v>130324</v>
      </c>
      <c r="F44" s="1830" t="s">
        <v>494</v>
      </c>
      <c r="G44" s="1831">
        <f>G41</f>
        <v>130324</v>
      </c>
    </row>
    <row r="45" spans="1:7" ht="12" customHeight="1" x14ac:dyDescent="0.2">
      <c r="A45" s="988"/>
      <c r="B45" s="162"/>
      <c r="C45" s="162"/>
      <c r="D45" s="1832" t="s">
        <v>1063</v>
      </c>
      <c r="E45" s="1833">
        <f>(E43/E44)</f>
        <v>7.1283877106288945E-2</v>
      </c>
      <c r="F45" s="1832" t="s">
        <v>1063</v>
      </c>
      <c r="G45" s="1833">
        <f>(G43/G44)</f>
        <v>7.1283877106288945E-2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38" sqref="A38:H38"/>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Eagle Ridge Vocational Del System</v>
      </c>
      <c r="D6" s="2316"/>
      <c r="E6" s="2316"/>
      <c r="F6" s="1877"/>
    </row>
    <row r="7" spans="1:10" ht="11.25" customHeight="1" thickBot="1" x14ac:dyDescent="0.3">
      <c r="A7" s="1875"/>
      <c r="B7" s="1876"/>
      <c r="C7" s="2317">
        <f>COVER!A13</f>
        <v>8000000046</v>
      </c>
      <c r="D7" s="2317"/>
      <c r="E7" s="231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2102</v>
      </c>
      <c r="D26" s="1890" t="s">
        <v>2102</v>
      </c>
      <c r="E26" s="1893" t="s">
        <v>2102</v>
      </c>
      <c r="F26" s="1892" t="s">
        <v>2093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2102</v>
      </c>
      <c r="D32" s="1890" t="s">
        <v>2102</v>
      </c>
      <c r="E32" s="1893" t="s">
        <v>2102</v>
      </c>
      <c r="F32" s="1892" t="s">
        <v>2093</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t="s">
        <v>2103</v>
      </c>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38" sqref="A38:H3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Eagle Ridge Vocational Del System</v>
      </c>
      <c r="J6" s="2337"/>
      <c r="Q6" s="1686"/>
    </row>
    <row r="7" spans="1:17" x14ac:dyDescent="0.2">
      <c r="A7" s="2338" t="s">
        <v>924</v>
      </c>
      <c r="B7" s="2339"/>
      <c r="C7" s="2339"/>
      <c r="D7" s="2339"/>
      <c r="E7" s="2340"/>
      <c r="F7" s="1018"/>
      <c r="G7" s="1010"/>
      <c r="H7" s="1017" t="s">
        <v>390</v>
      </c>
      <c r="I7" s="2341">
        <f>COVER!A13</f>
        <v>8000000046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8" t="s">
        <v>1703</v>
      </c>
      <c r="C20" s="2348"/>
      <c r="D20" s="2349"/>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5"/>
  <sheetViews>
    <sheetView showGridLines="0" zoomScale="110" zoomScaleNormal="110" workbookViewId="0">
      <selection activeCell="A38" sqref="A38:H38"/>
    </sheetView>
  </sheetViews>
  <sheetFormatPr defaultRowHeight="12.75" x14ac:dyDescent="0.2"/>
  <cols>
    <col min="1" max="1" width="3" style="329" customWidth="1"/>
    <col min="2" max="5" width="13.7109375" style="329" customWidth="1"/>
    <col min="6" max="6" width="39" style="329" bestFit="1" customWidth="1"/>
    <col min="7" max="7" width="13.7109375" style="329" customWidth="1"/>
    <col min="8" max="16384" width="9.140625" style="329"/>
  </cols>
  <sheetData>
    <row r="2" spans="1:7" x14ac:dyDescent="0.2">
      <c r="A2" s="389" t="s">
        <v>276</v>
      </c>
    </row>
    <row r="3" spans="1:7" x14ac:dyDescent="0.2">
      <c r="A3" s="329" t="s">
        <v>277</v>
      </c>
    </row>
    <row r="5" spans="1:7" x14ac:dyDescent="0.2">
      <c r="A5" s="1069"/>
      <c r="B5" s="1956" t="s">
        <v>2094</v>
      </c>
      <c r="C5" s="1956" t="s">
        <v>2095</v>
      </c>
      <c r="D5" s="1956" t="s">
        <v>2096</v>
      </c>
      <c r="E5" s="1956" t="s">
        <v>2097</v>
      </c>
      <c r="F5" s="1956" t="s">
        <v>502</v>
      </c>
      <c r="G5" s="1956" t="s">
        <v>2098</v>
      </c>
    </row>
    <row r="6" spans="1:7" x14ac:dyDescent="0.2">
      <c r="A6" s="1069"/>
      <c r="B6" s="1956"/>
      <c r="C6" s="1956"/>
      <c r="D6" s="1956"/>
      <c r="E6" s="1956"/>
      <c r="F6" s="1956"/>
      <c r="G6" s="1956"/>
    </row>
    <row r="7" spans="1:7" ht="13.5" thickBot="1" x14ac:dyDescent="0.25">
      <c r="A7" s="1069"/>
      <c r="B7" s="1957">
        <v>4799</v>
      </c>
      <c r="C7" s="1957">
        <v>13</v>
      </c>
      <c r="D7" s="1957">
        <v>10</v>
      </c>
      <c r="E7" s="1957">
        <v>227</v>
      </c>
      <c r="F7" s="329" t="s">
        <v>2100</v>
      </c>
      <c r="G7" s="1958">
        <v>45740</v>
      </c>
    </row>
    <row r="8" spans="1:7" ht="13.5" thickTop="1" x14ac:dyDescent="0.2">
      <c r="A8" s="1069"/>
    </row>
    <row r="9" spans="1:7" x14ac:dyDescent="0.2">
      <c r="A9" s="1069"/>
    </row>
    <row r="10" spans="1:7" x14ac:dyDescent="0.2">
      <c r="A10" s="1070"/>
    </row>
    <row r="11" spans="1:7" x14ac:dyDescent="0.2">
      <c r="A11" s="1070"/>
    </row>
    <row r="12" spans="1:7" x14ac:dyDescent="0.2">
      <c r="A12" s="1070"/>
    </row>
    <row r="13" spans="1:7" x14ac:dyDescent="0.2">
      <c r="A13" s="1070"/>
    </row>
    <row r="14" spans="1:7" x14ac:dyDescent="0.2">
      <c r="A14" s="1070"/>
    </row>
    <row r="15" spans="1:7" x14ac:dyDescent="0.2">
      <c r="A15" s="1070"/>
    </row>
    <row r="16" spans="1:7"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Eagle Ridge Vocational Del System</v>
      </c>
    </row>
    <row r="65" spans="2:2" x14ac:dyDescent="0.2">
      <c r="B65" s="1071">
        <f>COVER!A13</f>
        <v>8000000046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38" sqref="A38:H3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38" sqref="A38:H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1685925</xdr:colOff>
                <xdr:row>3</xdr:row>
                <xdr:rowOff>104775</xdr:rowOff>
              </from>
              <to>
                <xdr:col>1</xdr:col>
                <xdr:colOff>2600325</xdr:colOff>
                <xdr:row>8</xdr:row>
                <xdr:rowOff>66675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6" zoomScale="110" zoomScaleNormal="110" workbookViewId="0">
      <selection activeCell="A38" sqref="A38:H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589040</v>
      </c>
      <c r="C8" s="1838">
        <f>'Acct Summary 7-8'!D8</f>
        <v>0</v>
      </c>
      <c r="D8" s="1838">
        <f>'Acct Summary 7-8'!F8</f>
        <v>0</v>
      </c>
      <c r="E8" s="1838">
        <f>'Acct Summary 7-8'!I8</f>
        <v>0</v>
      </c>
      <c r="F8" s="1838">
        <f>SUM(B8:E8)</f>
        <v>589040</v>
      </c>
    </row>
    <row r="9" spans="1:8" s="1080" customFormat="1" ht="14.25" customHeight="1" thickBot="1" x14ac:dyDescent="0.25">
      <c r="A9" s="1079" t="s">
        <v>1436</v>
      </c>
      <c r="B9" s="1839">
        <f>'Acct Summary 7-8'!C17</f>
        <v>566233</v>
      </c>
      <c r="C9" s="1839">
        <f>'Acct Summary 7-8'!D17</f>
        <v>0</v>
      </c>
      <c r="D9" s="1839">
        <f>'Acct Summary 7-8'!F17</f>
        <v>0</v>
      </c>
      <c r="E9" s="1838"/>
      <c r="F9" s="1838">
        <f>SUM(B9:E9)</f>
        <v>566233</v>
      </c>
    </row>
    <row r="10" spans="1:8" s="1080" customFormat="1" ht="14.25" thickTop="1" thickBot="1" x14ac:dyDescent="0.25">
      <c r="A10" s="1081" t="s">
        <v>1437</v>
      </c>
      <c r="B10" s="1840">
        <f>(B8-B9)</f>
        <v>22807</v>
      </c>
      <c r="C10" s="1840">
        <f>(C8-C9)</f>
        <v>0</v>
      </c>
      <c r="D10" s="1840">
        <f>(D8-D9)</f>
        <v>0</v>
      </c>
      <c r="E10" s="1839">
        <f>(E8-E9)</f>
        <v>0</v>
      </c>
      <c r="F10" s="1841">
        <f>SUM(F8-F9)</f>
        <v>22807</v>
      </c>
    </row>
    <row r="11" spans="1:8" s="1080" customFormat="1" ht="14.25" thickTop="1" thickBot="1" x14ac:dyDescent="0.25">
      <c r="A11" s="1082" t="s">
        <v>1785</v>
      </c>
      <c r="B11" s="1842">
        <f>'Acct Summary 7-8'!C81</f>
        <v>12870</v>
      </c>
      <c r="C11" s="1842">
        <f>'Acct Summary 7-8'!D81</f>
        <v>0</v>
      </c>
      <c r="D11" s="1842">
        <f>'Acct Summary 7-8'!F81</f>
        <v>0</v>
      </c>
      <c r="E11" s="1842">
        <f>'Acct Summary 7-8'!I81</f>
        <v>0</v>
      </c>
      <c r="F11" s="1843">
        <f>SUM(B11:E11)</f>
        <v>12870</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ENTRY IS REQUIRED!</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8000000046</v>
      </c>
    </row>
    <row r="3" spans="1:2" x14ac:dyDescent="0.2">
      <c r="A3" t="s">
        <v>1013</v>
      </c>
      <c r="B3" s="138" t="str">
        <f>COVER!A15</f>
        <v>CARROLL, JO DAVIESS</v>
      </c>
    </row>
    <row r="4" spans="1:2" x14ac:dyDescent="0.2">
      <c r="A4" t="s">
        <v>1064</v>
      </c>
      <c r="B4" s="138" t="str">
        <f>COVER!A17</f>
        <v>Eagle Ridge Vocational Del System</v>
      </c>
    </row>
    <row r="5" spans="1:2" x14ac:dyDescent="0.2">
      <c r="A5" t="s">
        <v>728</v>
      </c>
      <c r="B5" s="138" t="str">
        <f>COVER!A38</f>
        <v>KRIS HALL</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22870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10000</v>
      </c>
      <c r="C91" s="2" t="s">
        <v>594</v>
      </c>
      <c r="D91" s="2" t="str">
        <f t="shared" si="0"/>
        <v>Error?</v>
      </c>
    </row>
    <row r="92" spans="1:4" x14ac:dyDescent="0.2">
      <c r="A92" s="5">
        <v>31</v>
      </c>
      <c r="B92" s="138">
        <f>'Assets-Liab 5-6'!C39</f>
        <v>0</v>
      </c>
      <c r="D92" s="2" t="str">
        <f t="shared" si="0"/>
        <v>Error?</v>
      </c>
    </row>
    <row r="93" spans="1:4" x14ac:dyDescent="0.2">
      <c r="A93" s="5">
        <v>32</v>
      </c>
      <c r="B93" s="138">
        <f>'Assets-Liab 5-6'!C41</f>
        <v>22870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77518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77518</v>
      </c>
      <c r="C279" s="2" t="s">
        <v>594</v>
      </c>
      <c r="D279" s="2" t="str">
        <f t="shared" si="3"/>
        <v>Error?</v>
      </c>
    </row>
    <row r="280" spans="1:4" x14ac:dyDescent="0.2">
      <c r="A280" s="5">
        <v>219</v>
      </c>
      <c r="B280" s="138">
        <f>'Assets-Liab 5-6'!M40</f>
        <v>77518</v>
      </c>
      <c r="D280" s="2" t="str">
        <f t="shared" si="3"/>
        <v>Error?</v>
      </c>
    </row>
    <row r="281" spans="1:4" x14ac:dyDescent="0.2">
      <c r="A281" s="5">
        <v>220</v>
      </c>
      <c r="B281" s="138">
        <f>'Assets-Liab 5-6'!M41</f>
        <v>77518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36068</v>
      </c>
      <c r="D732" s="2" t="str">
        <f t="shared" si="10"/>
        <v>Error?</v>
      </c>
    </row>
    <row r="733" spans="1:4" x14ac:dyDescent="0.2">
      <c r="A733" s="5">
        <v>672</v>
      </c>
      <c r="B733" s="138">
        <f>'Expenditures 15-22'!C50</f>
        <v>0</v>
      </c>
      <c r="D733" s="2" t="str">
        <f t="shared" si="10"/>
        <v>Error?</v>
      </c>
    </row>
    <row r="734" spans="1:4" x14ac:dyDescent="0.2">
      <c r="A734" s="5">
        <v>673</v>
      </c>
      <c r="B734" s="138">
        <f>'Expenditures 15-22'!C53</f>
        <v>36068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36068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36068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7675</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7675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7675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7675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12153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11017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11017</v>
      </c>
      <c r="C847" s="2" t="s">
        <v>594</v>
      </c>
      <c r="D847" s="2" t="str">
        <f t="shared" si="12"/>
        <v>Error?</v>
      </c>
    </row>
    <row r="848" spans="1:4" x14ac:dyDescent="0.2">
      <c r="A848" s="5">
        <v>787</v>
      </c>
      <c r="B848" s="138">
        <f>'Expenditures 15-22'!E49</f>
        <v>14691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14691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9290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9290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34998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47151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48720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48720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48720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44880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44880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44880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381739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381739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105753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105753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11017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11017</v>
      </c>
      <c r="C1119" s="2" t="s">
        <v>594</v>
      </c>
      <c r="D1119" s="2" t="str">
        <f t="shared" si="16"/>
        <v>Error?</v>
      </c>
    </row>
    <row r="1120" spans="1:4" x14ac:dyDescent="0.2">
      <c r="A1120" s="5">
        <v>1059</v>
      </c>
      <c r="B1120" s="138">
        <f>'Expenditures 15-22'!K49</f>
        <v>58434</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58434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9290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9290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78741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381739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566233</v>
      </c>
      <c r="C1152" s="2" t="s">
        <v>594</v>
      </c>
      <c r="D1152" s="2" t="str">
        <f t="shared" si="17"/>
        <v>Error?</v>
      </c>
    </row>
    <row r="1153" spans="1:4" x14ac:dyDescent="0.2">
      <c r="A1153" s="5">
        <v>1092</v>
      </c>
      <c r="B1153" s="138">
        <f>'Expenditures 15-22'!K115</f>
        <v>22807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-9937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12870</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32638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32638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44880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44880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77518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77518</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12838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12838</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4248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4248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17086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17086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60432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60432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12870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594</v>
      </c>
      <c r="D2551" s="2" t="str">
        <f t="shared" si="38"/>
        <v>Error?</v>
      </c>
    </row>
    <row r="2552" spans="1:4" x14ac:dyDescent="0.2">
      <c r="A2552" s="10">
        <v>2491</v>
      </c>
      <c r="D2552" s="2" t="str">
        <f t="shared" si="38"/>
        <v>OK</v>
      </c>
    </row>
    <row r="2553" spans="1:4" x14ac:dyDescent="0.2">
      <c r="A2553" s="5">
        <v>2492</v>
      </c>
      <c r="B2553" s="138">
        <f>'Acct Summary 7-8'!C6</f>
        <v>170702</v>
      </c>
      <c r="C2553" s="2" t="s">
        <v>594</v>
      </c>
      <c r="D2553" s="2" t="str">
        <f t="shared" si="38"/>
        <v>Error?</v>
      </c>
    </row>
    <row r="2554" spans="1:4" x14ac:dyDescent="0.2">
      <c r="A2554" s="5">
        <v>2493</v>
      </c>
      <c r="B2554" s="138">
        <f>'Acct Summary 7-8'!C7</f>
        <v>45740</v>
      </c>
      <c r="C2554" s="2" t="s">
        <v>594</v>
      </c>
      <c r="D2554" s="2" t="str">
        <f t="shared" si="38"/>
        <v>Error?</v>
      </c>
    </row>
    <row r="2555" spans="1:4" x14ac:dyDescent="0.2">
      <c r="A2555" s="5">
        <v>2494</v>
      </c>
      <c r="B2555" s="138">
        <f>'Acct Summary 7-8'!C8</f>
        <v>589040</v>
      </c>
      <c r="C2555" s="2" t="s">
        <v>594</v>
      </c>
      <c r="D2555" s="2" t="str">
        <f t="shared" si="38"/>
        <v>Error?</v>
      </c>
    </row>
    <row r="2556" spans="1:4" x14ac:dyDescent="0.2">
      <c r="A2556" s="5">
        <v>2495</v>
      </c>
      <c r="B2556" s="138">
        <f>'Acct Summary 7-8'!C12</f>
        <v>105753</v>
      </c>
      <c r="C2556" s="2" t="s">
        <v>594</v>
      </c>
      <c r="D2556" s="2" t="str">
        <f t="shared" si="38"/>
        <v>Error?</v>
      </c>
    </row>
    <row r="2557" spans="1:4" x14ac:dyDescent="0.2">
      <c r="A2557" s="5">
        <v>2496</v>
      </c>
      <c r="B2557" s="138">
        <f>'Acct Summary 7-8'!C13</f>
        <v>78741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381739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566233</v>
      </c>
      <c r="C2561" s="2" t="s">
        <v>594</v>
      </c>
      <c r="D2561" s="2" t="str">
        <f t="shared" si="39"/>
        <v>Error?</v>
      </c>
    </row>
    <row r="2562" spans="1:4" x14ac:dyDescent="0.2">
      <c r="A2562" s="5">
        <v>2501</v>
      </c>
      <c r="B2562" s="138">
        <f>'Acct Summary 7-8'!C20</f>
        <v>22807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22807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372598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22870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589040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566233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12870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45740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0</v>
      </c>
      <c r="C5121" s="2" t="s">
        <v>594</v>
      </c>
      <c r="D5121" s="2" t="str">
        <f t="shared" si="79"/>
        <v>Error?</v>
      </c>
    </row>
    <row r="5122" spans="1:4" x14ac:dyDescent="0.2">
      <c r="A5122" s="5">
        <v>5061</v>
      </c>
      <c r="B5122" s="138">
        <f>'Revenues 9-14'!C111</f>
        <v>372598</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372598</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170702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170702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170702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170702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45740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45740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45740</v>
      </c>
      <c r="C5326" s="2" t="s">
        <v>594</v>
      </c>
      <c r="D5326" s="2" t="str">
        <f t="shared" si="82"/>
        <v>Error?</v>
      </c>
    </row>
    <row r="5327" spans="1:4" x14ac:dyDescent="0.2">
      <c r="A5327" s="5">
        <v>5266</v>
      </c>
      <c r="B5327" s="138">
        <f>'Revenues 9-14'!C275</f>
        <v>589040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10000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22807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1.772105672105672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381739</v>
      </c>
      <c r="D7002" s="2" t="str">
        <f t="shared" si="108"/>
        <v>Error?</v>
      </c>
    </row>
    <row r="7003" spans="1:4" x14ac:dyDescent="0.2">
      <c r="A7003">
        <v>6942</v>
      </c>
      <c r="B7003" s="138">
        <f>'Expenditures 15-22'!K96</f>
        <v>381739</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381739</v>
      </c>
      <c r="D7012" s="2" t="str">
        <f t="shared" si="108"/>
        <v>Error?</v>
      </c>
    </row>
    <row r="7013" spans="1:4" x14ac:dyDescent="0.2">
      <c r="A7013">
        <v>6952</v>
      </c>
      <c r="B7013" s="138">
        <f>'Expenditures 15-22'!K100</f>
        <v>381739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1E-4</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Eagle Ridge Vocational Del System</v>
      </c>
      <c r="B7" s="2423"/>
      <c r="C7" s="2423"/>
      <c r="D7" s="2424"/>
      <c r="E7" s="2425">
        <f>COVER!A13</f>
        <v>8000000046</v>
      </c>
      <c r="F7" s="2426"/>
      <c r="G7" s="2432" t="str">
        <f>COVER!T23</f>
        <v>066-004238</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BENNING GROUP, LLC</v>
      </c>
      <c r="H9" s="2438"/>
      <c r="I9" s="2438"/>
      <c r="J9" s="2438"/>
      <c r="K9" s="2438"/>
      <c r="L9" s="2439"/>
    </row>
    <row r="10" spans="1:29" ht="13.5" customHeight="1" x14ac:dyDescent="0.2">
      <c r="A10" s="2412" t="str">
        <f>COVER!A38</f>
        <v>KRIS HALL</v>
      </c>
      <c r="B10" s="2413"/>
      <c r="C10" s="2413"/>
      <c r="D10" s="2413"/>
      <c r="E10" s="2413"/>
      <c r="F10" s="2414"/>
      <c r="G10" s="2406" t="str">
        <f>COVER!T17</f>
        <v>50 W. DOUGLAS STREET, SUITE 801</v>
      </c>
      <c r="H10" s="2407"/>
      <c r="I10" s="2407"/>
      <c r="J10" s="2407"/>
      <c r="K10" s="2407"/>
      <c r="L10" s="2408"/>
    </row>
    <row r="11" spans="1:29" ht="13.5" customHeight="1" x14ac:dyDescent="0.2">
      <c r="A11" s="1185" t="s">
        <v>1599</v>
      </c>
      <c r="B11" s="1186"/>
      <c r="C11" s="1187"/>
      <c r="D11" s="1192"/>
      <c r="E11" s="1187"/>
      <c r="F11" s="1191"/>
      <c r="G11" s="2406" t="str">
        <f>COVER!T19</f>
        <v>FREEPORT</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jblocker@benninggroup.com</v>
      </c>
      <c r="J13" s="2419"/>
      <c r="K13" s="2419"/>
      <c r="L13" s="2420"/>
    </row>
    <row r="14" spans="1:29" ht="13.5" customHeight="1" x14ac:dyDescent="0.2">
      <c r="A14" s="2406" t="str">
        <f>COVER!A19</f>
        <v>27 S. STATE AVENUE, SUITE 101</v>
      </c>
      <c r="B14" s="2407"/>
      <c r="C14" s="2407"/>
      <c r="D14" s="2407"/>
      <c r="E14" s="2407"/>
      <c r="F14" s="2408"/>
      <c r="G14" s="1196" t="s">
        <v>1247</v>
      </c>
      <c r="H14" s="1194"/>
      <c r="I14" s="1194"/>
      <c r="J14" s="1194"/>
      <c r="K14" s="1194"/>
      <c r="L14" s="1195"/>
    </row>
    <row r="15" spans="1:29" ht="13.5" customHeight="1" x14ac:dyDescent="0.2">
      <c r="A15" s="2406" t="str">
        <f>COVER!A21</f>
        <v>FREEPORT</v>
      </c>
      <c r="B15" s="2407"/>
      <c r="C15" s="2407"/>
      <c r="D15" s="2407"/>
      <c r="E15" s="2407"/>
      <c r="F15" s="2408"/>
      <c r="G15" s="2403" t="str">
        <f>COVER!T15</f>
        <v>JENNY L. BLOCKER</v>
      </c>
      <c r="H15" s="2404"/>
      <c r="I15" s="2404"/>
      <c r="J15" s="2404"/>
      <c r="K15" s="2404"/>
      <c r="L15" s="2405"/>
    </row>
    <row r="16" spans="1:29" ht="12.2" customHeight="1" x14ac:dyDescent="0.2">
      <c r="A16" s="2428">
        <f>COVER!A25</f>
        <v>61032</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815/235-3157</v>
      </c>
      <c r="H18" s="2423"/>
      <c r="I18" s="2423"/>
      <c r="J18" s="2423"/>
      <c r="K18" s="2422" t="str">
        <f>COVER!X21</f>
        <v>815/235-3158</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Eagle Ridge Vocational Del System</v>
      </c>
      <c r="B1" s="2421"/>
      <c r="C1" s="2421"/>
      <c r="D1" s="2421"/>
    </row>
    <row r="2" spans="1:11" s="1215" customFormat="1" ht="12.75" x14ac:dyDescent="0.2">
      <c r="A2" s="2445">
        <f>'Single Audit Cover'!E7</f>
        <v>8000000046</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Eagle Ridge Vocational Del System</v>
      </c>
      <c r="B1" s="2448"/>
      <c r="C1" s="2448"/>
      <c r="D1" s="2448"/>
      <c r="E1" s="2448"/>
    </row>
    <row r="2" spans="1:5" x14ac:dyDescent="0.2">
      <c r="A2" s="2449">
        <f>'Single Audit Cover'!E7</f>
        <v>8000000046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45740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45740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45740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45740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Eagle Ridge Vocational Del System</v>
      </c>
      <c r="B1" s="2461"/>
      <c r="C1" s="2461"/>
      <c r="D1" s="2461"/>
      <c r="E1" s="2461"/>
      <c r="F1" s="2461"/>
    </row>
    <row r="2" spans="1:7" ht="13.5" customHeight="1" x14ac:dyDescent="0.2">
      <c r="A2" s="2462">
        <f>'Single Audit Cover'!E7</f>
        <v>8000000046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Eagle Ridge Vocational Del System</v>
      </c>
      <c r="C1" s="2465"/>
      <c r="D1" s="2465"/>
      <c r="E1" s="2465"/>
      <c r="F1" s="2465"/>
      <c r="G1" s="2465"/>
      <c r="H1" s="2465"/>
      <c r="I1" s="2465"/>
      <c r="J1" s="2465"/>
      <c r="K1" s="2465"/>
      <c r="L1" s="2465"/>
      <c r="M1" s="2465"/>
    </row>
    <row r="2" spans="2:14" ht="15" x14ac:dyDescent="0.2">
      <c r="B2" s="2462">
        <f>'Single Audit Cover'!E7</f>
        <v>8000000046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38" sqref="A38:H3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2077</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Eagle Ridge Vocational Del System</v>
      </c>
      <c r="C1" s="2480"/>
      <c r="D1" s="2480"/>
      <c r="E1" s="2480"/>
      <c r="F1" s="2480"/>
      <c r="G1" s="2480"/>
      <c r="H1" s="2480"/>
      <c r="I1" s="2480"/>
      <c r="J1" s="1422"/>
    </row>
    <row r="2" spans="2:10" s="317" customFormat="1" ht="12.75" customHeight="1" x14ac:dyDescent="0.2">
      <c r="B2" s="2481">
        <f>'Single Audit Cover'!E7</f>
        <v>8000000046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1952</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Eagle Ridge Vocational Del System</v>
      </c>
      <c r="C1" s="2479"/>
      <c r="D1" s="2479"/>
      <c r="E1" s="2479"/>
      <c r="F1" s="2479"/>
      <c r="G1" s="2479"/>
      <c r="H1" s="2479"/>
      <c r="I1" s="2479"/>
      <c r="J1" s="2479"/>
      <c r="K1" s="2479"/>
      <c r="L1" s="1374"/>
      <c r="M1" s="1374"/>
    </row>
    <row r="2" spans="1:13" ht="12" customHeight="1" x14ac:dyDescent="0.2">
      <c r="B2" s="2481">
        <f>'Single Audit Cover'!E7</f>
        <v>8000000046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Eagle Ridge Vocational Del System</v>
      </c>
      <c r="C1" s="2502"/>
      <c r="D1" s="2502"/>
      <c r="E1" s="2502"/>
      <c r="F1" s="2502"/>
      <c r="G1" s="2502"/>
      <c r="H1" s="2502"/>
      <c r="I1" s="2502"/>
      <c r="J1" s="2502"/>
      <c r="K1" s="2502"/>
      <c r="L1" s="1465"/>
    </row>
    <row r="2" spans="1:12" ht="12.75" customHeight="1" x14ac:dyDescent="0.2">
      <c r="B2" s="2503">
        <f>'Single Audit Cover'!E7</f>
        <v>8000000046</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Eagle Ridge Vocational Del System</v>
      </c>
      <c r="C1" s="2479"/>
      <c r="D1" s="2479"/>
      <c r="E1" s="1491"/>
    </row>
    <row r="2" spans="2:5" s="1282" customFormat="1" ht="12.75" customHeight="1" x14ac:dyDescent="0.2">
      <c r="B2" s="2481">
        <f>'Single Audit Cover'!E7</f>
        <v>8000000046</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38" sqref="A38:H3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589040</v>
      </c>
      <c r="E16" s="356"/>
      <c r="F16" s="1755">
        <f>SUM('Acct Summary 7-8'!C17,'Acct Summary 7-8'!D17,'Acct Summary 7-8'!F17)</f>
        <v>566233</v>
      </c>
      <c r="G16" s="356"/>
      <c r="H16" s="1755">
        <f>SUM(D16-F16)</f>
        <v>22807</v>
      </c>
      <c r="I16" s="222"/>
      <c r="J16" s="1755">
        <f>SUM('Acct Summary 7-8'!C81,'Acct Summary 7-8'!D81,'Acct Summary 7-8'!F81,'Acct Summary 7-8'!I81)</f>
        <v>12870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38" sqref="A38:H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Eagle Ridge Vocational Del System</v>
      </c>
      <c r="E7" s="391"/>
      <c r="G7" s="252"/>
      <c r="H7" s="387"/>
      <c r="I7" s="387"/>
      <c r="J7" s="387"/>
      <c r="K7" s="387"/>
      <c r="L7" s="329"/>
      <c r="M7" s="329"/>
      <c r="N7" s="329"/>
      <c r="O7" s="329"/>
      <c r="P7" s="329"/>
    </row>
    <row r="8" spans="1:18" ht="12.75" x14ac:dyDescent="0.2">
      <c r="A8" s="329"/>
      <c r="B8" s="329"/>
      <c r="C8" s="389" t="s">
        <v>1187</v>
      </c>
      <c r="D8" s="392">
        <f>COVER!A13</f>
        <v>8000000046</v>
      </c>
      <c r="E8" s="393"/>
      <c r="G8" s="329"/>
      <c r="H8" s="329"/>
      <c r="I8" s="329"/>
      <c r="J8" s="329"/>
      <c r="K8" s="329"/>
      <c r="L8" s="329"/>
      <c r="M8" s="329"/>
      <c r="N8" s="329"/>
      <c r="O8" s="329"/>
      <c r="P8" s="329"/>
    </row>
    <row r="9" spans="1:18" ht="12.75" x14ac:dyDescent="0.2">
      <c r="A9" s="329"/>
      <c r="B9" s="329"/>
      <c r="C9" s="389" t="s">
        <v>737</v>
      </c>
      <c r="D9" s="394" t="str">
        <f>COVER!A15</f>
        <v>CARROLL, 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12870</v>
      </c>
      <c r="I12" s="404"/>
      <c r="J12" s="404"/>
      <c r="K12" s="405">
        <f>TRUNC((H12/H13*100000),5)/100000</f>
        <v>2.18491104E-2</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589040</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566233</v>
      </c>
      <c r="I17" s="404"/>
      <c r="J17" s="416"/>
      <c r="K17" s="405">
        <f>TRUNC((H17/H18*100000),5)/100000</f>
        <v>0.96128106740000008</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589040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22870</v>
      </c>
      <c r="I24" s="422"/>
      <c r="J24" s="422"/>
      <c r="K24" s="423">
        <f>TRUNC(((H24/H25*100000)/100000),2)</f>
        <v>14.54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1572.8694399999999</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4" activePane="bottomLeft" state="frozen"/>
      <selection activeCell="A38" sqref="A38:H38"/>
      <selection pane="bottomLeft" activeCell="A38" sqref="A38:H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22870</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22870</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77518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77518</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10000</v>
      </c>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10000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12870</v>
      </c>
      <c r="D38" s="466"/>
      <c r="E38" s="466"/>
      <c r="F38" s="466"/>
      <c r="G38" s="466"/>
      <c r="H38" s="466"/>
      <c r="I38" s="466"/>
      <c r="J38" s="467"/>
      <c r="K38" s="466"/>
      <c r="L38" s="481"/>
      <c r="M38" s="497"/>
      <c r="N38" s="497"/>
    </row>
    <row r="39" spans="1:14" s="329" customFormat="1" ht="13.5" customHeight="1" x14ac:dyDescent="0.2">
      <c r="A39" s="496" t="s">
        <v>360</v>
      </c>
      <c r="B39" s="483">
        <v>730</v>
      </c>
      <c r="C39" s="466">
        <v>0</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77518</v>
      </c>
      <c r="N40" s="497"/>
    </row>
    <row r="41" spans="1:14" ht="13.5" customHeight="1" thickBot="1" x14ac:dyDescent="0.25">
      <c r="A41" s="1758" t="s">
        <v>676</v>
      </c>
      <c r="B41" s="1728"/>
      <c r="C41" s="1710">
        <f>(SUM(C34,C37,C38,C39))</f>
        <v>22870</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77518</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2" activePane="bottomLeft" state="frozenSplit"/>
      <selection activeCell="A38" sqref="A38:H38"/>
      <selection pane="bottomLeft" activeCell="A38" sqref="A38:H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0</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372598</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170702</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45740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589040</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589040</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105753</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78741</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381739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566233</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566233</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5" t="s">
        <v>1754</v>
      </c>
      <c r="B20" s="2146"/>
      <c r="C20" s="1768">
        <f>C8-C17</f>
        <v>22807</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22807</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-9937</v>
      </c>
      <c r="D79" s="535"/>
      <c r="E79" s="535"/>
      <c r="F79" s="535"/>
      <c r="G79" s="535"/>
      <c r="H79" s="535"/>
      <c r="I79" s="535"/>
      <c r="J79" s="535"/>
      <c r="K79" s="535"/>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12870</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22807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1.772105672105672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05" activePane="bottomLeft" state="frozen"/>
      <selection activeCell="A38" sqref="A38:H38"/>
      <selection pane="bottomLeft" activeCell="C111" sqref="C11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0</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372598</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372598</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170702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170702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170702</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170702</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45740</v>
      </c>
      <c r="D227" s="466"/>
      <c r="E227" s="468"/>
      <c r="F227" s="468"/>
      <c r="G227" s="466"/>
      <c r="H227" s="468"/>
      <c r="I227" s="468"/>
      <c r="J227" s="468"/>
      <c r="K227" s="468"/>
    </row>
    <row r="228" spans="1:11" ht="12.75" customHeight="1" thickBot="1" x14ac:dyDescent="0.25">
      <c r="A228" s="1745" t="s">
        <v>1145</v>
      </c>
      <c r="B228" s="1746"/>
      <c r="C228" s="1729">
        <f>SUM(C226:C227)</f>
        <v>45740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45740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45740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589040</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3" activePane="bottomLeft" state="frozen"/>
      <selection activeCell="A38" sqref="A38:H38"/>
      <selection pane="bottomLeft" activeCell="A38" sqref="A38:H3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v>12153</v>
      </c>
      <c r="F5" s="466">
        <v>48720</v>
      </c>
      <c r="G5" s="466">
        <v>44880</v>
      </c>
      <c r="H5" s="466"/>
      <c r="I5" s="467"/>
      <c r="J5" s="467"/>
      <c r="K5" s="1693">
        <f>SUM(C5:J5)</f>
        <v>105753</v>
      </c>
      <c r="L5" s="466">
        <v>239667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12153</v>
      </c>
      <c r="F33" s="1692">
        <f t="shared" si="1"/>
        <v>48720</v>
      </c>
      <c r="G33" s="1692">
        <f t="shared" si="1"/>
        <v>44880</v>
      </c>
      <c r="H33" s="1692">
        <f t="shared" si="1"/>
        <v>0</v>
      </c>
      <c r="I33" s="1692">
        <f t="shared" si="1"/>
        <v>0</v>
      </c>
      <c r="J33" s="1692">
        <f t="shared" si="1"/>
        <v>0</v>
      </c>
      <c r="K33" s="1692">
        <f t="shared" si="1"/>
        <v>105753</v>
      </c>
      <c r="L33" s="1692">
        <f t="shared" si="1"/>
        <v>239667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v>21264</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21264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11017</v>
      </c>
      <c r="F44" s="481"/>
      <c r="G44" s="481"/>
      <c r="H44" s="481"/>
      <c r="I44" s="467"/>
      <c r="J44" s="467"/>
      <c r="K44" s="1694">
        <f>SUM(C44:J44)</f>
        <v>11017</v>
      </c>
      <c r="L44" s="481">
        <v>7400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v>9000</v>
      </c>
    </row>
    <row r="47" spans="1:14" ht="12.75" customHeight="1" thickBot="1" x14ac:dyDescent="0.25">
      <c r="A47" s="1690" t="s">
        <v>582</v>
      </c>
      <c r="B47" s="1691" t="s">
        <v>32</v>
      </c>
      <c r="C47" s="1692">
        <f>SUM(C44:C46)</f>
        <v>0</v>
      </c>
      <c r="D47" s="1692">
        <f t="shared" ref="D47:K47" si="4">SUM(D44:D46)</f>
        <v>0</v>
      </c>
      <c r="E47" s="1692">
        <f t="shared" si="4"/>
        <v>11017</v>
      </c>
      <c r="F47" s="1692">
        <f t="shared" si="4"/>
        <v>0</v>
      </c>
      <c r="G47" s="1692">
        <f t="shared" si="4"/>
        <v>0</v>
      </c>
      <c r="H47" s="1692">
        <f t="shared" si="4"/>
        <v>0</v>
      </c>
      <c r="I47" s="1692">
        <f t="shared" si="4"/>
        <v>0</v>
      </c>
      <c r="J47" s="1692">
        <f t="shared" si="4"/>
        <v>0</v>
      </c>
      <c r="K47" s="1692">
        <f t="shared" si="4"/>
        <v>11017</v>
      </c>
      <c r="L47" s="1692">
        <f>SUM(L44:L46)</f>
        <v>16400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36068</v>
      </c>
      <c r="D49" s="481">
        <v>7675</v>
      </c>
      <c r="E49" s="481">
        <v>14691</v>
      </c>
      <c r="F49" s="481"/>
      <c r="G49" s="481"/>
      <c r="H49" s="481"/>
      <c r="I49" s="467"/>
      <c r="J49" s="467"/>
      <c r="K49" s="1694">
        <f>SUM(C49:J49)</f>
        <v>58434</v>
      </c>
      <c r="L49" s="481">
        <v>53969</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36068</v>
      </c>
      <c r="D53" s="1692">
        <f t="shared" ref="D53:L53" si="5">SUM(D49:D52)</f>
        <v>7675</v>
      </c>
      <c r="E53" s="1692">
        <f t="shared" si="5"/>
        <v>14691</v>
      </c>
      <c r="F53" s="1692">
        <f t="shared" si="5"/>
        <v>0</v>
      </c>
      <c r="G53" s="1692">
        <f t="shared" si="5"/>
        <v>0</v>
      </c>
      <c r="H53" s="1692">
        <f t="shared" si="5"/>
        <v>0</v>
      </c>
      <c r="I53" s="1692">
        <f t="shared" si="5"/>
        <v>0</v>
      </c>
      <c r="J53" s="1692">
        <f t="shared" si="5"/>
        <v>0</v>
      </c>
      <c r="K53" s="1692">
        <f t="shared" si="5"/>
        <v>58434</v>
      </c>
      <c r="L53" s="1692">
        <f t="shared" si="5"/>
        <v>53969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9290</v>
      </c>
      <c r="F60" s="466"/>
      <c r="G60" s="466"/>
      <c r="H60" s="466"/>
      <c r="I60" s="467"/>
      <c r="J60" s="467"/>
      <c r="K60" s="1694">
        <f t="shared" si="7"/>
        <v>9290</v>
      </c>
      <c r="L60" s="466">
        <v>6700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9290</v>
      </c>
      <c r="F65" s="1692">
        <f t="shared" si="8"/>
        <v>0</v>
      </c>
      <c r="G65" s="1692">
        <f t="shared" si="8"/>
        <v>0</v>
      </c>
      <c r="H65" s="1692">
        <f t="shared" si="8"/>
        <v>0</v>
      </c>
      <c r="I65" s="1692">
        <f t="shared" si="8"/>
        <v>0</v>
      </c>
      <c r="J65" s="1692">
        <f t="shared" si="8"/>
        <v>0</v>
      </c>
      <c r="K65" s="1692">
        <f t="shared" si="8"/>
        <v>9290</v>
      </c>
      <c r="L65" s="1692">
        <f t="shared" si="8"/>
        <v>6700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36068</v>
      </c>
      <c r="D74" s="1699">
        <f t="shared" ref="D74:K74" si="10">SUM(D42,D47,D53,D57,D65,D72,D73)</f>
        <v>7675</v>
      </c>
      <c r="E74" s="1699">
        <f t="shared" si="10"/>
        <v>34998</v>
      </c>
      <c r="F74" s="1699">
        <f t="shared" si="10"/>
        <v>0</v>
      </c>
      <c r="G74" s="1699">
        <f t="shared" si="10"/>
        <v>0</v>
      </c>
      <c r="H74" s="1699">
        <f t="shared" si="10"/>
        <v>0</v>
      </c>
      <c r="I74" s="1699">
        <f t="shared" si="10"/>
        <v>0</v>
      </c>
      <c r="J74" s="1699">
        <f t="shared" si="10"/>
        <v>0</v>
      </c>
      <c r="K74" s="1699">
        <f t="shared" si="10"/>
        <v>78741</v>
      </c>
      <c r="L74" s="1699">
        <f>SUM(L42,L47,L53,L57,L65,L72,L73)</f>
        <v>98333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v>381739</v>
      </c>
      <c r="I96" s="477"/>
      <c r="J96" s="477"/>
      <c r="K96" s="1699">
        <f t="shared" si="12"/>
        <v>381739</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381739</v>
      </c>
      <c r="I100" s="477"/>
      <c r="J100" s="477"/>
      <c r="K100" s="1699">
        <f>SUM(K93:K99)</f>
        <v>381739</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381739</v>
      </c>
      <c r="I102" s="477"/>
      <c r="J102" s="477"/>
      <c r="K102" s="1699">
        <f>SUM(K84,K92,K100,K101)</f>
        <v>381739</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36068</v>
      </c>
      <c r="D114" s="1692">
        <f t="shared" ref="D114:K114" si="13">SUM(D33,D74,D75,D102,D112,D113)</f>
        <v>7675</v>
      </c>
      <c r="E114" s="1692">
        <f t="shared" si="13"/>
        <v>47151</v>
      </c>
      <c r="F114" s="1692">
        <f t="shared" si="13"/>
        <v>48720</v>
      </c>
      <c r="G114" s="1692">
        <f t="shared" si="13"/>
        <v>44880</v>
      </c>
      <c r="H114" s="1692">
        <f>SUM(H33,H74,H75,H102,H112,H113)</f>
        <v>381739</v>
      </c>
      <c r="I114" s="1692">
        <f t="shared" si="13"/>
        <v>0</v>
      </c>
      <c r="J114" s="1692">
        <f t="shared" si="13"/>
        <v>0</v>
      </c>
      <c r="K114" s="1692">
        <f t="shared" si="13"/>
        <v>566233</v>
      </c>
      <c r="L114" s="1692">
        <f>SUM(L33,L74,L75,L102,L112,L113)</f>
        <v>338000</v>
      </c>
    </row>
    <row r="115" spans="1:14" ht="13.5" thickTop="1" x14ac:dyDescent="0.2">
      <c r="A115" s="2200" t="s">
        <v>1053</v>
      </c>
      <c r="B115" s="2201"/>
      <c r="C115" s="619"/>
      <c r="D115" s="619"/>
      <c r="E115" s="619"/>
      <c r="F115" s="619"/>
      <c r="G115" s="619"/>
      <c r="H115" s="619"/>
      <c r="I115" s="619"/>
      <c r="J115" s="619"/>
      <c r="K115" s="1706">
        <f>'Revenues 9-14'!C275-'Expenditures 15-22'!K114</f>
        <v>22807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3" t="s">
        <v>1240</v>
      </c>
      <c r="B152" s="2194"/>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00" t="s">
        <v>1053</v>
      </c>
      <c r="B175" s="2201"/>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200" t="s">
        <v>1053</v>
      </c>
      <c r="B211" s="2201"/>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200" t="s">
        <v>1053</v>
      </c>
      <c r="B296" s="2201"/>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6" t="s">
        <v>1053</v>
      </c>
      <c r="B343" s="218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0" t="s">
        <v>1053</v>
      </c>
      <c r="B368" s="220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purl.org/dc/elements/1.1/"/>
    <ds:schemaRef ds:uri="http://schemas.microsoft.com/office/2006/documentManagement/types"/>
    <ds:schemaRef ds:uri="http://schemas.microsoft.com/office/infopath/2007/PartnerControls"/>
    <ds:schemaRef ds:uri="http://purl.org/dc/terms/"/>
    <ds:schemaRef ds:uri="http://www.w3.org/XML/1998/namespace"/>
    <ds:schemaRef ds:uri="http://schemas.microsoft.com/office/2006/metadata/properties"/>
    <ds:schemaRef ds:uri="http://schemas.openxmlformats.org/package/2006/metadata/core-properties"/>
    <ds:schemaRef ds:uri="4d435f69-8686-490b-bd6d-b153bf22ab50"/>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2018-10-18T17:16:51Z</cp:lastPrinted>
  <dcterms:created xsi:type="dcterms:W3CDTF">2003-10-29T19:06:34Z</dcterms:created>
  <dcterms:modified xsi:type="dcterms:W3CDTF">2018-11-26T17:36:21Z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