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Joint Agreements 18\"/>
    </mc:Choice>
  </mc:AlternateContent>
  <bookViews>
    <workbookView xWindow="-15" yWindow="13650" windowWidth="28830" windowHeight="6450" tabRatio="896"/>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SEFA'!$B$1:$M$45</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J24" i="2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79" i="34"/>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c r="A2" i="170" l="1"/>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82" i="36"/>
  <c r="D78" i="36"/>
  <c r="K75" i="29"/>
  <c r="K130" i="29"/>
  <c r="K185" i="29"/>
  <c r="K122" i="29"/>
  <c r="F15" i="145" s="1"/>
  <c r="F19" i="145" s="1"/>
  <c r="K67" i="29"/>
  <c r="K64" i="29"/>
  <c r="K59" i="29"/>
  <c r="E15" i="145"/>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c r="F10" i="7"/>
  <c r="B1797" i="106"/>
  <c r="D1797" i="106" s="1"/>
  <c r="D1798" i="106"/>
  <c r="F9" i="7"/>
  <c r="B1799" i="106" s="1"/>
  <c r="D1799" i="106" s="1"/>
  <c r="F11" i="7"/>
  <c r="B1800" i="106" s="1"/>
  <c r="D1800" i="106"/>
  <c r="F12" i="7"/>
  <c r="B1801" i="106"/>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I24" i="12"/>
  <c r="B1996" i="106" s="1"/>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F77" i="4"/>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0" i="29"/>
  <c r="B3670" i="106" s="1"/>
  <c r="D3670" i="106" s="1"/>
  <c r="K351" i="29"/>
  <c r="B3671" i="106" s="1"/>
  <c r="D3671" i="106" s="1"/>
  <c r="K352" i="29"/>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54" i="36"/>
  <c r="D68" i="36"/>
  <c r="D69" i="36"/>
  <c r="D71" i="36"/>
  <c r="D72" i="36"/>
  <c r="D79" i="36"/>
  <c r="B64" i="127"/>
  <c r="B65" i="127"/>
  <c r="D26" i="108"/>
  <c r="E26" i="108"/>
  <c r="F26" i="108"/>
  <c r="G26" i="108"/>
  <c r="D27" i="108"/>
  <c r="E27" i="108"/>
  <c r="F27" i="108"/>
  <c r="G27" i="108"/>
  <c r="E28" i="108"/>
  <c r="F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09" i="5"/>
  <c r="B5121" i="106" s="1"/>
  <c r="D5121" i="106" s="1"/>
  <c r="E109" i="5"/>
  <c r="G109" i="5"/>
  <c r="B6024" i="106" s="1"/>
  <c r="D6024"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44" i="5"/>
  <c r="B5756" i="106" s="1"/>
  <c r="D5756" i="106" s="1"/>
  <c r="G154" i="5"/>
  <c r="G172" i="5"/>
  <c r="G173" i="5" s="1"/>
  <c r="B5778" i="106" s="1"/>
  <c r="D5778" i="106" s="1"/>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E4" i="4"/>
  <c r="B2630" i="106" s="1"/>
  <c r="D2630" i="106" s="1"/>
  <c r="D5" i="4"/>
  <c r="B3406" i="106" s="1"/>
  <c r="D3406" i="106" s="1"/>
  <c r="G5" i="4"/>
  <c r="B3409" i="106" s="1"/>
  <c r="D3409" i="106" s="1"/>
  <c r="G14" i="4"/>
  <c r="B2609" i="106" s="1"/>
  <c r="D2609" i="106" s="1"/>
  <c r="G15" i="4"/>
  <c r="B6032" i="106" s="1"/>
  <c r="D6032" i="106" s="1"/>
  <c r="F13" i="4"/>
  <c r="B2596" i="106" s="1"/>
  <c r="D2596" i="106" s="1"/>
  <c r="K13" i="4"/>
  <c r="B3572" i="106" s="1"/>
  <c r="D3572"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K28" i="118" s="1"/>
  <c r="O27" i="118" s="1"/>
  <c r="O29" i="118" s="1"/>
  <c r="H33" i="118"/>
  <c r="D11" i="37"/>
  <c r="D22" i="37"/>
  <c r="H22" i="37"/>
  <c r="J22" i="37"/>
  <c r="L22" i="37"/>
  <c r="D24" i="37"/>
  <c r="B4270" i="106" s="1"/>
  <c r="D4270" i="106" s="1"/>
  <c r="L5" i="11"/>
  <c r="B2056" i="106" s="1"/>
  <c r="D2056" i="106" s="1"/>
  <c r="D4" i="7"/>
  <c r="B1760" i="106" s="1"/>
  <c r="D1760" i="106" s="1"/>
  <c r="D5" i="7"/>
  <c r="B1761" i="106" s="1"/>
  <c r="D1761" i="106" s="1"/>
  <c r="D13" i="7"/>
  <c r="B3726" i="106" s="1"/>
  <c r="D3726" i="106" s="1"/>
  <c r="D9" i="7"/>
  <c r="B1767" i="106" s="1"/>
  <c r="D1767" i="106" s="1"/>
  <c r="B5770" i="106"/>
  <c r="D5770" i="106" s="1"/>
  <c r="F136" i="34"/>
  <c r="F131" i="34"/>
  <c r="F130" i="34"/>
  <c r="F128" i="34"/>
  <c r="F127" i="34"/>
  <c r="F111" i="34"/>
  <c r="B5847" i="106"/>
  <c r="D5847" i="106" s="1"/>
  <c r="B5752" i="106"/>
  <c r="D5752" i="106" s="1"/>
  <c r="B5599" i="106"/>
  <c r="D5599" i="106" s="1"/>
  <c r="G4" i="4"/>
  <c r="B2603" i="106" s="1"/>
  <c r="D2603" i="106" s="1"/>
  <c r="K274" i="5"/>
  <c r="H173" i="5"/>
  <c r="B5906" i="106" s="1"/>
  <c r="D5906" i="106" s="1"/>
  <c r="C172" i="5"/>
  <c r="B5214" i="106" s="1"/>
  <c r="D5214" i="106" s="1"/>
  <c r="H109" i="5"/>
  <c r="B6025" i="106" s="1"/>
  <c r="D6025" i="106" s="1"/>
  <c r="D109" i="5"/>
  <c r="B5356" i="106" s="1"/>
  <c r="D5356" i="106" s="1"/>
  <c r="F106" i="34"/>
  <c r="D7" i="7"/>
  <c r="B1763" i="106" s="1"/>
  <c r="D1763" i="106" s="1"/>
  <c r="H4" i="4"/>
  <c r="D4" i="4"/>
  <c r="B2564" i="106" s="1"/>
  <c r="D2564" i="106" s="1"/>
  <c r="H6" i="4"/>
  <c r="B2656" i="106" s="1"/>
  <c r="D2656" i="106" s="1"/>
  <c r="B2655" i="106"/>
  <c r="D2655" i="106" s="1"/>
  <c r="B1746" i="106"/>
  <c r="D1746" i="106" s="1"/>
  <c r="D17" i="7"/>
  <c r="B4104" i="106" s="1"/>
  <c r="D4104" i="106" s="1"/>
  <c r="D12" i="7"/>
  <c r="B1769" i="106" s="1"/>
  <c r="D1769" i="106" s="1"/>
  <c r="D11" i="7"/>
  <c r="B1768" i="106" s="1"/>
  <c r="D1768" i="106" s="1"/>
  <c r="D15" i="7"/>
  <c r="B1772" i="106" s="1"/>
  <c r="D1772" i="106" s="1"/>
  <c r="D7245" i="106" l="1"/>
  <c r="I342" i="29"/>
  <c r="B7222" i="106" s="1"/>
  <c r="D7222" i="106" s="1"/>
  <c r="I173" i="5"/>
  <c r="B4216" i="106" s="1"/>
  <c r="D4216" i="106" s="1"/>
  <c r="L342" i="29"/>
  <c r="L312" i="29"/>
  <c r="J41" i="3"/>
  <c r="D6103" i="106"/>
  <c r="E174" i="29"/>
  <c r="B1309" i="106" s="1"/>
  <c r="D1309" i="106" s="1"/>
  <c r="C129" i="29"/>
  <c r="K24" i="12"/>
  <c r="G352" i="29"/>
  <c r="C352" i="29"/>
  <c r="L15" i="11"/>
  <c r="B3459" i="106" s="1"/>
  <c r="D3459" i="106" s="1"/>
  <c r="B1410" i="106"/>
  <c r="D1410" i="106" s="1"/>
  <c r="B1329" i="106"/>
  <c r="D1329" i="106" s="1"/>
  <c r="F61" i="34"/>
  <c r="C173" i="5"/>
  <c r="B5223" i="106" s="1"/>
  <c r="D5223" i="106" s="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D18" i="7"/>
  <c r="B4105" i="106" s="1"/>
  <c r="D4105" i="106" s="1"/>
  <c r="C6" i="4"/>
  <c r="B2553" i="106" s="1"/>
  <c r="D2553" i="106" s="1"/>
  <c r="K7" i="4"/>
  <c r="B3718" i="106" s="1"/>
  <c r="D3718" i="106" s="1"/>
  <c r="F105" i="34"/>
  <c r="F107" i="34"/>
  <c r="F109" i="5"/>
  <c r="J109" i="5"/>
  <c r="J173" i="5"/>
  <c r="C4" i="4"/>
  <c r="B2551" i="106" s="1"/>
  <c r="D2551" i="106" s="1"/>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F274" i="5"/>
  <c r="E273" i="5"/>
  <c r="B6835" i="106"/>
  <c r="D6835" i="106" s="1"/>
  <c r="G273" i="5"/>
  <c r="B4398" i="106"/>
  <c r="D4398" i="106" s="1"/>
  <c r="B5537" i="106"/>
  <c r="D5537" i="106" s="1"/>
  <c r="E173" i="5"/>
  <c r="I109" i="5"/>
  <c r="B5527" i="106"/>
  <c r="D5527" i="106" s="1"/>
  <c r="L279" i="29"/>
  <c r="L295" i="29" s="1"/>
  <c r="L74" i="29"/>
  <c r="L114" i="29" s="1"/>
  <c r="K33" i="29"/>
  <c r="B720" i="106"/>
  <c r="D720" i="106" s="1"/>
  <c r="C114" i="29"/>
  <c r="B757" i="106" s="1"/>
  <c r="D757" i="106" s="1"/>
  <c r="B2031" i="106"/>
  <c r="D2031" i="106" s="1"/>
  <c r="B7618" i="106"/>
  <c r="L14" i="11"/>
  <c r="B7623" i="106" s="1"/>
  <c r="D7252" i="106"/>
  <c r="D7250"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72" i="106"/>
  <c r="D3672" i="106" s="1"/>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K367" i="29" s="1"/>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73" i="5"/>
  <c r="J24" i="12"/>
  <c r="B7730" i="106"/>
  <c r="D7730" i="106" s="1"/>
  <c r="H275" i="5"/>
  <c r="B5914" i="106"/>
  <c r="D5914" i="106" s="1"/>
  <c r="F275" i="5"/>
  <c r="J7" i="4"/>
  <c r="B2657" i="106"/>
  <c r="D2657" i="106" s="1"/>
  <c r="H8" i="4"/>
  <c r="D274" i="5"/>
  <c r="B3447" i="106"/>
  <c r="D3447" i="106" s="1"/>
  <c r="D19" i="7"/>
  <c r="B1775" i="106" s="1"/>
  <c r="D1775" i="106" s="1"/>
  <c r="B7270" i="106"/>
  <c r="B3649" i="106" l="1"/>
  <c r="D3649" i="106" s="1"/>
  <c r="G367" i="29"/>
  <c r="B3650" i="106" s="1"/>
  <c r="D3650" i="106" s="1"/>
  <c r="H367" i="29"/>
  <c r="B3660" i="106" s="1"/>
  <c r="D3660" i="106" s="1"/>
  <c r="B3621" i="106"/>
  <c r="D3621" i="106" s="1"/>
  <c r="C367" i="29"/>
  <c r="B3622" i="106" s="1"/>
  <c r="D3622" i="106" s="1"/>
  <c r="B7733" i="106"/>
  <c r="D7733" i="106" s="1"/>
  <c r="K26" i="12"/>
  <c r="B7743" i="106" s="1"/>
  <c r="D7743" i="106" s="1"/>
  <c r="L16" i="11"/>
  <c r="B2061" i="106" s="1"/>
  <c r="D206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F8" i="4"/>
  <c r="B5915" i="106"/>
  <c r="D5915" i="106" s="1"/>
  <c r="B5720" i="106"/>
  <c r="D5720" i="106" s="1"/>
  <c r="B6222" i="106"/>
  <c r="D6222" i="106" s="1"/>
  <c r="J8" i="4"/>
  <c r="B2658" i="106"/>
  <c r="D2658" i="106" s="1"/>
  <c r="H10" i="4"/>
  <c r="B4127" i="106" s="1"/>
  <c r="D4127" i="106" s="1"/>
  <c r="D7" i="4"/>
  <c r="D275" i="5"/>
  <c r="B5507" i="106"/>
  <c r="D5507" i="106" s="1"/>
  <c r="B7298" i="106"/>
  <c r="B7299" i="106"/>
  <c r="G41" i="108" l="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F10" i="4"/>
  <c r="B4125" i="106" s="1"/>
  <c r="D4125" i="106" s="1"/>
  <c r="B2595" i="106"/>
  <c r="D2595" i="106" s="1"/>
  <c r="G44" i="108"/>
  <c r="G45" i="108" s="1"/>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D10" i="171" l="1"/>
  <c r="D19" i="171" s="1"/>
  <c r="D32" i="171" s="1"/>
  <c r="D49" i="171" s="1"/>
  <c r="F76" i="34"/>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F179"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B3588" i="106" l="1"/>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<sst xmlns="http://schemas.openxmlformats.org/spreadsheetml/2006/main" count="5036" uniqueCount="2106">
  <si>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</si>
  <si>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</si>
  <si>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</si>
  <si>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</si>
  <si>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</si>
  <si>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</si>
  <si>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</si>
  <si>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</si>
  <si>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</si>
  <si>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</si>
  <si>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</si>
  <si>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</si>
  <si>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</si>
  <si>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</si>
  <si>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</si>
  <si>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</si>
  <si>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</si>
  <si>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</si>
  <si>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</si>
  <si>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</si>
  <si>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</si>
  <si>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</si>
  <si>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</si>
  <si>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</si>
  <si>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</si>
  <si>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</si>
  <si>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</si>
  <si>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</si>
  <si>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</si>
  <si>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</si>
  <si>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</si>
  <si>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</si>
  <si>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</si>
  <si>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</si>
  <si>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</si>
  <si>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</si>
  <si>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</si>
  <si>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</si>
  <si>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</si>
  <si>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</si>
  <si>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</si>
  <si>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</si>
  <si>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</si>
  <si>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</si>
  <si>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</si>
  <si>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</si>
  <si>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</si>
  <si>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</si>
  <si>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</si>
  <si>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</si>
  <si>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</si>
  <si>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</si>
  <si>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</si>
  <si>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</si>
  <si>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</si>
  <si>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</si>
  <si>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</si>
  <si>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</si>
  <si>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</si>
  <si>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</si>
  <si>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</si>
  <si>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</si>
  <si>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</si>
  <si>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</si>
  <si>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</si>
  <si>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</si>
  <si>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</si>
  <si>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</si>
  <si>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</si>
  <si>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</si>
  <si>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</si>
  <si>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</si>
  <si>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</si>
  <si>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</si>
  <si>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</si>
  <si>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</si>
  <si>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</si>
  <si>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</si>
  <si>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</si>
  <si>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</si>
  <si>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</si>
  <si>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</si>
  <si>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</si>
  <si>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</si>
  <si>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</si>
  <si>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</si>
  <si>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</si>
  <si>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</si>
  <si>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</si>
  <si>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</si>
  <si>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</si>
  <si>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</si>
  <si>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</si>
  <si>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</si>
  <si>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</si>
  <si>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</si>
  <si>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</si>
  <si>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</si>
  <si>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</si>
  <si>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</si>
  <si>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</si>
  <si>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</si>
  <si>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</si>
  <si>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</si>
  <si>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</si>
  <si>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</si>
  <si>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</si>
  <si>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</si>
  <si>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</si>
  <si>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</si>
  <si>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</si>
  <si>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</si>
  <si>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</si>
  <si>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</si>
  <si>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</si>
  <si>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</si>
  <si>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</si>
  <si>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</si>
  <si>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</si>
  <si>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</si>
  <si>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</si>
  <si>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</si>
  <si>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</si>
  <si>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</si>
  <si>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</si>
  <si>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</si>
  <si>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</si>
  <si>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</si>
  <si>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</si>
  <si>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</si>
  <si>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</si>
  <si>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</si>
  <si>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</si>
  <si>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</si>
  <si>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</si>
  <si>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</si>
  <si>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</si>
  <si>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</si>
  <si>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</si>
  <si>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</si>
  <si>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</si>
  <si>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</si>
  <si>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</si>
  <si>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</si>
  <si>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</si>
  <si>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</si>
  <si>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</si>
  <si>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</si>
  <si>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</si>
  <si>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</si>
  <si>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</si>
  <si>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</si>
  <si>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</si>
  <si>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</si>
  <si>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</si>
  <si>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</si>
  <si>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</si>
  <si>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</si>
  <si>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</si>
  <si>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</si>
  <si>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</si>
  <si>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</si>
  <si>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</si>
  <si>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</si>
  <si>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</si>
  <si>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</si>
  <si>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</si>
  <si>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</si>
  <si>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</si>
  <si>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</si>
  <si>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</si>
  <si>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</si>
  <si>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</si>
  <si>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</si>
  <si>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</si>
  <si>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</si>
  <si>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</si>
  <si>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</si>
  <si>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</si>
  <si>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</si>
  <si>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</si>
  <si>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</si>
  <si>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</si>
  <si>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</si>
  <si>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</si>
  <si>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</si>
  <si>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</si>
  <si>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</si>
  <si>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</si>
  <si>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</si>
  <si>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</si>
  <si>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</si>
  <si>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</si>
  <si>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</si>
  <si>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</si>
  <si>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</si>
  <si>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</si>
  <si>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</si>
  <si>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</si>
  <si>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</si>
  <si>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</si>
  <si>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</si>
  <si>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</si>
  <si>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</si>
  <si>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</si>
  <si>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</si>
  <si>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</si>
  <si>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</si>
  <si>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</si>
  <si>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</si>
  <si>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</si>
  <si>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</si>
  <si>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</si>
  <si>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</si>
  <si>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</si>
  <si>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</si>
  <si>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</si>
  <si>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</si>
  <si>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</si>
  <si>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</si>
  <si>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</si>
  <si>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</si>
  <si>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</si>
  <si>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</si>
  <si>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</si>
  <si>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</si>
  <si>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</si>
  <si>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</si>
  <si>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</si>
  <si>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</si>
  <si>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</si>
  <si>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</si>
  <si>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</si>
  <si>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</si>
  <si>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</si>
  <si>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</si>
  <si>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</si>
  <si>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</si>
  <si>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</si>
  <si>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</si>
  <si>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</si>
  <si>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</si>
  <si>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</si>
  <si>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</si>
  <si>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</si>
  <si>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</si>
  <si>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</si>
  <si>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</si>
  <si>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</si>
  <si>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</si>
  <si>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</si>
  <si>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</si>
  <si>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</si>
  <si>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</si>
  <si>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</si>
  <si>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</si>
  <si>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</si>
  <si>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</si>
  <si>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</si>
  <si>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</si>
  <si>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</si>
  <si>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</si>
  <si>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</si>
  <si>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</si>
  <si>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</si>
  <si>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</si>
  <si>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</si>
  <si>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</si>
  <si>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</si>
  <si>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</si>
  <si>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</si>
  <si>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</si>
  <si>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</si>
  <si>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</si>
  <si>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</si>
  <si>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</si>
  <si>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</si>
  <si>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</si>
  <si>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</si>
  <si>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</si>
  <si>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</si>
  <si>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</si>
  <si>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</si>
  <si>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</si>
  <si>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</si>
  <si>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</si>
  <si>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</si>
  <si>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</si>
  <si>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</si>
  <si>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</si>
  <si>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</si>
  <si>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</si>
  <si>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</si>
  <si>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</si>
  <si>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</si>
  <si>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</si>
  <si>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</si>
  <si>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</si>
  <si>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</si>
  <si>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</si>
  <si>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</si>
  <si>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</si>
  <si>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</si>
  <si>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</si>
  <si>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</si>
  <si>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</si>
  <si>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</si>
  <si>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</si>
  <si>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</si>
  <si>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</si>
  <si>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</si>
  <si>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</si>
  <si>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</si>
  <si>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</si>
  <si>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</si>
  <si>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</si>
  <si>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</si>
  <si>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</si>
  <si>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</si>
  <si>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</si>
  <si>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</si>
  <si>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</si>
  <si>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</si>
  <si>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</si>
  <si>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</si>
  <si>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</si>
  <si>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</si>
  <si>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</si>
  <si>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</si>
  <si>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</si>
  <si>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</si>
  <si>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</si>
  <si>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</si>
  <si>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</si>
  <si>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</si>
  <si>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</si>
  <si>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</si>
  <si>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</si>
  <si>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</si>
  <si>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</si>
  <si>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</si>
  <si>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</si>
  <si>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</si>
  <si>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</si>
  <si>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</si>
  <si>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</si>
  <si>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</si>
  <si>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</si>
  <si>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</si>
  <si>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</si>
  <si>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</si>
  <si>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</si>
  <si>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</si>
  <si>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</si>
  <si>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</si>
  <si>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</si>
  <si>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</si>
  <si>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</si>
  <si>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</si>
  <si>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</si>
  <si>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</si>
  <si>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</si>
  <si>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</si>
  <si>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</si>
  <si>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</si>
  <si>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</si>
  <si>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</si>
  <si>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</si>
  <si>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</si>
  <si>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</si>
  <si>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</si>
  <si>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</si>
  <si>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</si>
  <si>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</si>
  <si>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</si>
  <si>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</si>
  <si>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</si>
  <si>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</si>
  <si>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</si>
  <si>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</si>
  <si>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</si>
  <si>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</si>
  <si>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</si>
  <si>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</si>
  <si>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</si>
  <si>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</si>
  <si>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</si>
  <si>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</si>
  <si>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</si>
  <si>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</si>
  <si>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</si>
  <si>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</si>
  <si>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</si>
  <si>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</si>
  <si>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</si>
  <si>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</si>
  <si>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</si>
  <si>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</si>
  <si>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</si>
  <si>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</si>
  <si>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</si>
  <si>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</si>
  <si>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</si>
  <si>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</si>
  <si>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</si>
  <si>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</si>
  <si>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</si>
  <si>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</si>
  <si>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</si>
  <si>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</si>
  <si>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</si>
  <si>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</si>
  <si>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</si>
  <si>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</si>
  <si>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</si>
  <si>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</si>
  <si>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</si>
  <si>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</si>
  <si>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</si>
  <si>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</si>
  <si>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</si>
  <si>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</si>
  <si>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</si>
  <si>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</si>
  <si>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</si>
  <si>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</si>
  <si>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</si>
  <si>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</si>
  <si>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</si>
  <si>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</si>
  <si>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</si>
  <si>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</si>
  <si>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</si>
  <si>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</si>
  <si>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</si>
  <si>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</si>
  <si>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</si>
  <si>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</si>
  <si>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</si>
  <si>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</si>
  <si>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</si>
  <si>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</si>
  <si>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</si>
  <si>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</si>
  <si>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</si>
  <si>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</si>
  <si>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</si>
  <si>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</si>
  <si>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</si>
  <si>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</si>
  <si>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</si>
  <si>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</si>
  <si>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</si>
  <si>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</si>
  <si>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</si>
  <si>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</si>
  <si>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</si>
  <si>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</si>
  <si>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</si>
  <si>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</si>
  <si>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</si>
  <si>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</si>
  <si>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</si>
  <si>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</si>
  <si>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</si>
  <si>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</si>
  <si>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</si>
  <si>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</si>
  <si>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</si>
  <si>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</si>
  <si>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</si>
  <si>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</si>
  <si>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</si>
  <si>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</si>
  <si>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</si>
  <si>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</si>
  <si>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</si>
  <si>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</si>
  <si>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</si>
  <si>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</si>
  <si>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</si>
  <si>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</si>
  <si>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</si>
  <si>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</si>
  <si>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</si>
  <si>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</si>
  <si>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</si>
  <si>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</si>
  <si>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</si>
  <si>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</si>
  <si>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</si>
  <si>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</si>
  <si>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</si>
  <si>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</si>
  <si>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</si>
  <si>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</si>
  <si>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</si>
  <si>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</si>
  <si>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</si>
  <si>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</si>
  <si>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</si>
  <si>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</si>
  <si>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</si>
  <si>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</si>
  <si>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</si>
  <si>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</si>
  <si>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</si>
  <si>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</si>
  <si>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</si>
  <si>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</si>
  <si>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</si>
  <si>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</si>
  <si>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</si>
  <si>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</si>
  <si>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</si>
  <si>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</si>
  <si>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</si>
  <si>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</si>
  <si>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</si>
  <si>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</si>
  <si>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</si>
  <si>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</si>
  <si>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</si>
  <si>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</si>
  <si>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</si>
  <si>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</si>
  <si>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</si>
  <si>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</si>
  <si>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</si>
  <si>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</si>
  <si>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</si>
  <si>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</si>
  <si>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</si>
  <si>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</si>
  <si>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</si>
  <si>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</si>
  <si>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</si>
  <si>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</si>
  <si>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</si>
  <si>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</si>
  <si>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</si>
  <si>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</si>
  <si>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</si>
  <si>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</si>
  <si>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</si>
  <si>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</si>
  <si>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</si>
  <si>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</si>
  <si>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</si>
  <si>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</si>
  <si>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</si>
  <si>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</si>
  <si>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</si>
  <si>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</si>
  <si>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</si>
  <si>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</si>
  <si>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</si>
  <si>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</si>
  <si>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</si>
  <si>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</si>
  <si>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</si>
  <si>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</si>
  <si>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</si>
  <si>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</si>
  <si>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</si>
  <si>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</si>
  <si>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</si>
  <si>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</si>
  <si>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</si>
  <si>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</si>
  <si>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</si>
  <si>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</si>
  <si>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</si>
  <si>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</si>
  <si>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</si>
  <si>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</si>
  <si>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</si>
  <si>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</si>
  <si>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</si>
  <si>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</si>
  <si>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</si>
  <si>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</si>
  <si>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</si>
  <si>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</si>
  <si>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</si>
  <si>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</si>
  <si>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</si>
  <si>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</si>
  <si>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</si>
  <si>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</si>
  <si>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</si>
  <si>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</si>
  <si>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</si>
  <si>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</si>
  <si>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</si>
  <si>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</si>
  <si>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</si>
  <si>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</si>
  <si>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</si>
  <si>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</si>
  <si>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</si>
  <si>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</si>
  <si>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</si>
  <si>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</si>
  <si>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</si>
  <si>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</si>
  <si>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</si>
  <si>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</si>
  <si>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</si>
  <si>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</si>
  <si>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</si>
  <si>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</si>
  <si>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</si>
  <si>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</si>
  <si>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</si>
  <si>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</si>
  <si>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</si>
  <si>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</si>
  <si>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</si>
  <si>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</si>
  <si>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</si>
  <si>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</si>
  <si>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</si>
  <si>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</si>
  <si>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</si>
  <si>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</si>
  <si>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</si>
  <si>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</si>
  <si>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</si>
  <si>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</si>
  <si>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</si>
  <si>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</si>
  <si>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</si>
  <si>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</si>
  <si>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</si>
  <si>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</si>
  <si>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</si>
  <si>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</si>
  <si>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</si>
  <si>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</si>
  <si>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</si>
  <si>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</si>
  <si>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</si>
  <si>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</si>
  <si>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</si>
  <si>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</si>
  <si>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</si>
  <si>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</si>
  <si>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</si>
  <si>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</si>
  <si>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</si>
  <si>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</si>
  <si>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</si>
  <si>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</si>
  <si>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</si>
  <si>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</si>
  <si>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</si>
  <si>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</si>
  <si>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</si>
  <si>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</si>
  <si>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</si>
  <si>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</si>
  <si>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</si>
  <si>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</si>
  <si>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</si>
  <si>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</si>
  <si>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</si>
  <si>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</si>
  <si>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</si>
  <si>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</si>
  <si>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</si>
  <si>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</si>
  <si>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</si>
  <si>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</si>
  <si>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</si>
  <si>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</si>
  <si>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</si>
  <si>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</si>
  <si>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</si>
  <si>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</si>
  <si>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</si>
  <si>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</si>
  <si>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</si>
  <si>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</si>
  <si>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</si>
  <si>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</si>
  <si>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</si>
  <si>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</si>
  <si>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</si>
  <si>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</si>
  <si>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</si>
  <si>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</si>
  <si>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</si>
  <si>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</si>
  <si>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</si>
  <si>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</si>
  <si>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</si>
  <si>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</si>
  <si>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</si>
  <si>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</si>
  <si>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</si>
  <si>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</si>
  <si>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</si>
  <si>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</si>
  <si>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</si>
  <si>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</si>
  <si>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</si>
  <si>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</si>
  <si>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</si>
  <si>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</si>
  <si>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</si>
  <si>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</si>
  <si>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</si>
  <si>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</si>
  <si>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</si>
  <si>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</si>
  <si>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</si>
  <si>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</si>
  <si>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</si>
  <si>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</si>
  <si>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</si>
  <si>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</si>
  <si>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</si>
  <si>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</si>
  <si>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</si>
  <si>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</si>
  <si>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</si>
  <si>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</si>
  <si>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</si>
  <si>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</si>
  <si>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</si>
  <si>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</si>
  <si>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</si>
  <si>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</si>
  <si>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</si>
  <si>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</si>
  <si>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</si>
  <si>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</si>
  <si>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</si>
  <si>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</si>
  <si>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</si>
  <si>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</si>
  <si>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</si>
  <si>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</si>
  <si>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</si>
  <si>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</si>
  <si>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</si>
  <si>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</si>
  <si>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</si>
  <si>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</si>
  <si>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</si>
  <si>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</si>
  <si>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</si>
  <si>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</si>
  <si>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</si>
  <si>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</si>
  <si>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</si>
  <si>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</si>
  <si>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</si>
  <si>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</si>
  <si>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</si>
  <si>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</si>
  <si>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</si>
  <si>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</si>
  <si>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</si>
  <si>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</si>
  <si>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</si>
  <si>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</si>
  <si>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</si>
  <si>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</si>
  <si>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</si>
  <si>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</si>
  <si>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</si>
  <si>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</si>
  <si>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</si>
  <si>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</si>
  <si>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</si>
  <si>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</si>
  <si>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</si>
  <si>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</si>
  <si>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</si>
  <si>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</si>
  <si>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</si>
  <si>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</si>
  <si>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</si>
  <si>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</si>
  <si>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</si>
  <si>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</si>
  <si>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</si>
  <si>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</si>
  <si>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</si>
  <si>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</si>
  <si>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</si>
  <si>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</si>
  <si>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</si>
  <si>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</si>
  <si>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</si>
  <si>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</si>
  <si>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</si>
  <si>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</si>
  <si>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</si>
  <si>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</si>
  <si>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</si>
  <si>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</si>
  <si>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</si>
  <si>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</si>
  <si>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</si>
  <si>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</si>
  <si>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</si>
  <si>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</si>
  <si>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</si>
  <si>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</si>
  <si>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</si>
  <si>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</si>
  <si>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</si>
  <si>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</si>
  <si>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</si>
  <si>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</si>
  <si>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</si>
  <si>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</si>
  <si>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</si>
  <si>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</si>
  <si>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</si>
  <si>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</si>
  <si>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</si>
  <si>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</si>
  <si>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</si>
  <si>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</si>
  <si>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</si>
  <si>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</si>
  <si>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</si>
  <si>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</si>
  <si>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</si>
  <si>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</si>
  <si>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</si>
  <si>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</si>
  <si>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</si>
  <si>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</si>
  <si>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</si>
  <si>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</si>
  <si>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</si>
  <si>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</si>
  <si>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</si>
  <si>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</si>
  <si>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</si>
  <si>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</si>
  <si>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</si>
  <si>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</si>
  <si>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</si>
  <si>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</si>
  <si>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</si>
  <si>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</si>
  <si>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</si>
  <si>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</si>
  <si>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</si>
  <si>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</si>
  <si>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</si>
  <si>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</si>
  <si>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</si>
  <si>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</si>
  <si>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</si>
  <si>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</si>
  <si>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</si>
  <si>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</si>
  <si>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</si>
  <si>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</si>
  <si>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</si>
  <si>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</si>
  <si>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</si>
  <si>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</si>
  <si>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</si>
  <si>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</si>
  <si>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</si>
  <si>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</si>
  <si>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</si>
  <si>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</si>
  <si>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</si>
  <si>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</si>
  <si>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</si>
  <si>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</si>
  <si>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</si>
  <si>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</si>
  <si>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</si>
  <si>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</si>
  <si>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</si>
  <si>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</si>
  <si>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</si>
  <si>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</si>
  <si>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</si>
  <si>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</si>
  <si>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</si>
  <si>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</si>
  <si>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</si>
  <si>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</si>
  <si>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</si>
  <si>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</si>
  <si>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</si>
  <si>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</si>
  <si>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</si>
  <si>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</si>
  <si>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</si>
  <si>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</si>
  <si>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</si>
  <si>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</si>
  <si>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</si>
  <si>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</si>
  <si>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</si>
  <si>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</si>
  <si>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</si>
  <si>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</si>
  <si>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</si>
  <si>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</si>
  <si>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</si>
  <si>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</si>
  <si>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</si>
  <si>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</si>
  <si>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</si>
  <si>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</si>
  <si>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</si>
  <si>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</si>
  <si>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</si>
  <si>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</si>
  <si>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</si>
  <si>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</si>
  <si>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</si>
  <si>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</si>
  <si>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</si>
  <si>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</si>
  <si>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</si>
  <si>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</si>
  <si>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</si>
  <si>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</si>
  <si>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</si>
  <si>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</si>
  <si>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</si>
  <si>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</si>
  <si>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</si>
  <si>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</si>
  <si>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</si>
  <si>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</si>
  <si>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</si>
  <si>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</si>
  <si>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</si>
  <si>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</si>
  <si>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</si>
  <si>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</si>
  <si>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</si>
  <si>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</si>
  <si>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</si>
  <si>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</si>
  <si>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</si>
  <si>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</si>
  <si>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</si>
  <si>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</si>
  <si>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</si>
  <si>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</si>
  <si>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</si>
  <si>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</si>
  <si>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</si>
  <si>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</si>
  <si>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</si>
  <si>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</si>
  <si>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</si>
  <si>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</si>
  <si>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</si>
  <si>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</si>
  <si>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</si>
  <si>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</si>
  <si>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</si>
  <si>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</si>
  <si>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</si>
  <si>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</si>
  <si>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</si>
  <si>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</si>
  <si>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</si>
  <si>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</si>
  <si>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</si>
  <si>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</si>
  <si>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</si>
  <si>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</si>
  <si>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</si>
  <si>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</si>
  <si>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</si>
  <si>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</si>
  <si>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</si>
  <si>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</si>
  <si>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</si>
  <si>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</si>
  <si>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</si>
  <si>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</si>
  <si>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</si>
  <si>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</si>
  <si>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</si>
  <si>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</si>
  <si>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</si>
  <si>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</si>
  <si>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</si>
  <si>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</si>
  <si>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</si>
  <si>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</si>
  <si>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</si>
  <si>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</si>
  <si>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</si>
  <si>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</si>
  <si>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</si>
  <si>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</si>
  <si>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</si>
  <si>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</si>
  <si>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</si>
  <si>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</si>
  <si>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</si>
  <si>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</si>
  <si>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</si>
  <si>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</si>
  <si>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</si>
  <si>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</si>
  <si>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</si>
  <si>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</si>
  <si>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</si>
  <si>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</si>
  <si>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</si>
  <si>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</si>
  <si>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</si>
  <si>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</si>
  <si>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</si>
  <si>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</si>
  <si>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</si>
  <si>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</si>
  <si>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</si>
  <si>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</si>
  <si>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</si>
  <si>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</si>
  <si>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</si>
  <si>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</si>
  <si>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</si>
  <si>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</si>
  <si>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</si>
  <si>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</si>
  <si>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</si>
  <si>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</si>
  <si>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</si>
  <si>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</si>
  <si>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</si>
  <si>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</si>
  <si>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</si>
  <si>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</si>
  <si>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</si>
  <si>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</si>
  <si>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</si>
  <si>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</si>
  <si>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</si>
  <si>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</si>
  <si>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</si>
  <si>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</si>
  <si>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</si>
  <si>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</si>
  <si>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</si>
  <si>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</si>
  <si>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</si>
  <si>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</si>
  <si>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</si>
  <si>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</si>
  <si>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</si>
  <si>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</si>
  <si>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</si>
  <si>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</si>
  <si>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</si>
  <si>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</si>
  <si>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</si>
  <si>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</si>
  <si>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</si>
  <si>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</si>
  <si>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</si>
  <si>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</si>
  <si>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</si>
  <si>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</si>
  <si>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</si>
  <si>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</si>
  <si>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</si>
  <si>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</si>
  <si>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</si>
  <si>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</si>
  <si>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</si>
  <si>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</si>
  <si>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</si>
  <si>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</si>
  <si>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</si>
  <si>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</si>
  <si>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</si>
  <si>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</si>
  <si>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</si>
  <si>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</si>
  <si>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</si>
  <si>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</si>
  <si>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</si>
  <si>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</si>
  <si>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</si>
  <si>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</si>
  <si>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</si>
  <si>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</si>
  <si>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</si>
  <si>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</si>
  <si>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</si>
  <si>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</si>
  <si>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</si>
  <si>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</si>
  <si>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</si>
  <si>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</si>
  <si>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</si>
  <si>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</si>
  <si>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</si>
  <si>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</si>
  <si>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</si>
  <si>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</si>
  <si>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</si>
  <si>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</si>
  <si>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</si>
  <si>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</si>
  <si>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</si>
  <si>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</si>
  <si>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</si>
  <si>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</si>
  <si>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</si>
  <si>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</si>
  <si>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</si>
  <si>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</si>
  <si>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</si>
  <si>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</si>
  <si>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</si>
  <si>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</si>
  <si>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</si>
  <si>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</si>
  <si>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</si>
  <si>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</si>
  <si>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</si>
  <si>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</si>
  <si>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</si>
  <si>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</si>
  <si>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</si>
  <si>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</si>
  <si>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</si>
  <si>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</si>
  <si>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</si>
  <si>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</si>
  <si>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</si>
  <si>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</si>
  <si>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</si>
  <si>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</si>
  <si>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</si>
  <si>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</si>
  <si>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</si>
  <si>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</si>
  <si>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</si>
  <si>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</si>
  <si>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</si>
  <si>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</si>
  <si>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</si>
  <si>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</si>
  <si>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</si>
  <si>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</si>
  <si>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</si>
  <si>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</si>
  <si>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</si>
  <si>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</si>
  <si>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</si>
  <si>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</si>
  <si>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</si>
  <si>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</si>
  <si>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</si>
  <si>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</si>
  <si>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</si>
  <si>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</si>
  <si>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</si>
  <si>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</si>
  <si>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</si>
  <si>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</si>
  <si>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</si>
  <si>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</si>
  <si>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</si>
  <si>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</si>
  <si>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</si>
  <si>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</si>
  <si>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</si>
  <si>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</si>
  <si>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</si>
  <si>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</si>
  <si>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</si>
  <si>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</si>
  <si>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</si>
  <si>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</si>
  <si>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</si>
  <si>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</si>
  <si>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</si>
  <si>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</si>
  <si>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</si>
  <si>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</si>
  <si>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</si>
  <si>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</si>
  <si>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</si>
  <si>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</si>
  <si>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</si>
  <si>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</si>
  <si>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</si>
  <si>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</si>
  <si>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</si>
  <si>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</si>
  <si>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</si>
  <si>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</si>
  <si>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</si>
  <si>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</si>
  <si>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</si>
  <si>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</si>
  <si>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</si>
  <si>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</si>
  <si>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</si>
  <si>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</si>
  <si>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</si>
  <si>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</si>
  <si>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</si>
  <si>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</si>
  <si>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</si>
  <si>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</si>
  <si>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</si>
  <si>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</si>
  <si>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</si>
  <si>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</si>
  <si>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</si>
  <si>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</si>
  <si>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</si>
  <si>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</si>
  <si>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</si>
  <si>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</si>
  <si>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</si>
  <si>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</si>
  <si>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</si>
  <si>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</si>
  <si>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</si>
  <si>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</si>
  <si>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</si>
  <si>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</si>
  <si>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</si>
  <si>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</si>
  <si>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</si>
  <si>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</si>
  <si>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</si>
  <si>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</si>
  <si>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</si>
  <si>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</si>
  <si>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</si>
  <si>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</si>
  <si>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</si>
  <si>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</si>
  <si>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</si>
  <si>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</si>
  <si>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</si>
  <si>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</si>
  <si>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</si>
  <si>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</si>
  <si>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</si>
  <si>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</si>
  <si>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</si>
  <si>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</si>
  <si>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</si>
  <si>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</si>
  <si>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</si>
  <si>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</si>
  <si>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</si>
  <si>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</si>
  <si>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</si>
  <si>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</si>
  <si>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</si>
  <si>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</si>
  <si>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</si>
  <si>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</si>
  <si>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</si>
  <si>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</si>
  <si>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</si>
  <si>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</si>
  <si>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</si>
  <si>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</si>
  <si>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</si>
  <si>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</si>
  <si>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</si>
  <si>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</si>
  <si>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</si>
  <si>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</si>
  <si>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</si>
  <si>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</si>
  <si>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</si>
  <si>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</si>
  <si>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</si>
  <si>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</si>
  <si>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</si>
  <si>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</si>
  <si>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</si>
  <si>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</si>
  <si>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</si>
  <si>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</si>
  <si>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</si>
  <si>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</si>
  <si>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</si>
  <si>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</si>
  <si>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</si>
  <si>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</si>
  <si>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</si>
  <si>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</si>
  <si>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</si>
  <si>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</si>
  <si>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</si>
  <si>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</si>
  <si>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</si>
  <si>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</si>
  <si>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</si>
  <si>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</si>
  <si>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</si>
  <si>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</si>
  <si>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</si>
  <si>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</si>
  <si>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</si>
  <si>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</si>
  <si>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</si>
  <si>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</si>
  <si>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</si>
  <si>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</si>
  <si>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</si>
  <si>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</si>
  <si>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</si>
  <si>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</si>
  <si>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</si>
  <si>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</si>
  <si>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</si>
  <si>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</si>
  <si>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</si>
  <si>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</si>
  <si>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</si>
  <si>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</si>
  <si>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</si>
  <si>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</si>
  <si>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</si>
  <si>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</si>
  <si>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</si>
  <si>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</si>
  <si>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</si>
  <si>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</si>
  <si>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</si>
  <si>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</si>
  <si>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</si>
  <si>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</si>
  <si>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</si>
  <si>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</si>
  <si>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</si>
  <si>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</si>
  <si>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</si>
  <si>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</si>
  <si>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</si>
  <si>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</si>
  <si>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</si>
  <si>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</si>
  <si>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</si>
  <si>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</si>
  <si>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</si>
  <si>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</si>
  <si>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</si>
  <si>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</si>
  <si>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</si>
  <si>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</si>
  <si>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</si>
  <si>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</si>
  <si>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</si>
  <si>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</si>
  <si>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</si>
  <si>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</si>
  <si>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</si>
  <si>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</si>
  <si>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</si>
  <si>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</si>
  <si>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</si>
  <si>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</si>
  <si>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</si>
  <si>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</si>
  <si>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</si>
  <si>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</si>
  <si>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</si>
  <si>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</si>
  <si>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</si>
  <si>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</si>
  <si>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</si>
  <si>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</si>
  <si>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</si>
  <si>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</si>
  <si>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</si>
  <si>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</si>
  <si>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</si>
  <si>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</si>
  <si>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</si>
  <si>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</si>
  <si>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</si>
  <si>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</si>
  <si>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</si>
  <si>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</si>
  <si>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</si>
  <si>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</si>
  <si>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</si>
  <si>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</si>
  <si>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</si>
  <si>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</si>
  <si>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</si>
  <si>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</si>
  <si>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</si>
  <si>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</si>
  <si>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</si>
  <si>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</si>
  <si>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</si>
  <si>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</si>
  <si>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</si>
  <si>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</si>
  <si>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</si>
  <si>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</si>
  <si>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</si>
  <si>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</si>
  <si>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</si>
  <si>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</si>
  <si>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</si>
  <si>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</si>
  <si>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</si>
  <si>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</si>
  <si>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</si>
  <si>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</si>
  <si>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</si>
  <si>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</si>
  <si>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</si>
  <si>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</si>
  <si>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</si>
  <si>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</si>
  <si>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</si>
  <si>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</si>
  <si>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</si>
  <si>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</si>
  <si>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</si>
  <si>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</si>
  <si>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</si>
  <si>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</si>
  <si>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</si>
  <si>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</si>
  <si>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</si>
  <si>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</si>
  <si>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</si>
  <si>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</si>
  <si>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</si>
  <si>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</si>
  <si>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</si>
  <si>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</si>
  <si>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</si>
  <si>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</si>
  <si>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</si>
  <si>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</si>
  <si>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</si>
  <si>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</si>
  <si>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</si>
  <si>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</si>
  <si>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</si>
  <si>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</si>
  <si>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</si>
  <si>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</si>
  <si>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</si>
  <si>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</si>
  <si>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</si>
  <si>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</si>
  <si>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</si>
  <si>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</si>
  <si>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</si>
  <si>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</si>
  <si>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</si>
  <si>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</si>
  <si>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</si>
  <si>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</si>
  <si>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</si>
  <si>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</si>
  <si>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</si>
  <si>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</si>
  <si>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</si>
  <si>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</si>
  <si>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</si>
  <si>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</si>
  <si>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</si>
  <si>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</si>
  <si>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</si>
  <si>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</si>
  <si>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</si>
  <si>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</si>
  <si>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</si>
  <si>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</si>
  <si>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</si>
  <si>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</si>
  <si>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</si>
  <si>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</si>
  <si>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</si>
  <si>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</si>
  <si>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</si>
  <si>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</si>
  <si>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</si>
  <si>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</si>
  <si>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</si>
  <si>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</si>
  <si>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</si>
  <si>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</si>
  <si>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</si>
  <si>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</si>
  <si>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</si>
  <si>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</si>
  <si>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</si>
  <si>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</si>
  <si>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</si>
  <si>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</si>
  <si>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</si>
  <si>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</si>
  <si>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</si>
  <si>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</si>
  <si>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</si>
  <si>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</si>
  <si>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</si>
  <si>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</si>
  <si>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</si>
  <si>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</si>
  <si>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</si>
  <si>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</si>
  <si>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</si>
  <si>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</si>
  <si>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</si>
  <si>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</si>
  <si>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</si>
  <si>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</si>
  <si>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</si>
  <si>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</si>
  <si>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</si>
  <si>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</si>
  <si>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</si>
  <si>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</si>
  <si>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</si>
  <si>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</si>
  <si>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</si>
  <si>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</si>
  <si>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</si>
  <si>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</si>
  <si>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</si>
  <si>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</si>
  <si>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</si>
  <si>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</si>
  <si>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</si>
  <si>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</si>
  <si>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</si>
  <si>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</si>
  <si>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</si>
  <si>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</si>
  <si>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</si>
  <si>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</si>
  <si>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</si>
  <si>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</si>
  <si>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</si>
  <si>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</si>
  <si>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</si>
  <si>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</si>
  <si>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</si>
  <si>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</si>
  <si>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</si>
  <si>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</si>
  <si>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</si>
  <si>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</si>
  <si>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</si>
  <si>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</si>
  <si>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</si>
  <si>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</si>
  <si>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</si>
  <si>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</si>
  <si>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</si>
  <si>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</si>
  <si>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</si>
  <si>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</si>
  <si>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</si>
  <si>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</si>
  <si>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</si>
  <si>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</si>
  <si>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</si>
  <si>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</si>
  <si>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</si>
  <si>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</si>
  <si>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</si>
  <si>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</si>
  <si>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</si>
  <si>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</si>
  <si>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</si>
  <si>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</si>
  <si>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</si>
  <si>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</si>
  <si>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</si>
  <si>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</si>
  <si>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</si>
  <si>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</si>
  <si>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</si>
  <si>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</si>
  <si>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</si>
  <si>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</si>
  <si>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</si>
  <si>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</si>
  <si>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</si>
  <si>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</si>
  <si>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</si>
  <si>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</si>
  <si>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</si>
  <si>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</si>
  <si>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</si>
  <si>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</si>
  <si>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</si>
  <si>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</si>
  <si>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</si>
  <si>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</si>
  <si>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</si>
  <si>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</si>
  <si>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</si>
  <si>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</si>
  <si>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</si>
  <si>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</si>
  <si>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</si>
  <si>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</si>
  <si>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</si>
  <si>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</si>
  <si>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</si>
  <si>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</si>
  <si>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</si>
  <si>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</si>
  <si>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</si>
  <si>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</si>
  <si>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</si>
  <si>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</si>
  <si>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</si>
  <si>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</si>
  <si>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</si>
  <si>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</si>
  <si>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</si>
  <si>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</si>
  <si>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</si>
  <si>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</si>
  <si>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</si>
  <si>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</si>
  <si>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</si>
  <si>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</si>
  <si>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</si>
  <si>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</si>
  <si>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</si>
  <si>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</si>
  <si>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</si>
  <si>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</si>
  <si>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</si>
  <si>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</si>
  <si>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</si>
  <si>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</si>
  <si>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</si>
  <si>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</si>
  <si>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</si>
  <si>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</si>
  <si>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</si>
  <si>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</si>
  <si>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</si>
  <si>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</si>
  <si>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</si>
  <si>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</si>
  <si>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</si>
  <si>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</si>
  <si>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</si>
  <si>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</si>
  <si>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</si>
  <si>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</si>
  <si>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</si>
  <si>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</si>
  <si>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</si>
  <si>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</si>
  <si>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</si>
  <si>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</si>
  <si>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</si>
  <si>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</si>
  <si>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</si>
  <si>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</si>
  <si>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</si>
  <si>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</si>
  <si>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</si>
  <si>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</si>
  <si>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</si>
  <si>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</si>
  <si>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</si>
  <si>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</si>
  <si>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</si>
  <si>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</si>
  <si>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</si>
  <si>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</si>
  <si>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</si>
  <si>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</si>
  <si>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</si>
  <si>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</si>
  <si>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</si>
  <si>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</si>
  <si>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</si>
  <si>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</si>
  <si>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</si>
  <si>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</si>
  <si>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</si>
  <si>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</si>
  <si>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</si>
  <si>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</si>
  <si>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</si>
  <si>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</si>
  <si>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</si>
  <si>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</si>
  <si>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</si>
  <si>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</si>
  <si>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</si>
  <si>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</si>
  <si>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</si>
  <si>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</si>
  <si>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</si>
  <si>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</si>
  <si>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</si>
  <si>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</si>
  <si>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</si>
  <si>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</si>
  <si>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</si>
  <si>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</si>
  <si>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</si>
  <si>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</si>
  <si>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</si>
  <si>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</si>
  <si>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</si>
  <si>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</si>
  <si>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</si>
  <si>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</si>
  <si>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</si>
  <si>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</si>
  <si>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</si>
  <si>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</si>
  <si>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</si>
  <si>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</si>
  <si>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</si>
  <si>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</si>
  <si>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</si>
  <si>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</si>
  <si>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</si>
  <si>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</si>
  <si>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</si>
  <si>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</si>
  <si>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</si>
  <si>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</si>
  <si>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</si>
  <si>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</si>
  <si>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</si>
  <si>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</si>
  <si>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</si>
  <si>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</si>
  <si>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</si>
  <si>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</si>
  <si>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</si>
  <si>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</si>
  <si>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</si>
  <si>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</si>
  <si>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</si>
  <si>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</si>
  <si>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</si>
  <si>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</si>
  <si>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</si>
  <si>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</si>
  <si>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</si>
  <si>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</si>
  <si>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</si>
  <si>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</si>
  <si>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</si>
  <si>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</si>
  <si>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</si>
  <si>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</si>
  <si>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</si>
  <si>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</si>
  <si>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</si>
  <si>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</si>
  <si>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</si>
  <si>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</si>
  <si>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</si>
  <si>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</si>
  <si>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</si>
  <si>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</si>
  <si>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</si>
  <si>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</si>
  <si>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</si>
  <si>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</si>
  <si>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</si>
  <si>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</si>
  <si>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</si>
  <si>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</si>
  <si>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</si>
  <si>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</si>
  <si>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</si>
  <si>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</si>
  <si>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</si>
  <si>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</si>
  <si>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</si>
  <si>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</si>
  <si>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</si>
  <si>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</si>
  <si>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</si>
  <si>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</si>
  <si>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</si>
  <si>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</si>
  <si>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</si>
  <si>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</si>
  <si>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</si>
  <si>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</si>
  <si>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</si>
  <si>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</si>
  <si>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</si>
  <si>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</si>
  <si>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</si>
  <si>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</si>
  <si>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</si>
  <si>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</si>
  <si>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</si>
  <si>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</si>
  <si>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</si>
  <si>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</si>
  <si>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</si>
  <si>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</si>
  <si>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</si>
  <si>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</si>
  <si>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</si>
  <si>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</si>
  <si>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</si>
  <si>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</si>
  <si>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</si>
  <si>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</si>
  <si>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</si>
  <si>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</si>
  <si>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</si>
  <si>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</si>
  <si>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</si>
  <si>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</si>
  <si>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</si>
  <si>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</si>
  <si>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</si>
  <si>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</si>
  <si>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</si>
  <si>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</si>
  <si>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</si>
  <si>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</si>
  <si>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</si>
  <si>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</si>
  <si>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</si>
  <si>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</si>
  <si>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</si>
  <si>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</si>
  <si>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</si>
  <si>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</si>
  <si>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</si>
  <si>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</si>
  <si>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</si>
  <si>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</si>
  <si>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</si>
  <si>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</si>
  <si>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</si>
  <si>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</si>
  <si>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</si>
  <si>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</si>
  <si>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</si>
  <si>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</si>
  <si>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</si>
  <si>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</si>
  <si>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</si>
  <si>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</si>
  <si>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</si>
  <si>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</si>
  <si>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</si>
  <si>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</si>
  <si>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</si>
  <si>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</si>
  <si>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</si>
  <si>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</si>
  <si>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</si>
  <si>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</si>
  <si>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</si>
  <si>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</si>
  <si>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</si>
  <si>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</si>
  <si>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</si>
  <si>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</si>
  <si>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</si>
  <si>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</si>
  <si>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</si>
  <si>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</si>
  <si>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</si>
  <si>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</si>
  <si>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</si>
  <si>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</si>
  <si>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</si>
  <si>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</si>
  <si>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</si>
  <si>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</si>
  <si>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</si>
  <si>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</si>
  <si>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</si>
  <si>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</si>
  <si>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</si>
  <si>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</si>
  <si>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</si>
  <si>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</si>
  <si>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</si>
  <si>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</si>
  <si>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</si>
  <si>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</si>
  <si>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</si>
  <si>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</si>
  <si>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</si>
  <si>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</si>
  <si>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</si>
  <si>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</si>
  <si>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</si>
  <si>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</si>
  <si>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</si>
  <si>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</si>
  <si>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</si>
  <si>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</si>
  <si>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</si>
  <si>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</si>
  <si>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</si>
  <si>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</si>
  <si>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</si>
  <si>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</si>
  <si>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</si>
  <si>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</si>
  <si>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</si>
  <si>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</si>
  <si>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</si>
  <si>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</si>
  <si>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</si>
  <si>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</si>
  <si>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</si>
  <si>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</si>
  <si>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</si>
  <si>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</si>
  <si>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</si>
  <si>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</si>
  <si>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</si>
  <si>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</si>
  <si>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</si>
  <si>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</si>
  <si>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</si>
  <si>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</si>
  <si>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</si>
  <si>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</si>
  <si>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</si>
  <si>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</si>
  <si>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</si>
  <si>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</si>
  <si>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</si>
  <si>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</si>
  <si>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</si>
  <si>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</si>
  <si>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</si>
  <si>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</si>
  <si>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</si>
  <si>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</si>
  <si>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</si>
  <si>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</si>
  <si>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</si>
  <si>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</si>
  <si>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</si>
  <si>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</si>
  <si>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</si>
  <si>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</si>
  <si>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</si>
  <si>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</si>
  <si>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</si>
  <si>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</si>
  <si>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</si>
  <si>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</si>
  <si>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</si>
  <si>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</si>
  <si>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</si>
  <si>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</si>
  <si>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</si>
  <si>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</si>
  <si>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</si>
  <si>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</si>
  <si>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</si>
  <si>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</si>
  <si>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</si>
  <si>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</si>
  <si>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</si>
  <si>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</si>
  <si>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</si>
  <si>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</si>
  <si>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</si>
  <si>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</si>
  <si>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</si>
  <si>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</si>
  <si>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</si>
  <si>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</si>
  <si>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</si>
  <si>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</si>
  <si>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</si>
  <si>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</si>
  <si>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</si>
  <si>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</si>
  <si>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</si>
  <si>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</si>
  <si>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</si>
  <si>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</si>
  <si>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</si>
  <si>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</si>
  <si>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</si>
  <si>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</si>
  <si>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</si>
  <si>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</si>
  <si>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</si>
  <si>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</si>
  <si>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</si>
  <si>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</si>
  <si>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</si>
  <si>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</si>
  <si>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</si>
  <si>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</si>
  <si>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</si>
  <si>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</si>
  <si>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</si>
  <si>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</si>
  <si>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</si>
  <si>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</si>
  <si>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</si>
  <si>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</si>
  <si>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</si>
  <si>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</si>
  <si>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</si>
  <si>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</si>
  <si>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</si>
  <si>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</si>
  <si>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</si>
  <si>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</si>
  <si>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</si>
  <si>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</si>
  <si>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</si>
  <si>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</si>
  <si>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</si>
  <si>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</si>
  <si>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</si>
  <si>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</si>
  <si>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</si>
  <si>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</si>
  <si>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</si>
  <si>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</si>
  <si>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</si>
  <si>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</si>
  <si>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</si>
  <si>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</si>
  <si>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</si>
  <si>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</si>
  <si>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</si>
  <si>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</si>
  <si>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</si>
  <si>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</si>
  <si>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</si>
  <si>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</si>
  <si>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</si>
  <si>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</si>
  <si>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</si>
  <si>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</si>
  <si>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</si>
  <si>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</si>
  <si>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</si>
  <si>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</si>
  <si>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</si>
  <si>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</si>
  <si>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</si>
  <si>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</si>
  <si>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</si>
  <si>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BENNING GROUP, LLC</t>
  </si>
  <si>
    <t>JENNY L. BLOCKER</t>
  </si>
  <si>
    <t>50 W. DOUGLAS STREET, SUITE 801</t>
  </si>
  <si>
    <t>FREEPORT</t>
  </si>
  <si>
    <t>815/235-3157</t>
  </si>
  <si>
    <t>IL</t>
  </si>
  <si>
    <t>815/235-3158</t>
  </si>
  <si>
    <t>066-004238</t>
  </si>
  <si>
    <t>jblocker@benninggroup.com</t>
  </si>
  <si>
    <t>CARROLL, JO DAVIESS</t>
  </si>
  <si>
    <t>27 S. STATE AVENUE, SUITE 101</t>
  </si>
  <si>
    <t>X</t>
  </si>
  <si>
    <t>815/599-1408</t>
  </si>
  <si>
    <t>815/297-9032</t>
  </si>
  <si>
    <t>AARON MERCIER</t>
  </si>
  <si>
    <t>amercier@roe8.com</t>
  </si>
  <si>
    <t xml:space="preserve">Warren, Lena-Winslow, River Ridge, Stockton * </t>
  </si>
  <si>
    <t xml:space="preserve">Account </t>
  </si>
  <si>
    <t xml:space="preserve">Page </t>
  </si>
  <si>
    <t xml:space="preserve">Fund </t>
  </si>
  <si>
    <t xml:space="preserve">Line </t>
  </si>
  <si>
    <t xml:space="preserve">Amount </t>
  </si>
  <si>
    <t>KRIS HALL</t>
  </si>
  <si>
    <t>Perkins CTE Federal Secondary School Program</t>
  </si>
  <si>
    <t>No contract obligations</t>
  </si>
  <si>
    <t>x</t>
  </si>
  <si>
    <t xml:space="preserve">* - Scales Mound, West Carroll, East Dubuque, Galena, Jo Daviess Carroll CTE Academy </t>
  </si>
  <si>
    <t>khall@cteacademy.net</t>
  </si>
  <si>
    <t>Eagle Ridge Vocational Del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</si>
</sst>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double">
        <color indexed="64"/>
      </bottom>
      <diagonal/>
    </border>
  </borders>
  <cellStyleXfs count="2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44" fontId="136" fillId="0" borderId="0" applyFont="0" applyFill="0" applyBorder="0" applyAlignment="0" applyProtection="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73" fillId="0" borderId="0" xfId="0" applyFont="1" applyBorder="1" applyAlignment="1">
      <alignment horizontal="center"/>
    </xf>
    <xf numFmtId="0" fontId="55" fillId="0" borderId="0" xfId="0" applyFont="1" applyAlignment="1">
      <alignment horizontal="center"/>
    </xf>
    <xf numFmtId="44" fontId="55" fillId="0" borderId="166" xfId="19" applyFont="1" applyBorder="1"/>
    <xf numFmtId="0" fontId="1" fillId="0" borderId="158" xfId="17" applyFont="1" applyBorder="1" applyAlignment="1" applyProtection="1">
      <alignment horizontal="left" vertical="top" wrapText="1"/>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20">
    <cellStyle name="Comma" xfId="1" builtinId="3"/>
    <cellStyle name="Currency" xfId="19" builtinId="4"/>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1688523</xdr:colOff>
          <xdr:row>3</xdr:row>
          <xdr:rowOff>103909</xdr:rowOff>
        </xdr:from>
        <xdr:to>
          <xdr:col>1</xdr:col>
          <xdr:colOff>2600325</xdr:colOff>
          <xdr:row>8</xdr:row>
          <xdr:rowOff>63211</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28576</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5" t="s">
        <v>425</v>
      </c>
      <c r="J1" s="2036"/>
      <c r="K1" s="2036"/>
      <c r="L1" s="2036"/>
      <c r="M1" s="2036"/>
      <c r="N1" s="2036"/>
      <c r="O1" s="2036"/>
      <c r="P1" s="2036"/>
      <c r="Q1" s="2036"/>
      <c r="R1" s="2036"/>
      <c r="S1" s="2036"/>
    </row>
    <row r="2" spans="1:28" ht="12" customHeight="1" x14ac:dyDescent="0.2">
      <c r="A2" s="47" t="s">
        <v>1684</v>
      </c>
      <c r="D2" s="48"/>
      <c r="I2" s="2037" t="s">
        <v>1036</v>
      </c>
      <c r="J2" s="2036"/>
      <c r="K2" s="2036"/>
      <c r="L2" s="2036"/>
      <c r="M2" s="2036"/>
      <c r="N2" s="2036"/>
      <c r="O2" s="2036"/>
      <c r="P2" s="2036"/>
      <c r="Q2" s="2036"/>
      <c r="R2" s="2036"/>
      <c r="S2" s="2036"/>
    </row>
    <row r="3" spans="1:28" ht="12" customHeight="1" x14ac:dyDescent="0.2">
      <c r="A3" s="155" t="s">
        <v>1685</v>
      </c>
      <c r="B3" s="156"/>
      <c r="C3" s="156"/>
      <c r="D3" s="157"/>
      <c r="I3" s="2037" t="s">
        <v>54</v>
      </c>
      <c r="J3" s="2036"/>
      <c r="K3" s="2036"/>
      <c r="L3" s="2036"/>
      <c r="M3" s="2036"/>
      <c r="N3" s="2036"/>
      <c r="O3" s="2036"/>
      <c r="P3" s="2036"/>
      <c r="Q3" s="2036"/>
      <c r="R3" s="2036"/>
      <c r="S3" s="2036"/>
    </row>
    <row r="4" spans="1:28" ht="12" customHeight="1" x14ac:dyDescent="0.2">
      <c r="A4" s="37"/>
      <c r="I4" s="2037" t="s">
        <v>545</v>
      </c>
      <c r="J4" s="2036"/>
      <c r="K4" s="2036"/>
      <c r="L4" s="2036"/>
      <c r="M4" s="2036"/>
      <c r="N4" s="2036"/>
      <c r="O4" s="2036"/>
      <c r="P4" s="2036"/>
      <c r="Q4" s="2036"/>
      <c r="R4" s="2036"/>
      <c r="S4" s="2036"/>
    </row>
    <row r="5" spans="1:28" ht="14.1" customHeight="1" x14ac:dyDescent="0.2">
      <c r="B5" s="104"/>
      <c r="C5" s="26" t="s">
        <v>966</v>
      </c>
      <c r="D5" s="84"/>
      <c r="E5" s="84"/>
      <c r="H5" s="38"/>
      <c r="I5" s="2044" t="s">
        <v>701</v>
      </c>
      <c r="J5" s="1989"/>
      <c r="K5" s="1989"/>
      <c r="L5" s="1989"/>
      <c r="M5" s="1989"/>
      <c r="N5" s="1989"/>
      <c r="O5" s="1989"/>
      <c r="P5" s="1989"/>
      <c r="Q5" s="1989"/>
      <c r="R5" s="1989"/>
      <c r="S5" s="1989"/>
    </row>
    <row r="6" spans="1:28" ht="14.1" customHeight="1" x14ac:dyDescent="0.2">
      <c r="B6" s="104" t="s">
        <v>2088</v>
      </c>
      <c r="C6" s="26" t="s">
        <v>967</v>
      </c>
      <c r="D6" s="84"/>
      <c r="E6" s="84"/>
      <c r="I6" s="2043" t="s">
        <v>938</v>
      </c>
      <c r="J6" s="1989"/>
      <c r="K6" s="1989"/>
      <c r="L6" s="1989"/>
      <c r="M6" s="1989"/>
      <c r="N6" s="1989"/>
      <c r="O6" s="1989"/>
      <c r="P6" s="1989"/>
      <c r="Q6" s="1989"/>
      <c r="R6" s="1989"/>
      <c r="S6" s="1989"/>
    </row>
    <row r="7" spans="1:28" ht="12.2" customHeight="1" x14ac:dyDescent="0.2">
      <c r="I7" s="2038">
        <v>43281</v>
      </c>
      <c r="J7" s="2039"/>
      <c r="K7" s="2039"/>
      <c r="L7" s="2039"/>
      <c r="M7" s="2039"/>
      <c r="N7" s="2039"/>
      <c r="O7" s="2039"/>
      <c r="P7" s="2039"/>
      <c r="Q7" s="2039"/>
      <c r="R7" s="2039"/>
      <c r="S7" s="203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0" t="s">
        <v>695</v>
      </c>
      <c r="J9" s="2041"/>
      <c r="K9" s="2041"/>
      <c r="L9" s="2041"/>
      <c r="M9" s="2041"/>
      <c r="N9" s="2041"/>
      <c r="O9" s="2041"/>
      <c r="P9" s="2041"/>
      <c r="Q9" s="2041"/>
      <c r="R9" s="2041"/>
      <c r="S9" s="2042"/>
      <c r="T9" s="1985" t="s">
        <v>554</v>
      </c>
      <c r="U9" s="1986"/>
      <c r="V9" s="1986"/>
      <c r="W9" s="1986"/>
      <c r="X9" s="1986"/>
      <c r="Y9" s="1986"/>
      <c r="Z9" s="1986"/>
      <c r="AA9" s="1987"/>
    </row>
    <row r="10" spans="1:28" ht="13.5" customHeight="1" x14ac:dyDescent="0.2">
      <c r="A10" s="1994" t="s">
        <v>696</v>
      </c>
      <c r="B10" s="1995"/>
      <c r="C10" s="1995"/>
      <c r="D10" s="1995"/>
      <c r="E10" s="1995"/>
      <c r="F10" s="1995"/>
      <c r="G10" s="1995"/>
      <c r="H10" s="1996"/>
      <c r="I10" s="29"/>
      <c r="J10" s="30"/>
      <c r="K10" s="28"/>
      <c r="R10" s="30"/>
      <c r="S10" s="30"/>
      <c r="T10" s="1988"/>
      <c r="U10" s="1989"/>
      <c r="V10" s="1989"/>
      <c r="W10" s="1989"/>
      <c r="X10" s="1989"/>
      <c r="Y10" s="1989"/>
      <c r="Z10" s="1989"/>
      <c r="AA10" s="1990"/>
    </row>
    <row r="11" spans="1:28" ht="14.25" customHeight="1" x14ac:dyDescent="0.2">
      <c r="A11" s="1997" t="s">
        <v>1012</v>
      </c>
      <c r="B11" s="1998"/>
      <c r="C11" s="1998"/>
      <c r="D11" s="1998"/>
      <c r="E11" s="1998"/>
      <c r="F11" s="1998"/>
      <c r="G11" s="1998"/>
      <c r="H11" s="1999"/>
      <c r="I11" s="27"/>
      <c r="J11" s="74"/>
      <c r="K11" s="27"/>
      <c r="O11" s="148" t="s">
        <v>2088</v>
      </c>
      <c r="P11" s="100" t="s">
        <v>210</v>
      </c>
      <c r="Q11" s="30"/>
      <c r="R11" s="28"/>
      <c r="S11" s="27"/>
      <c r="T11" s="1991"/>
      <c r="U11" s="1992"/>
      <c r="V11" s="1992"/>
      <c r="W11" s="1992"/>
      <c r="X11" s="1992"/>
      <c r="Y11" s="1992"/>
      <c r="Z11" s="1992"/>
      <c r="AA11" s="1993"/>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5">
        <v>8000000046</v>
      </c>
      <c r="B13" s="2006"/>
      <c r="C13" s="2006"/>
      <c r="D13" s="2006"/>
      <c r="E13" s="2006"/>
      <c r="F13" s="2006"/>
      <c r="G13" s="2006"/>
      <c r="H13" s="2007"/>
      <c r="I13" s="31"/>
      <c r="J13" s="30"/>
      <c r="K13" s="28"/>
      <c r="L13" s="30"/>
      <c r="M13" s="30"/>
      <c r="N13" s="30"/>
      <c r="O13" s="30"/>
      <c r="P13" s="30"/>
      <c r="Q13" s="30"/>
      <c r="R13" s="30"/>
      <c r="S13" s="30"/>
      <c r="T13" s="2010" t="s">
        <v>2077</v>
      </c>
      <c r="U13" s="2011"/>
      <c r="V13" s="2011"/>
      <c r="W13" s="2011"/>
      <c r="X13" s="2011"/>
      <c r="Y13" s="2012"/>
      <c r="Z13" s="2012"/>
      <c r="AA13" s="201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3" t="s">
        <v>2086</v>
      </c>
      <c r="B15" s="2008"/>
      <c r="C15" s="2008"/>
      <c r="D15" s="2008"/>
      <c r="E15" s="2008"/>
      <c r="F15" s="2008"/>
      <c r="G15" s="2008"/>
      <c r="H15" s="2009"/>
      <c r="T15" s="1971" t="s">
        <v>2078</v>
      </c>
      <c r="U15" s="1972"/>
      <c r="V15" s="1972"/>
      <c r="W15" s="1972"/>
      <c r="X15" s="1972"/>
      <c r="Y15" s="2014"/>
      <c r="Z15" s="2014"/>
      <c r="AA15" s="201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3" t="s">
        <v>2105</v>
      </c>
      <c r="B17" s="2033"/>
      <c r="C17" s="2033"/>
      <c r="D17" s="2033"/>
      <c r="E17" s="2033"/>
      <c r="F17" s="2033"/>
      <c r="G17" s="2033"/>
      <c r="H17" s="2034"/>
      <c r="T17" s="2020" t="s">
        <v>2079</v>
      </c>
      <c r="U17" s="2021"/>
      <c r="V17" s="2021"/>
      <c r="W17" s="2021"/>
      <c r="X17" s="2021"/>
      <c r="Y17" s="2021"/>
      <c r="Z17" s="2021"/>
      <c r="AA17" s="2022"/>
    </row>
    <row r="18" spans="1:27" ht="13.5" customHeight="1" x14ac:dyDescent="0.2">
      <c r="A18" s="85" t="s">
        <v>551</v>
      </c>
      <c r="B18" s="76"/>
      <c r="C18" s="72"/>
      <c r="D18" s="76"/>
      <c r="E18" s="76"/>
      <c r="F18" s="76"/>
      <c r="G18" s="76"/>
      <c r="H18" s="56"/>
      <c r="I18" s="2030" t="s">
        <v>697</v>
      </c>
      <c r="J18" s="2031"/>
      <c r="K18" s="2031"/>
      <c r="L18" s="2031"/>
      <c r="M18" s="2031"/>
      <c r="N18" s="2031"/>
      <c r="O18" s="2031"/>
      <c r="P18" s="2031"/>
      <c r="Q18" s="2031"/>
      <c r="R18" s="2031"/>
      <c r="S18" s="2032"/>
      <c r="T18" s="85" t="s">
        <v>735</v>
      </c>
      <c r="U18" s="51"/>
      <c r="V18" s="72"/>
      <c r="W18" s="50"/>
      <c r="X18" s="85" t="s">
        <v>284</v>
      </c>
      <c r="Y18" s="81"/>
      <c r="Z18" s="159" t="s">
        <v>698</v>
      </c>
      <c r="AA18" s="46"/>
    </row>
    <row r="19" spans="1:27" ht="13.5" customHeight="1" x14ac:dyDescent="0.2">
      <c r="A19" s="2003" t="s">
        <v>2087</v>
      </c>
      <c r="B19" s="2004"/>
      <c r="C19" s="2004"/>
      <c r="D19" s="2004"/>
      <c r="E19" s="2004"/>
      <c r="F19" s="2004"/>
      <c r="G19" s="2004"/>
      <c r="H19" s="2002"/>
      <c r="I19" s="30"/>
      <c r="J19" s="99"/>
      <c r="K19" s="40"/>
      <c r="L19" s="38"/>
      <c r="M19" s="112" t="s">
        <v>333</v>
      </c>
      <c r="P19" s="27"/>
      <c r="Q19" s="27"/>
      <c r="R19" s="27"/>
      <c r="S19" s="31"/>
      <c r="T19" s="2003" t="s">
        <v>2080</v>
      </c>
      <c r="U19" s="2001"/>
      <c r="V19" s="2001"/>
      <c r="W19" s="2002"/>
      <c r="X19" s="2018" t="s">
        <v>2082</v>
      </c>
      <c r="Y19" s="2019"/>
      <c r="Z19" s="2016">
        <v>61032</v>
      </c>
      <c r="AA19" s="201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0" t="s">
        <v>2080</v>
      </c>
      <c r="B21" s="2001"/>
      <c r="C21" s="2001"/>
      <c r="D21" s="2001"/>
      <c r="E21" s="2001"/>
      <c r="F21" s="2001"/>
      <c r="G21" s="2001"/>
      <c r="H21" s="2002"/>
      <c r="I21" s="2026" t="s">
        <v>699</v>
      </c>
      <c r="J21" s="1989"/>
      <c r="K21" s="1989"/>
      <c r="L21" s="1989"/>
      <c r="M21" s="1989"/>
      <c r="N21" s="1989"/>
      <c r="O21" s="1989"/>
      <c r="P21" s="1989"/>
      <c r="Q21" s="1989"/>
      <c r="R21" s="1989"/>
      <c r="S21" s="1990"/>
      <c r="T21" s="1968" t="s">
        <v>2081</v>
      </c>
      <c r="U21" s="1969"/>
      <c r="V21" s="1969"/>
      <c r="W21" s="1969"/>
      <c r="X21" s="1982" t="s">
        <v>2083</v>
      </c>
      <c r="Y21" s="1983"/>
      <c r="Z21" s="1983"/>
      <c r="AA21" s="1984"/>
    </row>
    <row r="22" spans="1:27" ht="13.5" customHeight="1" x14ac:dyDescent="0.2">
      <c r="A22" s="87" t="s">
        <v>552</v>
      </c>
      <c r="B22" s="59"/>
      <c r="C22" s="59"/>
      <c r="D22" s="59"/>
      <c r="E22" s="59"/>
      <c r="F22" s="59"/>
      <c r="G22" s="59"/>
      <c r="H22" s="60"/>
      <c r="I22" s="2027" t="s">
        <v>1504</v>
      </c>
      <c r="J22" s="2028"/>
      <c r="K22" s="2028"/>
      <c r="L22" s="2028"/>
      <c r="M22" s="2028"/>
      <c r="N22" s="2028"/>
      <c r="O22" s="2028"/>
      <c r="P22" s="2028"/>
      <c r="Q22" s="2028"/>
      <c r="R22" s="2028"/>
      <c r="S22" s="2029"/>
      <c r="T22" s="85" t="s">
        <v>1596</v>
      </c>
      <c r="U22" s="51"/>
      <c r="V22" s="72"/>
      <c r="W22" s="51"/>
      <c r="X22" s="160" t="s">
        <v>1385</v>
      </c>
      <c r="Z22" s="45"/>
      <c r="AA22" s="46"/>
    </row>
    <row r="23" spans="1:27" ht="13.5" customHeight="1" x14ac:dyDescent="0.2">
      <c r="A23" s="2023"/>
      <c r="B23" s="2024"/>
      <c r="C23" s="2024"/>
      <c r="D23" s="2024"/>
      <c r="E23" s="2024"/>
      <c r="F23" s="2024"/>
      <c r="G23" s="2024"/>
      <c r="H23" s="2025"/>
      <c r="T23" s="1963" t="s">
        <v>2084</v>
      </c>
      <c r="U23" s="1964"/>
      <c r="V23" s="1964"/>
      <c r="W23" s="1964"/>
      <c r="X23" s="1979">
        <v>43434</v>
      </c>
      <c r="Y23" s="1980"/>
      <c r="Z23" s="1980"/>
      <c r="AA23" s="1981"/>
    </row>
    <row r="24" spans="1:27" ht="14.1" customHeight="1" x14ac:dyDescent="0.2">
      <c r="A24" s="88" t="s">
        <v>698</v>
      </c>
      <c r="B24" s="49"/>
      <c r="C24" s="49"/>
      <c r="D24" s="49"/>
      <c r="E24" s="49"/>
      <c r="F24" s="49"/>
      <c r="G24" s="49"/>
      <c r="H24" s="61"/>
      <c r="J24" s="2065" t="str">
        <f>IF(B5="x",IF(AUDITCHECK!D29="AFR form Incomplete.","",IF(AUDITCHECK!D29="Deficit reduction plan is required.","School District must complete a deficit reduction plan in the 2018-2019 Budget",)),"")</f>
        <v/>
      </c>
      <c r="K24" s="2065"/>
      <c r="L24" s="2065"/>
      <c r="M24" s="2065"/>
      <c r="N24" s="2065"/>
      <c r="O24" s="2065"/>
      <c r="P24" s="2065"/>
      <c r="Q24" s="2065"/>
      <c r="R24" s="2065"/>
      <c r="S24" s="2066"/>
      <c r="T24" s="105" t="s">
        <v>552</v>
      </c>
      <c r="U24" s="106"/>
      <c r="V24" s="106"/>
      <c r="W24" s="106"/>
      <c r="X24" s="107"/>
      <c r="Y24" s="107"/>
      <c r="Z24" s="107"/>
      <c r="AA24" s="108"/>
    </row>
    <row r="25" spans="1:27" ht="14.1" customHeight="1" x14ac:dyDescent="0.2">
      <c r="A25" s="2000">
        <v>61032</v>
      </c>
      <c r="B25" s="2001"/>
      <c r="C25" s="2001"/>
      <c r="D25" s="2001"/>
      <c r="E25" s="2001"/>
      <c r="F25" s="2001"/>
      <c r="G25" s="2001"/>
      <c r="H25" s="2002"/>
      <c r="I25" s="113"/>
      <c r="J25" s="2067"/>
      <c r="K25" s="2067"/>
      <c r="L25" s="2067"/>
      <c r="M25" s="2067"/>
      <c r="N25" s="2067"/>
      <c r="O25" s="2067"/>
      <c r="P25" s="2067"/>
      <c r="Q25" s="2067"/>
      <c r="R25" s="2067"/>
      <c r="S25" s="2068"/>
      <c r="T25" s="1960" t="s">
        <v>2085</v>
      </c>
      <c r="U25" s="1961"/>
      <c r="V25" s="1961"/>
      <c r="W25" s="1961"/>
      <c r="X25" s="1961"/>
      <c r="Y25" s="1961"/>
      <c r="Z25" s="1961"/>
      <c r="AA25" s="196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8" t="s">
        <v>1591</v>
      </c>
      <c r="J27" s="2031"/>
      <c r="K27" s="2031"/>
      <c r="L27" s="2031"/>
      <c r="M27" s="2031"/>
      <c r="N27" s="2031"/>
      <c r="O27" s="2031"/>
      <c r="P27" s="2031"/>
      <c r="Q27" s="2031"/>
      <c r="R27" s="2031"/>
      <c r="S27" s="203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2088</v>
      </c>
      <c r="M29" s="40" t="s">
        <v>101</v>
      </c>
      <c r="N29" s="32" t="s">
        <v>1604</v>
      </c>
      <c r="O29" s="32"/>
      <c r="P29" s="32"/>
      <c r="Q29" s="32"/>
      <c r="R29" s="32"/>
      <c r="S29" s="123"/>
      <c r="T29" s="6"/>
      <c r="U29" s="6"/>
      <c r="V29" s="6"/>
      <c r="W29" s="6"/>
      <c r="X29" s="6"/>
      <c r="Y29" s="6"/>
      <c r="Z29" s="6"/>
      <c r="AA29" s="132"/>
    </row>
    <row r="30" spans="1:27" ht="13.5" customHeight="1" x14ac:dyDescent="0.2">
      <c r="A30" s="153"/>
      <c r="B30" s="136" t="s">
        <v>2088</v>
      </c>
      <c r="C30" s="124" t="s">
        <v>1226</v>
      </c>
      <c r="D30" s="28"/>
      <c r="E30" s="28"/>
      <c r="F30" s="140"/>
      <c r="G30" s="114"/>
      <c r="H30" s="114"/>
      <c r="I30" s="54"/>
      <c r="J30" s="102"/>
      <c r="K30" s="28" t="s">
        <v>597</v>
      </c>
      <c r="L30" s="148" t="s">
        <v>2088</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2088</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4"/>
      <c r="Q35" s="2001"/>
      <c r="R35" s="200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3" t="s">
        <v>2099</v>
      </c>
      <c r="B38" s="2033"/>
      <c r="C38" s="2033"/>
      <c r="D38" s="2033"/>
      <c r="E38" s="2033"/>
      <c r="F38" s="2001"/>
      <c r="G38" s="2001"/>
      <c r="H38" s="2002"/>
      <c r="I38" s="2052"/>
      <c r="J38" s="1972"/>
      <c r="K38" s="1972"/>
      <c r="L38" s="1972"/>
      <c r="M38" s="1972"/>
      <c r="N38" s="1972"/>
      <c r="O38" s="1972"/>
      <c r="P38" s="1973"/>
      <c r="Q38" s="1973"/>
      <c r="R38" s="1973"/>
      <c r="S38" s="1974"/>
      <c r="T38" s="1971" t="s">
        <v>2091</v>
      </c>
      <c r="U38" s="1972"/>
      <c r="V38" s="1972"/>
      <c r="W38" s="1972"/>
      <c r="X38" s="1973"/>
      <c r="Y38" s="1973"/>
      <c r="Z38" s="1973"/>
      <c r="AA38" s="1974"/>
    </row>
    <row r="39" spans="1:27" ht="12" customHeight="1" x14ac:dyDescent="0.2">
      <c r="A39" s="2056" t="s">
        <v>552</v>
      </c>
      <c r="B39" s="2057"/>
      <c r="C39" s="72"/>
      <c r="D39" s="69"/>
      <c r="E39" s="69"/>
      <c r="F39" s="79"/>
      <c r="G39" s="69"/>
      <c r="H39" s="56"/>
      <c r="I39" s="2056" t="s">
        <v>552</v>
      </c>
      <c r="J39" s="2057"/>
      <c r="K39" s="2057"/>
      <c r="L39" s="2057"/>
      <c r="M39" s="2057"/>
      <c r="N39" s="67"/>
      <c r="O39" s="72"/>
      <c r="P39" s="72"/>
      <c r="Q39" s="78"/>
      <c r="R39" s="72"/>
      <c r="S39" s="56"/>
      <c r="T39" s="72" t="s">
        <v>552</v>
      </c>
      <c r="U39" s="51"/>
      <c r="V39" s="72"/>
      <c r="W39" s="50"/>
      <c r="X39" s="78"/>
      <c r="Y39" s="45"/>
      <c r="Z39" s="45"/>
      <c r="AA39" s="46"/>
    </row>
    <row r="40" spans="1:27" ht="13.5" customHeight="1" x14ac:dyDescent="0.2">
      <c r="A40" s="2059" t="s">
        <v>2104</v>
      </c>
      <c r="B40" s="2060"/>
      <c r="C40" s="2061"/>
      <c r="D40" s="2061"/>
      <c r="E40" s="2061"/>
      <c r="F40" s="2062"/>
      <c r="G40" s="2062"/>
      <c r="H40" s="2063"/>
      <c r="I40" s="1975"/>
      <c r="J40" s="1977"/>
      <c r="K40" s="1977"/>
      <c r="L40" s="1977"/>
      <c r="M40" s="1977"/>
      <c r="N40" s="1977"/>
      <c r="O40" s="1977"/>
      <c r="P40" s="1977"/>
      <c r="Q40" s="1977"/>
      <c r="R40" s="1977"/>
      <c r="S40" s="1978"/>
      <c r="T40" s="1975" t="s">
        <v>2092</v>
      </c>
      <c r="U40" s="1976"/>
      <c r="V40" s="1977"/>
      <c r="W40" s="1977"/>
      <c r="X40" s="1977"/>
      <c r="Y40" s="1977"/>
      <c r="Z40" s="1977"/>
      <c r="AA40" s="197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9" t="s">
        <v>2089</v>
      </c>
      <c r="B42" s="2050"/>
      <c r="C42" s="2051"/>
      <c r="D42" s="2064" t="s">
        <v>2090</v>
      </c>
      <c r="E42" s="2050"/>
      <c r="F42" s="2050"/>
      <c r="G42" s="2050"/>
      <c r="H42" s="2051"/>
      <c r="I42" s="1970"/>
      <c r="J42" s="1966"/>
      <c r="K42" s="1966"/>
      <c r="L42" s="1966"/>
      <c r="M42" s="1966"/>
      <c r="N42" s="1966"/>
      <c r="O42" s="1967"/>
      <c r="P42" s="1965"/>
      <c r="Q42" s="1966"/>
      <c r="R42" s="1966"/>
      <c r="S42" s="1967"/>
      <c r="T42" s="1970" t="s">
        <v>2089</v>
      </c>
      <c r="U42" s="1966"/>
      <c r="V42" s="1966"/>
      <c r="W42" s="1967"/>
      <c r="X42" s="1965" t="s">
        <v>2090</v>
      </c>
      <c r="Y42" s="1966"/>
      <c r="Z42" s="1966"/>
      <c r="AA42" s="1967"/>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3"/>
      <c r="B44" s="2054"/>
      <c r="C44" s="2054"/>
      <c r="D44" s="2054"/>
      <c r="E44" s="2054"/>
      <c r="F44" s="2054"/>
      <c r="G44" s="2054"/>
      <c r="H44" s="2055"/>
      <c r="I44" s="2045"/>
      <c r="J44" s="2047"/>
      <c r="K44" s="2047"/>
      <c r="L44" s="2047"/>
      <c r="M44" s="2047"/>
      <c r="N44" s="2047"/>
      <c r="O44" s="2047"/>
      <c r="P44" s="2047"/>
      <c r="Q44" s="2047"/>
      <c r="R44" s="2047"/>
      <c r="S44" s="2048"/>
      <c r="T44" s="2045"/>
      <c r="U44" s="2046"/>
      <c r="V44" s="2046"/>
      <c r="W44" s="2046"/>
      <c r="X44" s="2046"/>
      <c r="Y44" s="2046"/>
      <c r="Z44" s="2047"/>
      <c r="AA44" s="204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38" sqref="A38:H38"/>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1905</v>
      </c>
      <c r="B2" s="1550" t="s">
        <v>2037</v>
      </c>
      <c r="C2" s="715" t="s">
        <v>1910</v>
      </c>
      <c r="D2" s="715" t="s">
        <v>1911</v>
      </c>
      <c r="E2" s="715" t="s">
        <v>1912</v>
      </c>
      <c r="F2" s="715" t="s">
        <v>1913</v>
      </c>
    </row>
    <row r="3" spans="1:6" ht="12" customHeight="1" x14ac:dyDescent="0.2">
      <c r="A3" s="2203"/>
      <c r="B3" s="1547"/>
      <c r="C3" s="1548"/>
      <c r="D3" s="1549" t="s">
        <v>274</v>
      </c>
      <c r="E3" s="1548"/>
      <c r="F3" s="1549" t="s">
        <v>275</v>
      </c>
    </row>
    <row r="4" spans="1:6" ht="13.7" customHeight="1" x14ac:dyDescent="0.2">
      <c r="A4" s="716" t="s">
        <v>1217</v>
      </c>
      <c r="B4" s="1771">
        <f>'Revenues 9-14'!C5</f>
        <v>0</v>
      </c>
      <c r="C4" s="1546"/>
      <c r="D4" s="1774">
        <f>B4-C4</f>
        <v>0</v>
      </c>
      <c r="E4" s="1546"/>
      <c r="F4" s="1774">
        <f>E4-C4</f>
        <v>0</v>
      </c>
    </row>
    <row r="5" spans="1:6" ht="13.7" customHeight="1" x14ac:dyDescent="0.2">
      <c r="A5" s="716" t="s">
        <v>925</v>
      </c>
      <c r="B5" s="1772">
        <f>'Revenues 9-14'!D5</f>
        <v>0</v>
      </c>
      <c r="C5" s="585"/>
      <c r="D5" s="1775">
        <f t="shared" ref="D5:D18" si="0">B5-C5</f>
        <v>0</v>
      </c>
      <c r="E5" s="585"/>
      <c r="F5" s="1775">
        <f>E5-C5</f>
        <v>0</v>
      </c>
    </row>
    <row r="6" spans="1:6" ht="13.7" customHeight="1" x14ac:dyDescent="0.2">
      <c r="A6" s="716" t="s">
        <v>431</v>
      </c>
      <c r="B6" s="1772">
        <f>'Revenues 9-14'!E5</f>
        <v>0</v>
      </c>
      <c r="C6" s="585"/>
      <c r="D6" s="1775">
        <f t="shared" si="0"/>
        <v>0</v>
      </c>
      <c r="E6" s="585"/>
      <c r="F6" s="1775">
        <f t="shared" ref="F6:F18" si="1">E6-C6</f>
        <v>0</v>
      </c>
    </row>
    <row r="7" spans="1:6" ht="13.7" customHeight="1" x14ac:dyDescent="0.2">
      <c r="A7" s="716" t="s">
        <v>157</v>
      </c>
      <c r="B7" s="1772">
        <f>'Revenues 9-14'!F5</f>
        <v>0</v>
      </c>
      <c r="C7" s="585"/>
      <c r="D7" s="1775">
        <f t="shared" si="0"/>
        <v>0</v>
      </c>
      <c r="E7" s="585"/>
      <c r="F7" s="1775">
        <f t="shared" si="1"/>
        <v>0</v>
      </c>
    </row>
    <row r="8" spans="1:6" ht="13.7" customHeight="1" x14ac:dyDescent="0.2">
      <c r="A8" s="716" t="s">
        <v>1241</v>
      </c>
      <c r="B8" s="1772">
        <f>'Revenues 9-14'!G5</f>
        <v>0</v>
      </c>
      <c r="C8" s="585"/>
      <c r="D8" s="1775">
        <f t="shared" si="0"/>
        <v>0</v>
      </c>
      <c r="E8" s="585"/>
      <c r="F8" s="1775">
        <f t="shared" si="1"/>
        <v>0</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0</v>
      </c>
      <c r="C10" s="585"/>
      <c r="D10" s="1775">
        <f t="shared" si="0"/>
        <v>0</v>
      </c>
      <c r="E10" s="585"/>
      <c r="F10" s="1775">
        <f t="shared" si="1"/>
        <v>0</v>
      </c>
    </row>
    <row r="11" spans="1:6" x14ac:dyDescent="0.2">
      <c r="A11" s="716" t="s">
        <v>429</v>
      </c>
      <c r="B11" s="1772">
        <f>'Revenues 9-14'!J5</f>
        <v>0</v>
      </c>
      <c r="C11" s="585"/>
      <c r="D11" s="1775">
        <f t="shared" si="0"/>
        <v>0</v>
      </c>
      <c r="E11" s="585"/>
      <c r="F11" s="1775">
        <f t="shared" si="1"/>
        <v>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0</v>
      </c>
      <c r="C14" s="585"/>
      <c r="D14" s="1775">
        <f t="shared" si="0"/>
        <v>0</v>
      </c>
      <c r="E14" s="585"/>
      <c r="F14" s="1775">
        <f t="shared" si="1"/>
        <v>0</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0</v>
      </c>
      <c r="C16" s="585"/>
      <c r="D16" s="1775">
        <f t="shared" si="0"/>
        <v>0</v>
      </c>
      <c r="E16" s="585"/>
      <c r="F16" s="1775">
        <f t="shared" si="1"/>
        <v>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0</v>
      </c>
      <c r="C19" s="1773">
        <f>SUM(C4:C18)</f>
        <v>0</v>
      </c>
      <c r="D19" s="1773">
        <f>SUM(D4:D18)</f>
        <v>0</v>
      </c>
      <c r="E19" s="1773">
        <f>SUM(E4:E18)</f>
        <v>0</v>
      </c>
      <c r="F19" s="1773">
        <f>SUM(F4:F18)</f>
        <v>0</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40" colorId="8" zoomScale="110" zoomScaleNormal="110" workbookViewId="0">
      <selection activeCell="A38" sqref="A38:H38"/>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650</v>
      </c>
      <c r="B1" s="2209"/>
      <c r="C1" s="722"/>
    </row>
    <row r="2" spans="1:7" ht="33.75" x14ac:dyDescent="0.2">
      <c r="A2" s="2217" t="s">
        <v>1905</v>
      </c>
      <c r="B2" s="2218"/>
      <c r="C2" s="1909" t="s">
        <v>2038</v>
      </c>
      <c r="D2" s="724" t="s">
        <v>2045</v>
      </c>
      <c r="E2" s="724" t="s">
        <v>2046</v>
      </c>
      <c r="F2" s="1909" t="s">
        <v>2039</v>
      </c>
    </row>
    <row r="3" spans="1:7" ht="15.75" customHeight="1" x14ac:dyDescent="0.2">
      <c r="A3" s="2221" t="s">
        <v>1176</v>
      </c>
      <c r="B3" s="2222"/>
      <c r="C3" s="2210"/>
      <c r="D3" s="2211"/>
      <c r="E3" s="2211"/>
      <c r="F3" s="2212"/>
    </row>
    <row r="4" spans="1:7" ht="12.75" customHeight="1" thickBot="1" x14ac:dyDescent="0.25">
      <c r="A4" s="2219" t="s">
        <v>651</v>
      </c>
      <c r="B4" s="2220"/>
      <c r="C4" s="581"/>
      <c r="D4" s="581"/>
      <c r="E4" s="581"/>
      <c r="F4" s="1777">
        <f>SUM(C4+D4)-E4</f>
        <v>0</v>
      </c>
    </row>
    <row r="5" spans="1:7" ht="15.75" customHeight="1" thickTop="1" x14ac:dyDescent="0.2">
      <c r="A5" s="2204" t="s">
        <v>1172</v>
      </c>
      <c r="B5" s="2205"/>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6" t="s">
        <v>652</v>
      </c>
      <c r="B15" s="2207"/>
      <c r="C15" s="1777">
        <f>SUM(C6:C14)</f>
        <v>0</v>
      </c>
      <c r="D15" s="1777">
        <f>SUM(D6:D14)</f>
        <v>0</v>
      </c>
      <c r="E15" s="1777">
        <f>SUM(E6:E14)</f>
        <v>0</v>
      </c>
      <c r="F15" s="1777">
        <f>SUM(F6:F14)</f>
        <v>0</v>
      </c>
      <c r="G15" s="552"/>
    </row>
    <row r="16" spans="1:7" s="202" customFormat="1" ht="15.75" customHeight="1" thickTop="1" x14ac:dyDescent="0.2">
      <c r="A16" s="2216" t="s">
        <v>1173</v>
      </c>
      <c r="B16" s="2205"/>
      <c r="C16" s="2213"/>
      <c r="D16" s="2214"/>
      <c r="E16" s="2214"/>
      <c r="F16" s="2215"/>
    </row>
    <row r="17" spans="1:11" ht="12.75" customHeight="1" thickBot="1" x14ac:dyDescent="0.25">
      <c r="A17" s="2229" t="s">
        <v>66</v>
      </c>
      <c r="B17" s="2230"/>
      <c r="C17" s="727"/>
      <c r="D17" s="585"/>
      <c r="E17" s="727"/>
      <c r="F17" s="1777">
        <f>SUM(C17+D17)-E17</f>
        <v>0</v>
      </c>
    </row>
    <row r="18" spans="1:11" ht="12.75" customHeight="1" thickTop="1" thickBot="1" x14ac:dyDescent="0.25">
      <c r="A18" s="2229" t="s">
        <v>6</v>
      </c>
      <c r="B18" s="2230"/>
      <c r="C18" s="727"/>
      <c r="D18" s="585"/>
      <c r="E18" s="727"/>
      <c r="F18" s="1777">
        <f>SUM(C18+D18)-E18</f>
        <v>0</v>
      </c>
    </row>
    <row r="19" spans="1:11" ht="12.75" customHeight="1" thickTop="1" thickBot="1" x14ac:dyDescent="0.25">
      <c r="A19" s="2229" t="s">
        <v>406</v>
      </c>
      <c r="B19" s="2230"/>
      <c r="C19" s="727"/>
      <c r="D19" s="585"/>
      <c r="E19" s="727"/>
      <c r="F19" s="1777">
        <f>SUM(C19+D19)-E19</f>
        <v>0</v>
      </c>
    </row>
    <row r="20" spans="1:11" ht="12.75" customHeight="1" thickTop="1" thickBot="1" x14ac:dyDescent="0.25">
      <c r="A20" s="2229" t="s">
        <v>468</v>
      </c>
      <c r="B20" s="2230"/>
      <c r="C20" s="727"/>
      <c r="D20" s="585"/>
      <c r="E20" s="727"/>
      <c r="F20" s="1777">
        <f>SUM(C20+D20)-E20</f>
        <v>0</v>
      </c>
    </row>
    <row r="21" spans="1:11" ht="14.25" thickTop="1" thickBot="1" x14ac:dyDescent="0.25">
      <c r="A21" s="2206" t="s">
        <v>653</v>
      </c>
      <c r="B21" s="2207"/>
      <c r="C21" s="1777">
        <f>SUM(C17:C20)</f>
        <v>0</v>
      </c>
      <c r="D21" s="1777">
        <f>SUM(D17:D20)</f>
        <v>0</v>
      </c>
      <c r="E21" s="1777">
        <f>SUM(E17:E20)</f>
        <v>0</v>
      </c>
      <c r="F21" s="1777">
        <f>SUM(F17:F20)</f>
        <v>0</v>
      </c>
      <c r="G21" s="552"/>
    </row>
    <row r="22" spans="1:11" ht="15.75" customHeight="1" thickTop="1" x14ac:dyDescent="0.2">
      <c r="A22" s="2231" t="s">
        <v>1174</v>
      </c>
      <c r="B22" s="2205"/>
      <c r="C22" s="2213"/>
      <c r="D22" s="2214"/>
      <c r="E22" s="2214"/>
      <c r="F22" s="2215"/>
    </row>
    <row r="23" spans="1:11" ht="13.5" thickBot="1" x14ac:dyDescent="0.25">
      <c r="A23" s="2219" t="s">
        <v>654</v>
      </c>
      <c r="B23" s="2220"/>
      <c r="C23" s="581"/>
      <c r="D23" s="581"/>
      <c r="E23" s="581"/>
      <c r="F23" s="1777">
        <f>SUM(C23+D23)-E23</f>
        <v>0</v>
      </c>
      <c r="G23" s="552"/>
    </row>
    <row r="24" spans="1:11" ht="15.75" customHeight="1" thickTop="1" x14ac:dyDescent="0.2">
      <c r="A24" s="2231" t="s">
        <v>1175</v>
      </c>
      <c r="B24" s="2205"/>
      <c r="C24" s="2213"/>
      <c r="D24" s="2214"/>
      <c r="E24" s="2214"/>
      <c r="F24" s="2215"/>
    </row>
    <row r="25" spans="1:11" ht="13.5" thickBot="1" x14ac:dyDescent="0.25">
      <c r="A25" s="2219" t="s">
        <v>655</v>
      </c>
      <c r="B25" s="2220"/>
      <c r="C25" s="581"/>
      <c r="D25" s="581"/>
      <c r="E25" s="581"/>
      <c r="F25" s="1777">
        <f>SUM(C25+D25)-E25</f>
        <v>0</v>
      </c>
      <c r="G25" s="552"/>
    </row>
    <row r="26" spans="1:11" ht="15.75" customHeight="1" thickTop="1" x14ac:dyDescent="0.2">
      <c r="A26" s="2204" t="s">
        <v>678</v>
      </c>
      <c r="B26" s="2205"/>
      <c r="C26" s="728"/>
      <c r="D26" s="728"/>
      <c r="E26" s="728"/>
      <c r="F26" s="729"/>
    </row>
    <row r="27" spans="1:11" ht="13.5" thickBot="1" x14ac:dyDescent="0.25">
      <c r="A27" s="2206" t="s">
        <v>1130</v>
      </c>
      <c r="B27" s="2207"/>
      <c r="C27" s="585"/>
      <c r="D27" s="585"/>
      <c r="E27" s="585"/>
      <c r="F27" s="1777">
        <f>SUM(C27+D27)-E27</f>
        <v>0</v>
      </c>
      <c r="G27" s="552"/>
    </row>
    <row r="28" spans="1:11" ht="7.5" customHeight="1" thickTop="1" x14ac:dyDescent="0.2">
      <c r="A28" s="594"/>
    </row>
    <row r="29" spans="1:11" ht="23.25" customHeight="1" x14ac:dyDescent="0.2">
      <c r="A29" s="2232" t="s">
        <v>603</v>
      </c>
      <c r="B29" s="2209"/>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c r="B31" s="734"/>
      <c r="C31" s="735"/>
      <c r="D31" s="736"/>
      <c r="E31" s="735"/>
      <c r="F31" s="735"/>
      <c r="G31" s="735"/>
      <c r="H31" s="735"/>
      <c r="I31" s="1778">
        <f>((E31+F31)-H31)+G31</f>
        <v>0</v>
      </c>
      <c r="J31" s="735"/>
      <c r="K31" s="737"/>
    </row>
    <row r="32" spans="1:11" ht="12" customHeight="1" x14ac:dyDescent="0.2">
      <c r="A32" s="733"/>
      <c r="B32" s="734"/>
      <c r="C32" s="735"/>
      <c r="D32" s="736"/>
      <c r="E32" s="735"/>
      <c r="F32" s="735"/>
      <c r="G32" s="735"/>
      <c r="H32" s="735"/>
      <c r="I32" s="1778">
        <f>((E32+F32)-H32)+G32</f>
        <v>0</v>
      </c>
      <c r="J32" s="735"/>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0</v>
      </c>
      <c r="D49" s="746"/>
      <c r="E49" s="1778">
        <f t="shared" ref="E49:J49" si="2">SUM(E31:E48)</f>
        <v>0</v>
      </c>
      <c r="F49" s="1778">
        <f t="shared" si="2"/>
        <v>0</v>
      </c>
      <c r="G49" s="1778">
        <f t="shared" si="2"/>
        <v>0</v>
      </c>
      <c r="H49" s="1778">
        <f t="shared" si="2"/>
        <v>0</v>
      </c>
      <c r="I49" s="1778">
        <f t="shared" si="2"/>
        <v>0</v>
      </c>
      <c r="J49" s="1778">
        <f t="shared" si="2"/>
        <v>0</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3" t="s">
        <v>605</v>
      </c>
      <c r="C52" s="2224"/>
      <c r="D52" s="2224"/>
      <c r="E52" s="750" t="s">
        <v>900</v>
      </c>
      <c r="F52" s="2225"/>
      <c r="G52" s="2226"/>
      <c r="H52" s="737"/>
      <c r="I52" s="737"/>
      <c r="J52" s="747"/>
    </row>
    <row r="53" spans="1:11" ht="11.25" customHeight="1" x14ac:dyDescent="0.2">
      <c r="A53" s="751" t="s">
        <v>969</v>
      </c>
      <c r="B53" s="752" t="s">
        <v>1008</v>
      </c>
      <c r="C53" s="747"/>
      <c r="D53" s="738"/>
      <c r="E53" s="750" t="s">
        <v>518</v>
      </c>
      <c r="F53" s="2227"/>
      <c r="G53" s="2228"/>
      <c r="H53" s="737"/>
      <c r="I53" s="737"/>
      <c r="J53" s="747"/>
    </row>
    <row r="54" spans="1:11" ht="11.25" customHeight="1" x14ac:dyDescent="0.2">
      <c r="A54" s="753" t="s">
        <v>970</v>
      </c>
      <c r="B54" s="748" t="s">
        <v>1009</v>
      </c>
      <c r="C54" s="747"/>
      <c r="D54" s="738"/>
      <c r="E54" s="750" t="s">
        <v>519</v>
      </c>
      <c r="F54" s="2227"/>
      <c r="G54" s="222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A38" sqref="A38:H38"/>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911</v>
      </c>
      <c r="B1" s="2258"/>
      <c r="C1" s="2258"/>
      <c r="D1" s="2258"/>
      <c r="E1" s="2258"/>
      <c r="F1" s="2258"/>
      <c r="G1" s="2259"/>
      <c r="H1" s="1552"/>
      <c r="I1" s="761"/>
      <c r="J1" s="433"/>
    </row>
    <row r="2" spans="1:11" ht="26.25" x14ac:dyDescent="0.2">
      <c r="A2" s="2236" t="s">
        <v>1776</v>
      </c>
      <c r="B2" s="2237"/>
      <c r="C2" s="2237"/>
      <c r="D2" s="2237"/>
      <c r="E2" s="2238"/>
      <c r="F2" s="762" t="s">
        <v>960</v>
      </c>
      <c r="G2" s="763" t="s">
        <v>1773</v>
      </c>
      <c r="H2" s="763" t="s">
        <v>430</v>
      </c>
      <c r="I2" s="763" t="s">
        <v>1220</v>
      </c>
      <c r="J2" s="763" t="s">
        <v>1919</v>
      </c>
      <c r="K2" s="763" t="s">
        <v>140</v>
      </c>
    </row>
    <row r="3" spans="1:11" x14ac:dyDescent="0.2">
      <c r="A3" s="2239" t="s">
        <v>1698</v>
      </c>
      <c r="B3" s="2240"/>
      <c r="C3" s="2240"/>
      <c r="D3" s="2240"/>
      <c r="E3" s="2241"/>
      <c r="F3" s="764"/>
      <c r="G3" s="765"/>
      <c r="H3" s="765"/>
      <c r="I3" s="765"/>
      <c r="J3" s="766"/>
      <c r="K3" s="766"/>
    </row>
    <row r="4" spans="1:11" x14ac:dyDescent="0.2">
      <c r="A4" s="2242" t="s">
        <v>387</v>
      </c>
      <c r="B4" s="2243"/>
      <c r="C4" s="2243"/>
      <c r="D4" s="2243"/>
      <c r="E4" s="2224"/>
      <c r="F4" s="767"/>
      <c r="G4" s="768"/>
      <c r="H4" s="769"/>
      <c r="I4" s="768"/>
      <c r="J4" s="770"/>
      <c r="K4" s="770"/>
    </row>
    <row r="5" spans="1:11" x14ac:dyDescent="0.2">
      <c r="A5" s="2260" t="s">
        <v>1129</v>
      </c>
      <c r="B5" s="2233"/>
      <c r="C5" s="2233"/>
      <c r="D5" s="2233"/>
      <c r="E5" s="2261"/>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60" t="s">
        <v>1920</v>
      </c>
      <c r="B10" s="2233"/>
      <c r="C10" s="2233"/>
      <c r="D10" s="2233"/>
      <c r="E10" s="2262"/>
      <c r="F10" s="784" t="s">
        <v>917</v>
      </c>
      <c r="G10" s="783"/>
      <c r="H10" s="785"/>
      <c r="I10" s="765"/>
      <c r="J10" s="766"/>
      <c r="K10" s="766"/>
    </row>
    <row r="11" spans="1:11" x14ac:dyDescent="0.2">
      <c r="A11" s="2260" t="s">
        <v>162</v>
      </c>
      <c r="B11" s="2233"/>
      <c r="C11" s="2233"/>
      <c r="D11" s="2233"/>
      <c r="E11" s="2261"/>
      <c r="F11" s="771" t="s">
        <v>907</v>
      </c>
      <c r="G11" s="772"/>
      <c r="H11" s="765"/>
      <c r="I11" s="765"/>
      <c r="J11" s="766"/>
      <c r="K11" s="774"/>
    </row>
    <row r="12" spans="1:11" ht="13.5" thickBot="1" x14ac:dyDescent="0.25">
      <c r="A12" s="2250" t="s">
        <v>961</v>
      </c>
      <c r="B12" s="2251"/>
      <c r="C12" s="2251"/>
      <c r="D12" s="2251"/>
      <c r="E12" s="2252"/>
      <c r="F12" s="1779"/>
      <c r="G12" s="1780">
        <f>SUM(G5:G11)</f>
        <v>0</v>
      </c>
      <c r="H12" s="1780">
        <f>SUM(H5:H11)</f>
        <v>0</v>
      </c>
      <c r="I12" s="1780">
        <f>SUM(I5:I11)</f>
        <v>0</v>
      </c>
      <c r="J12" s="1780">
        <f>SUM(J5:J11)</f>
        <v>0</v>
      </c>
      <c r="K12" s="1780">
        <f>SUM(K5:K11)</f>
        <v>0</v>
      </c>
    </row>
    <row r="13" spans="1:11" ht="13.5" thickTop="1" x14ac:dyDescent="0.2">
      <c r="A13" s="2244" t="s">
        <v>388</v>
      </c>
      <c r="B13" s="2245"/>
      <c r="C13" s="2245"/>
      <c r="D13" s="2245"/>
      <c r="E13" s="2246"/>
      <c r="F13" s="786"/>
      <c r="G13" s="787"/>
      <c r="H13" s="788"/>
      <c r="I13" s="789"/>
      <c r="J13" s="789"/>
      <c r="K13" s="789"/>
    </row>
    <row r="14" spans="1:11" x14ac:dyDescent="0.2">
      <c r="A14" s="2266" t="s">
        <v>476</v>
      </c>
      <c r="B14" s="2266"/>
      <c r="C14" s="2266"/>
      <c r="D14" s="2266"/>
      <c r="E14" s="2267"/>
      <c r="F14" s="790" t="s">
        <v>909</v>
      </c>
      <c r="G14" s="783"/>
      <c r="H14" s="765"/>
      <c r="I14" s="772"/>
      <c r="J14" s="774"/>
      <c r="K14" s="766"/>
    </row>
    <row r="15" spans="1:11" x14ac:dyDescent="0.2">
      <c r="A15" s="2233" t="s">
        <v>4</v>
      </c>
      <c r="B15" s="2233"/>
      <c r="C15" s="2233"/>
      <c r="D15" s="2233"/>
      <c r="E15" s="2261"/>
      <c r="F15" s="790" t="s">
        <v>910</v>
      </c>
      <c r="G15" s="772"/>
      <c r="H15" s="765"/>
      <c r="I15" s="765"/>
      <c r="J15" s="766"/>
      <c r="K15" s="766"/>
    </row>
    <row r="16" spans="1:11" x14ac:dyDescent="0.2">
      <c r="A16" s="2233" t="s">
        <v>316</v>
      </c>
      <c r="B16" s="2233"/>
      <c r="C16" s="2233"/>
      <c r="D16" s="2233"/>
      <c r="E16" s="2261"/>
      <c r="F16" s="790" t="s">
        <v>980</v>
      </c>
      <c r="G16" s="773"/>
      <c r="H16" s="768"/>
      <c r="I16" s="768"/>
      <c r="J16" s="770"/>
      <c r="K16" s="770"/>
    </row>
    <row r="17" spans="1:11" x14ac:dyDescent="0.2">
      <c r="A17" s="2255" t="s">
        <v>992</v>
      </c>
      <c r="B17" s="2255"/>
      <c r="C17" s="2255"/>
      <c r="D17" s="2255"/>
      <c r="E17" s="2256"/>
      <c r="F17" s="791"/>
      <c r="G17" s="792"/>
      <c r="H17" s="793"/>
      <c r="I17" s="793"/>
      <c r="J17" s="794"/>
      <c r="K17" s="795"/>
    </row>
    <row r="18" spans="1:11" x14ac:dyDescent="0.2">
      <c r="A18" s="2247" t="s">
        <v>386</v>
      </c>
      <c r="B18" s="2248"/>
      <c r="C18" s="2248"/>
      <c r="D18" s="2248"/>
      <c r="E18" s="2249"/>
      <c r="F18" s="790" t="s">
        <v>989</v>
      </c>
      <c r="G18" s="783"/>
      <c r="H18" s="783"/>
      <c r="I18" s="783"/>
      <c r="J18" s="766"/>
      <c r="K18" s="796"/>
    </row>
    <row r="19" spans="1:11" ht="21.75" customHeight="1" x14ac:dyDescent="0.2">
      <c r="A19" s="2268" t="s">
        <v>1916</v>
      </c>
      <c r="B19" s="2268"/>
      <c r="C19" s="2268"/>
      <c r="D19" s="2268"/>
      <c r="E19" s="2269"/>
      <c r="F19" s="790" t="s">
        <v>990</v>
      </c>
      <c r="G19" s="783"/>
      <c r="H19" s="783"/>
      <c r="I19" s="783"/>
      <c r="J19" s="766"/>
      <c r="K19" s="796"/>
    </row>
    <row r="20" spans="1:11" x14ac:dyDescent="0.2">
      <c r="A20" s="2247" t="s">
        <v>1921</v>
      </c>
      <c r="B20" s="2248"/>
      <c r="C20" s="2248"/>
      <c r="D20" s="2248"/>
      <c r="E20" s="2249"/>
      <c r="F20" s="790" t="s">
        <v>991</v>
      </c>
      <c r="G20" s="783"/>
      <c r="H20" s="783"/>
      <c r="I20" s="783"/>
      <c r="J20" s="766"/>
      <c r="K20" s="796"/>
    </row>
    <row r="21" spans="1:11" ht="13.5" thickBot="1" x14ac:dyDescent="0.25">
      <c r="A21" s="2253" t="s">
        <v>659</v>
      </c>
      <c r="B21" s="2253"/>
      <c r="C21" s="2253"/>
      <c r="D21" s="2253"/>
      <c r="E21" s="2253"/>
      <c r="F21" s="1781"/>
      <c r="G21" s="793"/>
      <c r="H21" s="797"/>
      <c r="I21" s="797"/>
      <c r="J21" s="1782">
        <f>SUM(J18:J20)</f>
        <v>0</v>
      </c>
      <c r="K21" s="794"/>
    </row>
    <row r="22" spans="1:11" ht="13.5" thickTop="1" x14ac:dyDescent="0.2">
      <c r="A22" s="2233" t="s">
        <v>1922</v>
      </c>
      <c r="B22" s="2233"/>
      <c r="C22" s="2233"/>
      <c r="D22" s="2233"/>
      <c r="E22" s="2261"/>
      <c r="F22" s="790" t="s">
        <v>917</v>
      </c>
      <c r="G22" s="783"/>
      <c r="H22" s="765"/>
      <c r="I22" s="765"/>
      <c r="J22" s="798"/>
      <c r="K22" s="766"/>
    </row>
    <row r="23" spans="1:11" ht="13.5" thickBot="1" x14ac:dyDescent="0.25">
      <c r="A23" s="2254" t="s">
        <v>962</v>
      </c>
      <c r="B23" s="2253"/>
      <c r="C23" s="2253"/>
      <c r="D23" s="2253"/>
      <c r="E23" s="2253"/>
      <c r="F23" s="1783"/>
      <c r="G23" s="1780">
        <f>SUM(G14:G16,G21,G22)</f>
        <v>0</v>
      </c>
      <c r="H23" s="1780">
        <f>SUM(H14:H16,H21,H22)</f>
        <v>0</v>
      </c>
      <c r="I23" s="1780">
        <f>SUM(I14:I16,I21,I22)</f>
        <v>0</v>
      </c>
      <c r="J23" s="1780">
        <f>SUM(J14:J16,J21,J22)</f>
        <v>0</v>
      </c>
      <c r="K23" s="1780">
        <f>SUM(K14:K16,K21,K22)</f>
        <v>0</v>
      </c>
    </row>
    <row r="24" spans="1:11" ht="14.25" thickTop="1" thickBot="1" x14ac:dyDescent="0.25">
      <c r="A24" s="2254" t="s">
        <v>2026</v>
      </c>
      <c r="B24" s="2253"/>
      <c r="C24" s="2253"/>
      <c r="D24" s="2253"/>
      <c r="E24" s="2253"/>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3"/>
      <c r="I31" s="2264"/>
      <c r="J31" s="2264"/>
      <c r="K31" s="2264"/>
    </row>
    <row r="32" spans="1:11" x14ac:dyDescent="0.2">
      <c r="A32" s="810"/>
      <c r="B32" s="237"/>
      <c r="C32" s="237"/>
      <c r="D32" s="237"/>
      <c r="E32" s="806"/>
      <c r="F32" s="812" t="s">
        <v>561</v>
      </c>
      <c r="G32" s="765"/>
      <c r="H32" s="2265"/>
      <c r="I32" s="2264"/>
      <c r="J32" s="2264"/>
      <c r="K32" s="2264"/>
    </row>
    <row r="33" spans="1:11" ht="1.5" customHeight="1" x14ac:dyDescent="0.2">
      <c r="A33" s="813" t="s">
        <v>1231</v>
      </c>
      <c r="B33" s="364"/>
      <c r="C33" s="364"/>
      <c r="D33" s="364"/>
      <c r="E33" s="364"/>
      <c r="F33" s="364"/>
      <c r="G33" s="814"/>
      <c r="H33" s="2265"/>
      <c r="I33" s="2264"/>
      <c r="J33" s="2264"/>
      <c r="K33" s="2264"/>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3" t="s">
        <v>562</v>
      </c>
      <c r="B41" s="2234"/>
      <c r="C41" s="2234"/>
      <c r="D41" s="2234"/>
      <c r="E41" s="2234"/>
      <c r="F41" s="223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38" sqref="A38:H38"/>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2035</v>
      </c>
      <c r="B1" s="2273"/>
      <c r="C1" s="2274"/>
      <c r="D1" s="827"/>
      <c r="E1" s="828"/>
      <c r="F1" s="828"/>
      <c r="G1" s="829"/>
      <c r="H1" s="830"/>
      <c r="I1" s="831"/>
      <c r="J1" s="2270"/>
      <c r="K1" s="2271"/>
      <c r="L1" s="2271"/>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c r="D5" s="842"/>
      <c r="E5" s="842"/>
      <c r="F5" s="1782">
        <f>(C5+D5)-E5</f>
        <v>0</v>
      </c>
      <c r="G5" s="838"/>
      <c r="H5" s="843"/>
      <c r="I5" s="843"/>
      <c r="J5" s="843"/>
      <c r="K5" s="794"/>
      <c r="L5" s="1791">
        <f>F5-K5</f>
        <v>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c r="D8" s="845"/>
      <c r="E8" s="845"/>
      <c r="F8" s="1782">
        <f>(C8+D8)-E8</f>
        <v>0</v>
      </c>
      <c r="G8" s="844">
        <v>50</v>
      </c>
      <c r="H8" s="766"/>
      <c r="I8" s="766"/>
      <c r="J8" s="766"/>
      <c r="K8" s="1791">
        <f>(H8+I8)-J8</f>
        <v>0</v>
      </c>
      <c r="L8" s="1791">
        <f>F8-K8</f>
        <v>0</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c r="D10" s="847"/>
      <c r="E10" s="847"/>
      <c r="F10" s="1786">
        <f>(C10+D10)-E10</f>
        <v>0</v>
      </c>
      <c r="G10" s="844">
        <v>20</v>
      </c>
      <c r="H10" s="848"/>
      <c r="I10" s="848"/>
      <c r="J10" s="848"/>
      <c r="K10" s="1791">
        <f>(H10+I10)-J10</f>
        <v>0</v>
      </c>
      <c r="L10" s="1791">
        <f>F10-K10</f>
        <v>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32638</v>
      </c>
      <c r="D12" s="845">
        <v>44880</v>
      </c>
      <c r="E12" s="845"/>
      <c r="F12" s="1782">
        <f>(C12+D12)-E12</f>
        <v>77518</v>
      </c>
      <c r="G12" s="844">
        <v>10</v>
      </c>
      <c r="H12" s="766">
        <v>12838</v>
      </c>
      <c r="I12" s="766">
        <v>4248</v>
      </c>
      <c r="J12" s="766"/>
      <c r="K12" s="1791">
        <f>(H12+I12)-J12</f>
        <v>17086</v>
      </c>
      <c r="L12" s="1791">
        <f>F12-K12</f>
        <v>60432</v>
      </c>
    </row>
    <row r="13" spans="1:14" ht="14.25" thickTop="1" thickBot="1" x14ac:dyDescent="0.25">
      <c r="A13" s="849" t="s">
        <v>1184</v>
      </c>
      <c r="B13" s="841">
        <v>252</v>
      </c>
      <c r="C13" s="845"/>
      <c r="D13" s="845"/>
      <c r="E13" s="845"/>
      <c r="F13" s="1782">
        <f>(C13+D13)-E13</f>
        <v>0</v>
      </c>
      <c r="G13" s="844">
        <v>5</v>
      </c>
      <c r="H13" s="766"/>
      <c r="I13" s="766"/>
      <c r="J13" s="766"/>
      <c r="K13" s="1791">
        <f>(H13+I13)-J13</f>
        <v>0</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32638</v>
      </c>
      <c r="D16" s="1782">
        <f>SUM(D3,D5:D6,D8:D10,D12:D15)</f>
        <v>44880</v>
      </c>
      <c r="E16" s="1782">
        <f>SUM(E3,E5:E6,E8:E10,E12:E15)</f>
        <v>0</v>
      </c>
      <c r="F16" s="1782">
        <f>SUM(F3,F5:F6,F8:F10,F12:F15)</f>
        <v>77518</v>
      </c>
      <c r="G16" s="844"/>
      <c r="H16" s="1782">
        <f>SUM(H3,H6,H8:H10,H12:H14,)</f>
        <v>12838</v>
      </c>
      <c r="I16" s="1782">
        <f>SUM(I3,I6,I8:I10,I12:I14,)</f>
        <v>4248</v>
      </c>
      <c r="J16" s="1782">
        <f>SUM(J3,J6,J8:J10,J12:J14,)</f>
        <v>0</v>
      </c>
      <c r="K16" s="1782">
        <f>(H16+I16)-J16</f>
        <v>17086</v>
      </c>
      <c r="L16" s="1782">
        <f>F16-K16</f>
        <v>60432</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4248</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9" activePane="bottomLeft" state="frozen"/>
      <selection activeCell="A38" sqref="A38:H38"/>
      <selection pane="bottomLeft" activeCell="A38" sqref="A38:H38"/>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566233</v>
      </c>
      <c r="G8" s="866"/>
    </row>
    <row r="9" spans="1:7" x14ac:dyDescent="0.2">
      <c r="A9" s="870" t="s">
        <v>480</v>
      </c>
      <c r="B9" s="871" t="s">
        <v>1989</v>
      </c>
      <c r="C9" s="872"/>
      <c r="D9" s="870" t="s">
        <v>522</v>
      </c>
      <c r="E9" s="869"/>
      <c r="F9" s="1935">
        <f>'Expenditures 15-22'!K151</f>
        <v>0</v>
      </c>
      <c r="G9" s="873"/>
    </row>
    <row r="10" spans="1:7" x14ac:dyDescent="0.2">
      <c r="A10" s="870" t="s">
        <v>520</v>
      </c>
      <c r="B10" s="871" t="s">
        <v>1990</v>
      </c>
      <c r="C10" s="872"/>
      <c r="D10" s="870" t="s">
        <v>522</v>
      </c>
      <c r="E10" s="869"/>
      <c r="F10" s="1935">
        <f>'Expenditures 15-22'!K174</f>
        <v>0</v>
      </c>
      <c r="G10" s="873"/>
    </row>
    <row r="11" spans="1:7" x14ac:dyDescent="0.2">
      <c r="A11" s="870" t="s">
        <v>481</v>
      </c>
      <c r="B11" s="871" t="s">
        <v>1991</v>
      </c>
      <c r="C11" s="872"/>
      <c r="D11" s="870" t="s">
        <v>522</v>
      </c>
      <c r="E11" s="869"/>
      <c r="F11" s="1935">
        <f>'Expenditures 15-22'!K210</f>
        <v>0</v>
      </c>
      <c r="G11" s="873"/>
    </row>
    <row r="12" spans="1:7" x14ac:dyDescent="0.2">
      <c r="A12" s="870" t="s">
        <v>482</v>
      </c>
      <c r="B12" s="871" t="s">
        <v>1992</v>
      </c>
      <c r="C12" s="872"/>
      <c r="D12" s="870" t="s">
        <v>522</v>
      </c>
      <c r="E12" s="869"/>
      <c r="F12" s="1935">
        <f>'Expenditures 15-22'!K295</f>
        <v>0</v>
      </c>
      <c r="G12" s="873"/>
    </row>
    <row r="13" spans="1:7" x14ac:dyDescent="0.2">
      <c r="A13" s="870" t="s">
        <v>108</v>
      </c>
      <c r="B13" s="871" t="s">
        <v>1993</v>
      </c>
      <c r="C13" s="872"/>
      <c r="D13" s="870" t="s">
        <v>522</v>
      </c>
      <c r="E13" s="869"/>
      <c r="F13" s="1935">
        <f>'Expenditures 15-22'!K342</f>
        <v>0</v>
      </c>
      <c r="G13" s="874"/>
    </row>
    <row r="14" spans="1:7" ht="12" customHeight="1" thickBot="1" x14ac:dyDescent="0.25">
      <c r="A14" s="1792"/>
      <c r="B14" s="1793"/>
      <c r="C14" s="1794"/>
      <c r="D14" s="1795" t="s">
        <v>522</v>
      </c>
      <c r="E14" s="1796" t="s">
        <v>1015</v>
      </c>
      <c r="F14" s="1797">
        <f>SUM(F8:F13)</f>
        <v>566233</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381739</v>
      </c>
      <c r="G53" s="866"/>
    </row>
    <row r="54" spans="1:7" x14ac:dyDescent="0.2">
      <c r="A54" s="870" t="s">
        <v>479</v>
      </c>
      <c r="B54" s="870" t="s">
        <v>1552</v>
      </c>
      <c r="C54" s="890" t="s">
        <v>1039</v>
      </c>
      <c r="D54" s="886" t="s">
        <v>1157</v>
      </c>
      <c r="E54" s="869"/>
      <c r="F54" s="1939">
        <f>'Expenditures 15-22'!G114</f>
        <v>44880</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0</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0</v>
      </c>
      <c r="G64" s="866"/>
    </row>
    <row r="65" spans="1:8" x14ac:dyDescent="0.2">
      <c r="A65" s="870" t="s">
        <v>481</v>
      </c>
      <c r="B65" s="870" t="s">
        <v>2002</v>
      </c>
      <c r="C65" s="887" t="s">
        <v>1039</v>
      </c>
      <c r="D65" s="886" t="s">
        <v>1157</v>
      </c>
      <c r="E65" s="869"/>
      <c r="F65" s="1939">
        <f>'Expenditures 15-22'!G210</f>
        <v>0</v>
      </c>
      <c r="G65" s="866"/>
    </row>
    <row r="66" spans="1:8" x14ac:dyDescent="0.2">
      <c r="A66" s="870" t="s">
        <v>481</v>
      </c>
      <c r="B66" s="870" t="s">
        <v>2003</v>
      </c>
      <c r="C66" s="887" t="s">
        <v>1039</v>
      </c>
      <c r="D66" s="886" t="s">
        <v>309</v>
      </c>
      <c r="E66" s="869"/>
      <c r="F66" s="1939">
        <f>'Expenditures 15-22'!I210</f>
        <v>0</v>
      </c>
      <c r="G66" s="866"/>
    </row>
    <row r="67" spans="1:8" x14ac:dyDescent="0.2">
      <c r="A67" s="870" t="s">
        <v>482</v>
      </c>
      <c r="B67" s="870" t="s">
        <v>2004</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0</v>
      </c>
      <c r="G71" s="866"/>
    </row>
    <row r="72" spans="1:8" x14ac:dyDescent="0.2">
      <c r="A72" s="870" t="s">
        <v>482</v>
      </c>
      <c r="B72" s="870" t="s">
        <v>2008</v>
      </c>
      <c r="C72" s="887">
        <f>'Expenditures 15-22'!B280</f>
        <v>3000</v>
      </c>
      <c r="D72" s="877" t="s">
        <v>469</v>
      </c>
      <c r="E72" s="869"/>
      <c r="F72" s="1939">
        <f>'Expenditures 15-22'!K280</f>
        <v>0</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426619</v>
      </c>
      <c r="G76" s="866"/>
    </row>
    <row r="77" spans="1:8" s="894" customFormat="1" ht="12" customHeight="1" thickTop="1" thickBot="1" x14ac:dyDescent="0.25">
      <c r="A77" s="1801"/>
      <c r="B77" s="1798"/>
      <c r="C77" s="1794"/>
      <c r="D77" s="1799" t="s">
        <v>2012</v>
      </c>
      <c r="E77" s="1796"/>
      <c r="F77" s="1802">
        <f>(F14-F76)</f>
        <v>139614</v>
      </c>
      <c r="G77" s="870"/>
    </row>
    <row r="78" spans="1:8" s="894" customFormat="1" ht="12" customHeight="1" thickTop="1" x14ac:dyDescent="0.2">
      <c r="A78" s="1803"/>
      <c r="B78" s="1798"/>
      <c r="C78" s="1794"/>
      <c r="D78" s="1799" t="s">
        <v>2059</v>
      </c>
      <c r="E78" s="1796"/>
      <c r="F78" s="899">
        <v>0</v>
      </c>
      <c r="G78" s="900"/>
      <c r="H78" s="870"/>
    </row>
    <row r="79" spans="1:8" s="894" customFormat="1" ht="12" customHeight="1" thickBot="1" x14ac:dyDescent="0.25">
      <c r="A79" s="1804"/>
      <c r="B79" s="1798"/>
      <c r="C79" s="1794"/>
      <c r="D79" s="1799" t="s">
        <v>2013</v>
      </c>
      <c r="E79" s="1796" t="s">
        <v>1015</v>
      </c>
      <c r="F79" s="1805" t="str">
        <f>IF(F78&gt;0,F77/F78," Complete Line 78")</f>
        <v xml:space="preserve"> Complete Line 78</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0</v>
      </c>
      <c r="G94" s="913"/>
    </row>
    <row r="95" spans="1:7" x14ac:dyDescent="0.2">
      <c r="A95" s="909" t="s">
        <v>142</v>
      </c>
      <c r="B95" s="909" t="s">
        <v>177</v>
      </c>
      <c r="C95" s="911">
        <v>1700</v>
      </c>
      <c r="D95" s="919" t="str">
        <f>'Revenues 9-14'!A82</f>
        <v>Total District/School Activity Income</v>
      </c>
      <c r="E95" s="907"/>
      <c r="F95" s="1811">
        <f>SUM('Revenues 9-14'!C82,'Revenues 9-14'!D82)</f>
        <v>0</v>
      </c>
      <c r="G95" s="913"/>
    </row>
    <row r="96" spans="1:7" x14ac:dyDescent="0.2">
      <c r="A96" s="909" t="s">
        <v>479</v>
      </c>
      <c r="B96" s="909" t="s">
        <v>178</v>
      </c>
      <c r="C96" s="911">
        <f>'Revenues 9-14'!B84</f>
        <v>1811</v>
      </c>
      <c r="D96" s="912" t="str">
        <f>'Revenues 9-14'!A84</f>
        <v>Rentals - Regular Textbooks</v>
      </c>
      <c r="E96" s="907"/>
      <c r="F96" s="1811">
        <f>'Revenues 9-14'!C84</f>
        <v>0</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0</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170702</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0</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0</v>
      </c>
      <c r="G129" s="931"/>
    </row>
    <row r="130" spans="1:7" x14ac:dyDescent="0.2">
      <c r="A130" s="928" t="s">
        <v>689</v>
      </c>
      <c r="B130" s="928" t="s">
        <v>804</v>
      </c>
      <c r="C130" s="933">
        <v>4300</v>
      </c>
      <c r="D130" s="934" t="str">
        <f>'Revenues 9-14'!A211</f>
        <v>Total Title I</v>
      </c>
      <c r="E130" s="907"/>
      <c r="F130" s="1811">
        <f>SUM('Revenues 9-14'!C211,'Revenues 9-14'!D211,'Revenues 9-14'!F211,'Revenues 9-14'!G211)</f>
        <v>0</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45740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2058</v>
      </c>
      <c r="C175" s="1946">
        <v>3100</v>
      </c>
      <c r="D175" s="1947" t="s">
        <v>2061</v>
      </c>
      <c r="E175" s="907"/>
      <c r="F175" s="1931"/>
      <c r="G175" s="928"/>
    </row>
    <row r="176" spans="1:7" x14ac:dyDescent="0.2">
      <c r="A176" s="1944" t="s">
        <v>685</v>
      </c>
      <c r="B176" s="1945" t="s">
        <v>2058</v>
      </c>
      <c r="C176" s="1946">
        <v>3300</v>
      </c>
      <c r="D176" s="1947" t="s">
        <v>2062</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216442</v>
      </c>
    </row>
    <row r="179" spans="1:7" ht="12" customHeight="1" x14ac:dyDescent="0.2">
      <c r="A179" s="1792"/>
      <c r="B179" s="1806"/>
      <c r="C179" s="1807"/>
      <c r="D179" s="1808" t="s">
        <v>2015</v>
      </c>
      <c r="E179" s="1809"/>
      <c r="F179" s="1811">
        <f>'PCTC-OEPP 27-28'!F77-F178</f>
        <v>-76828</v>
      </c>
    </row>
    <row r="180" spans="1:7" ht="12" customHeight="1" x14ac:dyDescent="0.2">
      <c r="A180" s="1792"/>
      <c r="B180" s="1806"/>
      <c r="C180" s="1807"/>
      <c r="D180" s="1808" t="s">
        <v>1924</v>
      </c>
      <c r="E180" s="1809"/>
      <c r="F180" s="1811">
        <f>'Cap Outlay Deprec 26'!I18</f>
        <v>4248</v>
      </c>
    </row>
    <row r="181" spans="1:7" ht="12" customHeight="1" x14ac:dyDescent="0.2">
      <c r="A181" s="1792"/>
      <c r="B181" s="1806"/>
      <c r="C181" s="1807"/>
      <c r="D181" s="1808" t="s">
        <v>2016</v>
      </c>
      <c r="E181" s="1809"/>
      <c r="F181" s="1811">
        <f>F179+F180</f>
        <v>-72580</v>
      </c>
    </row>
    <row r="182" spans="1:7" ht="12" customHeight="1" x14ac:dyDescent="0.2">
      <c r="A182" s="1792"/>
      <c r="B182" s="1812"/>
      <c r="C182" s="1807"/>
      <c r="D182" s="1808" t="str">
        <f>D78</f>
        <v>9 Month ADA from District Average Daily Attendance/Prior General State Aid Inquiry 2017-2018</v>
      </c>
      <c r="E182" s="1809"/>
      <c r="F182" s="1813">
        <f>'PCTC-OEPP 27-28'!F78</f>
        <v>0</v>
      </c>
      <c r="G182" s="931"/>
    </row>
    <row r="183" spans="1:7" ht="12" customHeight="1" thickBot="1" x14ac:dyDescent="0.25">
      <c r="A183" s="1792"/>
      <c r="B183" s="1812"/>
      <c r="C183" s="1807"/>
      <c r="D183" s="1808" t="s">
        <v>2017</v>
      </c>
      <c r="E183" s="1809" t="s">
        <v>1626</v>
      </c>
      <c r="F183" s="1814" t="e">
        <f>F181/F182</f>
        <v>#DIV/0!</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8" customFormat="1" ht="12.2" customHeight="1" x14ac:dyDescent="0.2">
      <c r="A186" s="1948" t="s">
        <v>2065</v>
      </c>
      <c r="B186" s="1949"/>
      <c r="C186" s="1950"/>
      <c r="D186" s="1949"/>
      <c r="E186" s="1950"/>
      <c r="F186" s="1949"/>
      <c r="G186" s="1949"/>
    </row>
    <row r="187" spans="1:7" s="1948" customFormat="1" ht="12.2"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A38" sqref="A38:H38"/>
      <selection pane="bottomLeft" activeCell="A17" sqref="A17"/>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1925</v>
      </c>
      <c r="B4" s="2290"/>
      <c r="C4" s="2290"/>
      <c r="D4" s="2290"/>
      <c r="E4" s="2290"/>
      <c r="F4" s="2290"/>
      <c r="G4" s="2291"/>
    </row>
    <row r="5" spans="1:7" x14ac:dyDescent="0.25">
      <c r="A5" s="2292"/>
      <c r="B5" s="2293"/>
      <c r="C5" s="2293"/>
      <c r="D5" s="2293"/>
      <c r="E5" s="2293"/>
      <c r="F5" s="2293"/>
      <c r="G5" s="2294"/>
    </row>
    <row r="6" spans="1:7" ht="18.75" x14ac:dyDescent="0.25">
      <c r="A6" s="1556" t="s">
        <v>1926</v>
      </c>
      <c r="B6" s="1557"/>
      <c r="C6" s="1557"/>
      <c r="D6" s="1557"/>
      <c r="E6" s="1557"/>
      <c r="F6" s="1557"/>
      <c r="G6" s="1558"/>
    </row>
    <row r="7" spans="1:7" ht="30.75" customHeight="1" x14ac:dyDescent="0.25">
      <c r="A7" s="2295" t="s">
        <v>2075</v>
      </c>
      <c r="B7" s="2296"/>
      <c r="C7" s="2296"/>
      <c r="D7" s="2296"/>
      <c r="E7" s="2296"/>
      <c r="F7" s="2296"/>
      <c r="G7" s="2297"/>
    </row>
    <row r="8" spans="1:7" ht="15.75" customHeight="1" x14ac:dyDescent="0.25">
      <c r="A8" s="2298" t="s">
        <v>2024</v>
      </c>
      <c r="B8" s="2299"/>
      <c r="C8" s="2299"/>
      <c r="D8" s="2299"/>
      <c r="E8" s="2299"/>
      <c r="F8" s="2299"/>
      <c r="G8" s="2300"/>
    </row>
    <row r="9" spans="1:7" ht="35.25" customHeight="1" x14ac:dyDescent="0.25">
      <c r="A9" s="2295" t="s">
        <v>2023</v>
      </c>
      <c r="B9" s="2296"/>
      <c r="C9" s="2296"/>
      <c r="D9" s="2296"/>
      <c r="E9" s="2296"/>
      <c r="F9" s="2296"/>
      <c r="G9" s="2297"/>
    </row>
    <row r="10" spans="1:7" ht="15" customHeight="1" x14ac:dyDescent="0.25">
      <c r="A10" s="1559" t="s">
        <v>1927</v>
      </c>
      <c r="B10" s="1560"/>
      <c r="C10" s="1560"/>
      <c r="D10" s="1560"/>
      <c r="E10" s="1560"/>
      <c r="F10" s="1560"/>
      <c r="G10" s="1561"/>
    </row>
    <row r="11" spans="1:7" ht="17.25" customHeight="1" x14ac:dyDescent="0.25">
      <c r="A11" s="2295" t="s">
        <v>1941</v>
      </c>
      <c r="B11" s="2296"/>
      <c r="C11" s="2296"/>
      <c r="D11" s="2296"/>
      <c r="E11" s="2296"/>
      <c r="F11" s="2296"/>
      <c r="G11" s="2297"/>
    </row>
    <row r="12" spans="1:7" ht="15" customHeight="1" x14ac:dyDescent="0.25">
      <c r="A12" s="1559" t="s">
        <v>1932</v>
      </c>
      <c r="B12" s="1560"/>
      <c r="C12" s="1560"/>
      <c r="D12" s="1560"/>
      <c r="E12" s="1560"/>
      <c r="F12" s="1560"/>
      <c r="G12" s="1561"/>
    </row>
    <row r="13" spans="1:7" ht="32.25" customHeight="1" x14ac:dyDescent="0.25">
      <c r="A13" s="2286" t="s">
        <v>1933</v>
      </c>
      <c r="B13" s="2287"/>
      <c r="C13" s="2287"/>
      <c r="D13" s="2287"/>
      <c r="E13" s="2287"/>
      <c r="F13" s="2287"/>
      <c r="G13" s="2288"/>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9" t="s">
        <v>2101</v>
      </c>
      <c r="B17" s="1868"/>
      <c r="C17" s="1678"/>
      <c r="D17" s="1867">
        <v>1E-4</v>
      </c>
      <c r="E17" s="1562">
        <f t="shared" ref="E17:E141" si="1">IF(D17&lt;=25000,D17,IF(D17&gt;25000,25000,0))</f>
        <v>1E-4</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1E-4</v>
      </c>
      <c r="E141" s="1563">
        <f t="shared" si="1"/>
        <v>1E-4</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6" colorId="8" zoomScale="110" zoomScaleNormal="110" workbookViewId="0">
      <selection activeCell="A38" sqref="A38:H38"/>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06" t="s">
        <v>1945</v>
      </c>
      <c r="B11" s="2307"/>
      <c r="C11" s="2307"/>
      <c r="D11" s="2308"/>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60873</v>
      </c>
      <c r="F19" s="1822"/>
      <c r="G19" s="1824">
        <f>'Expenditures 15-22'!K33-SUM('Expenditures 15-22'!G33,'Expenditures 15-22'!I33)+'Expenditures 15-22'!D229</f>
        <v>60873</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0</v>
      </c>
      <c r="F21" s="1825"/>
      <c r="G21" s="1828">
        <f>'Expenditures 15-22'!K42-SUM('Expenditures 15-22'!G42,'Expenditures 15-22'!I42)+'Expenditures 15-22'!K120-SUM('Expenditures 15-22'!G120,'Expenditures 15-22'!I120)+'Expenditures 15-22'!K180-SUM('Expenditures 15-22'!G180,'Expenditures 15-22'!I180)+'Expenditures 15-22'!D238</f>
        <v>0</v>
      </c>
      <c r="H21" s="988"/>
      <c r="I21" s="162"/>
    </row>
    <row r="22" spans="1:9" s="669" customFormat="1" ht="12" customHeight="1" x14ac:dyDescent="0.2">
      <c r="A22" s="995" t="s">
        <v>585</v>
      </c>
      <c r="B22" s="996"/>
      <c r="C22" s="994">
        <v>2200</v>
      </c>
      <c r="D22" s="1825"/>
      <c r="E22" s="1827">
        <f>'Expenditures 15-22'!K47-SUM('Expenditures 15-22'!G47,'Expenditures 15-22'!I47)+'Expenditures 15-22'!D243</f>
        <v>11017</v>
      </c>
      <c r="F22" s="1825"/>
      <c r="G22" s="1828">
        <f>'Expenditures 15-22'!K47-SUM('Expenditures 15-22'!G47,'Expenditures 15-22'!I47)+'Expenditures 15-22'!D243</f>
        <v>11017</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58434</v>
      </c>
      <c r="F23" s="1825"/>
      <c r="G23" s="1827">
        <f>'Expenditures 15-22'!K53-SUM('Expenditures 15-22'!G53,'Expenditures 15-22'!I53)+'Expenditures 15-22'!D257+'Expenditures 15-22'!K330-SUM('Expenditures 15-22'!G330,'Expenditures 15-22'!I330)</f>
        <v>58434</v>
      </c>
      <c r="H23" s="988"/>
      <c r="I23" s="162"/>
    </row>
    <row r="24" spans="1:9" s="669" customFormat="1" ht="12" customHeight="1" x14ac:dyDescent="0.2">
      <c r="A24" s="995" t="s">
        <v>587</v>
      </c>
      <c r="B24" s="996"/>
      <c r="C24" s="994">
        <v>2400</v>
      </c>
      <c r="D24" s="1825"/>
      <c r="E24" s="1827">
        <f>'Expenditures 15-22'!K57-SUM('Expenditures 15-22'!G57,'Expenditures 15-22'!I57)+'Expenditures 15-22'!D261</f>
        <v>0</v>
      </c>
      <c r="F24" s="1825"/>
      <c r="G24" s="1828">
        <f>'Expenditures 15-22'!K57-SUM('Expenditures 15-22'!G57,'Expenditures 15-22'!I57)+'Expenditures 15-22'!D261</f>
        <v>0</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9290</v>
      </c>
      <c r="E27" s="1827">
        <f>E8</f>
        <v>0</v>
      </c>
      <c r="F27" s="1827">
        <f>'Expenditures 15-22'!K60-SUM('Expenditures 15-22'!G60,'Expenditures 15-22'!I60)+'Expenditures 15-22'!D264-E8</f>
        <v>9290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0</v>
      </c>
      <c r="F28" s="1829">
        <f>'Expenditures 15-22'!K61-SUM('Expenditures 15-22'!G61,'Expenditures 15-22'!I61)+'Expenditures 15-22'!K124-SUM('Expenditures 15-22'!G124,'Expenditures 15-22'!I124)+'Expenditures 15-22'!D266-E9</f>
        <v>0</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0</v>
      </c>
      <c r="F29" s="1825"/>
      <c r="G29" s="1828">
        <f>'Expenditures 15-22'!K62-SUM('Expenditures 15-22'!G62,'Expenditures 15-22'!I62)+'Expenditures 15-22'!K125-SUM('Expenditures 15-22'!G125,'Expenditures 15-22'!I125)+'Expenditures 15-22'!K182-SUM('Expenditures 15-22'!G182,'Expenditures 15-22'!I182)+'Expenditures 15-22'!D267</f>
        <v>0</v>
      </c>
      <c r="H29" s="986"/>
    </row>
    <row r="30" spans="1:9" ht="12" customHeight="1" x14ac:dyDescent="0.2">
      <c r="A30" s="995" t="s">
        <v>102</v>
      </c>
      <c r="B30" s="998"/>
      <c r="C30" s="994">
        <v>2560</v>
      </c>
      <c r="D30" s="1825"/>
      <c r="E30" s="1827">
        <f>'Expenditures 15-22'!K63-SUM('Expenditures 15-22'!G63,'Expenditures 15-22'!I63)+'Expenditures 15-22'!D268-E10</f>
        <v>0</v>
      </c>
      <c r="F30" s="1825"/>
      <c r="G30" s="1827">
        <f>'Expenditures 15-22'!K63-SUM('Expenditures 15-22'!G63,'Expenditures 15-22'!I63)+'Expenditures 15-22'!D268-E10</f>
        <v>0</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9290</v>
      </c>
      <c r="E41" s="1829">
        <f>SUM(E19:E40)</f>
        <v>130324</v>
      </c>
      <c r="F41" s="1829">
        <f>SUM(F19:F39)</f>
        <v>9290</v>
      </c>
      <c r="G41" s="1829">
        <f>SUM(G19:G40)</f>
        <v>130324</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9290</v>
      </c>
      <c r="F43" s="1830" t="s">
        <v>495</v>
      </c>
      <c r="G43" s="1831">
        <f>F41</f>
        <v>9290</v>
      </c>
    </row>
    <row r="44" spans="1:7" ht="12" customHeight="1" x14ac:dyDescent="0.2">
      <c r="A44" s="988"/>
      <c r="B44" s="162"/>
      <c r="C44" s="1002"/>
      <c r="D44" s="1830" t="s">
        <v>494</v>
      </c>
      <c r="E44" s="1831">
        <f>E41</f>
        <v>130324</v>
      </c>
      <c r="F44" s="1830" t="s">
        <v>494</v>
      </c>
      <c r="G44" s="1831">
        <f>G41</f>
        <v>130324</v>
      </c>
    </row>
    <row r="45" spans="1:7" ht="12" customHeight="1" x14ac:dyDescent="0.2">
      <c r="A45" s="988"/>
      <c r="B45" s="162"/>
      <c r="C45" s="162"/>
      <c r="D45" s="1832" t="s">
        <v>1063</v>
      </c>
      <c r="E45" s="1833">
        <f>(E43/E44)</f>
        <v>7.1283877106288945E-2</v>
      </c>
      <c r="F45" s="1832" t="s">
        <v>1063</v>
      </c>
      <c r="G45" s="1833">
        <f>(G43/G44)</f>
        <v>7.1283877106288945E-2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A38" sqref="A38:H38"/>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2" t="s">
        <v>1446</v>
      </c>
      <c r="B1" s="2312"/>
      <c r="C1" s="2312"/>
      <c r="D1" s="2312"/>
      <c r="E1" s="2312"/>
      <c r="F1" s="2312"/>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3" t="s">
        <v>1627</v>
      </c>
      <c r="B5" s="2314"/>
      <c r="C5" s="2315"/>
      <c r="D5" s="2315"/>
      <c r="E5" s="2315"/>
      <c r="F5" s="2315"/>
    </row>
    <row r="6" spans="1:10" ht="12" customHeight="1" x14ac:dyDescent="0.25">
      <c r="A6" s="1875"/>
      <c r="B6" s="1876"/>
      <c r="C6" s="2316" t="str">
        <f>COVER!A17</f>
        <v>Eagle Ridge Vocational Del System</v>
      </c>
      <c r="D6" s="2316"/>
      <c r="E6" s="2316"/>
      <c r="F6" s="1877"/>
    </row>
    <row r="7" spans="1:10" ht="11.25" customHeight="1" thickBot="1" x14ac:dyDescent="0.3">
      <c r="A7" s="1875"/>
      <c r="B7" s="1876"/>
      <c r="C7" s="2317">
        <f>COVER!A13</f>
        <v>8000000046</v>
      </c>
      <c r="D7" s="2317"/>
      <c r="E7" s="2317"/>
      <c r="F7" s="1877"/>
    </row>
    <row r="8" spans="1:10" ht="25.5" customHeight="1" thickBot="1" x14ac:dyDescent="0.25">
      <c r="A8" s="1918" t="s">
        <v>2025</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2102</v>
      </c>
      <c r="D26" s="1890" t="s">
        <v>2102</v>
      </c>
      <c r="E26" s="1893" t="s">
        <v>2102</v>
      </c>
      <c r="F26" s="1892" t="s">
        <v>2093</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t="s">
        <v>2102</v>
      </c>
      <c r="D32" s="1890" t="s">
        <v>2102</v>
      </c>
      <c r="E32" s="1893" t="s">
        <v>2102</v>
      </c>
      <c r="F32" s="1892" t="s">
        <v>2093</v>
      </c>
      <c r="H32" s="1903">
        <f t="shared" si="0"/>
        <v>5</v>
      </c>
      <c r="I32" s="1903">
        <f t="shared" si="1"/>
        <v>5</v>
      </c>
      <c r="J32" s="1903">
        <f t="shared" si="2"/>
        <v>5</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10</v>
      </c>
      <c r="I34" s="1903">
        <f>SUM(I11:I32)</f>
        <v>10</v>
      </c>
      <c r="J34" s="1903">
        <f>SUM(J11:J32)</f>
        <v>10</v>
      </c>
      <c r="K34" s="1903">
        <f>SUM(H34:J34)</f>
        <v>30</v>
      </c>
    </row>
    <row r="35" spans="1:11" ht="12" customHeight="1" x14ac:dyDescent="0.2">
      <c r="A35" s="1896" t="s">
        <v>1459</v>
      </c>
      <c r="B35" s="1897"/>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898"/>
      <c r="B39" s="1898"/>
      <c r="C39" s="1898"/>
      <c r="D39" s="1898"/>
      <c r="E39" s="1898"/>
      <c r="F39" s="1898"/>
    </row>
    <row r="40" spans="1:11" s="1895" customFormat="1" ht="12" customHeight="1" x14ac:dyDescent="0.25">
      <c r="A40" s="1899" t="s">
        <v>1458</v>
      </c>
      <c r="B40" s="1900"/>
      <c r="C40" s="2326"/>
      <c r="D40" s="2326"/>
      <c r="E40" s="2326"/>
      <c r="F40" s="2327"/>
      <c r="H40" s="1904"/>
      <c r="I40" s="1904"/>
      <c r="J40" s="1904"/>
      <c r="K40" s="1904"/>
    </row>
    <row r="41" spans="1:11" s="1895" customFormat="1" ht="12" customHeight="1" x14ac:dyDescent="0.25">
      <c r="A41" s="2328"/>
      <c r="B41" s="2329"/>
      <c r="C41" s="2329"/>
      <c r="D41" s="2329"/>
      <c r="E41" s="2329"/>
      <c r="F41" s="2330"/>
      <c r="H41" s="1904"/>
      <c r="I41" s="1904"/>
      <c r="J41" s="1904"/>
      <c r="K41" s="1904"/>
    </row>
    <row r="42" spans="1:11" s="1895" customFormat="1" ht="12" customHeight="1" x14ac:dyDescent="0.25">
      <c r="A42" s="2328" t="s">
        <v>2103</v>
      </c>
      <c r="B42" s="2329"/>
      <c r="C42" s="2329"/>
      <c r="D42" s="2329"/>
      <c r="E42" s="2329"/>
      <c r="F42" s="2330"/>
      <c r="H42" s="1904"/>
      <c r="I42" s="1904"/>
      <c r="J42" s="1904"/>
      <c r="K42" s="1904"/>
    </row>
    <row r="43" spans="1:11" s="1895" customFormat="1" ht="15" x14ac:dyDescent="0.25">
      <c r="A43" s="2320"/>
      <c r="B43" s="2321"/>
      <c r="C43" s="2321"/>
      <c r="D43" s="2321"/>
      <c r="E43" s="2321"/>
      <c r="F43" s="2322"/>
      <c r="H43" s="1904"/>
      <c r="I43" s="1904"/>
      <c r="J43" s="1904"/>
      <c r="K43" s="1904"/>
    </row>
    <row r="44" spans="1:11" s="1895" customFormat="1" ht="12" hidden="1" customHeight="1" x14ac:dyDescent="0.25">
      <c r="A44" s="2320"/>
      <c r="B44" s="2321"/>
      <c r="C44" s="2321"/>
      <c r="D44" s="2321"/>
      <c r="E44" s="2321"/>
      <c r="F44" s="232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A38" sqref="A38:H38"/>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Eagle Ridge Vocational Del System</v>
      </c>
      <c r="J6" s="2337"/>
      <c r="Q6" s="1686"/>
    </row>
    <row r="7" spans="1:17" x14ac:dyDescent="0.2">
      <c r="A7" s="2338" t="s">
        <v>924</v>
      </c>
      <c r="B7" s="2339"/>
      <c r="C7" s="2339"/>
      <c r="D7" s="2339"/>
      <c r="E7" s="2340"/>
      <c r="F7" s="1018"/>
      <c r="G7" s="1010"/>
      <c r="H7" s="1017" t="s">
        <v>390</v>
      </c>
      <c r="I7" s="2341">
        <f>COVER!A13</f>
        <v>8000000046</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0</v>
      </c>
      <c r="F12" s="1040"/>
      <c r="G12" s="1834">
        <f t="shared" ref="G12:G18" si="0">SUM(E12:F12)</f>
        <v>0</v>
      </c>
      <c r="H12" s="1041"/>
      <c r="I12" s="1040"/>
      <c r="J12" s="1834">
        <f t="shared" ref="J12:J18" si="1">SUM(H12:I12)</f>
        <v>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0</v>
      </c>
      <c r="F19" s="1836">
        <f t="shared" si="2"/>
        <v>0</v>
      </c>
      <c r="G19" s="1836">
        <f t="shared" si="2"/>
        <v>0</v>
      </c>
      <c r="H19" s="1836">
        <f t="shared" si="2"/>
        <v>0</v>
      </c>
      <c r="I19" s="1836">
        <f t="shared" si="2"/>
        <v>0</v>
      </c>
      <c r="J19" s="1836">
        <f t="shared" si="2"/>
        <v>0</v>
      </c>
    </row>
    <row r="20" spans="1:10" ht="13.5" thickTop="1" x14ac:dyDescent="0.2">
      <c r="A20" s="1036">
        <v>9</v>
      </c>
      <c r="B20" s="2348" t="s">
        <v>1703</v>
      </c>
      <c r="C20" s="2348"/>
      <c r="D20" s="2349"/>
      <c r="E20" s="1047"/>
      <c r="F20" s="1047"/>
      <c r="G20" s="1047"/>
      <c r="H20" s="1047"/>
      <c r="I20" s="1047"/>
      <c r="J20" s="1837" t="str">
        <f>IF(AND(G19&gt;0,J19&gt;0),(((J19-G19)/G19)),"Enter Budget Data")</f>
        <v>Enter Budget Data</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c r="D28" s="2352"/>
      <c r="E28" s="1055"/>
      <c r="F28" s="2352"/>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1944</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G65"/>
  <sheetViews>
    <sheetView showGridLines="0" zoomScale="110" zoomScaleNormal="110" workbookViewId="0">
      <selection activeCell="A38" sqref="A38:H38"/>
    </sheetView>
  </sheetViews>
  <sheetFormatPr defaultRowHeight="12.75" x14ac:dyDescent="0.2"/>
  <cols>
    <col min="1" max="1" width="3" style="329" customWidth="1"/>
    <col min="2" max="5" width="13.7109375" style="329" customWidth="1"/>
    <col min="6" max="6" width="39" style="329" bestFit="1" customWidth="1"/>
    <col min="7" max="7" width="13.7109375" style="329" customWidth="1"/>
    <col min="8" max="16384" width="9.140625" style="329"/>
  </cols>
  <sheetData>
    <row r="2" spans="1:7" x14ac:dyDescent="0.2">
      <c r="A2" s="389" t="s">
        <v>276</v>
      </c>
    </row>
    <row r="3" spans="1:7" x14ac:dyDescent="0.2">
      <c r="A3" s="329" t="s">
        <v>277</v>
      </c>
    </row>
    <row r="5" spans="1:7" x14ac:dyDescent="0.2">
      <c r="A5" s="1069"/>
      <c r="B5" s="1956" t="s">
        <v>2094</v>
      </c>
      <c r="C5" s="1956" t="s">
        <v>2095</v>
      </c>
      <c r="D5" s="1956" t="s">
        <v>2096</v>
      </c>
      <c r="E5" s="1956" t="s">
        <v>2097</v>
      </c>
      <c r="F5" s="1956" t="s">
        <v>502</v>
      </c>
      <c r="G5" s="1956" t="s">
        <v>2098</v>
      </c>
    </row>
    <row r="6" spans="1:7" x14ac:dyDescent="0.2">
      <c r="A6" s="1069"/>
      <c r="B6" s="1956"/>
      <c r="C6" s="1956"/>
      <c r="D6" s="1956"/>
      <c r="E6" s="1956"/>
      <c r="F6" s="1956"/>
      <c r="G6" s="1956"/>
    </row>
    <row r="7" spans="1:7" ht="13.5" thickBot="1" x14ac:dyDescent="0.25">
      <c r="A7" s="1069"/>
      <c r="B7" s="1957">
        <v>4799</v>
      </c>
      <c r="C7" s="1957">
        <v>13</v>
      </c>
      <c r="D7" s="1957">
        <v>10</v>
      </c>
      <c r="E7" s="1957">
        <v>227</v>
      </c>
      <c r="F7" s="329" t="s">
        <v>2100</v>
      </c>
      <c r="G7" s="1958">
        <v>45740</v>
      </c>
    </row>
    <row r="8" spans="1:7" ht="13.5" thickTop="1" x14ac:dyDescent="0.2">
      <c r="A8" s="1069"/>
    </row>
    <row r="9" spans="1:7" x14ac:dyDescent="0.2">
      <c r="A9" s="1069"/>
    </row>
    <row r="10" spans="1:7" x14ac:dyDescent="0.2">
      <c r="A10" s="1070"/>
    </row>
    <row r="11" spans="1:7" x14ac:dyDescent="0.2">
      <c r="A11" s="1070"/>
    </row>
    <row r="12" spans="1:7" x14ac:dyDescent="0.2">
      <c r="A12" s="1070"/>
    </row>
    <row r="13" spans="1:7" x14ac:dyDescent="0.2">
      <c r="A13" s="1070"/>
    </row>
    <row r="14" spans="1:7" x14ac:dyDescent="0.2">
      <c r="A14" s="1070"/>
    </row>
    <row r="15" spans="1:7" x14ac:dyDescent="0.2">
      <c r="A15" s="1070"/>
    </row>
    <row r="16" spans="1:7"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Eagle Ridge Vocational Del System</v>
      </c>
    </row>
    <row r="65" spans="2:2" x14ac:dyDescent="0.2">
      <c r="B65" s="1071">
        <f>COVER!A13</f>
        <v>8000000046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A38" sqref="A38:H38"/>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2" t="s">
        <v>1125</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715</v>
      </c>
      <c r="B40" s="2069"/>
      <c r="C40" s="2069"/>
      <c r="D40" s="2069"/>
      <c r="E40" s="2069"/>
    </row>
    <row r="41" spans="1:5" x14ac:dyDescent="0.2">
      <c r="A41" s="2070" t="s">
        <v>1706</v>
      </c>
      <c r="B41" s="2070"/>
      <c r="C41" s="2070"/>
      <c r="D41" s="2070"/>
      <c r="E41" s="2070"/>
    </row>
    <row r="42" spans="1:5" ht="12.75" customHeight="1" x14ac:dyDescent="0.2">
      <c r="A42" s="2071" t="s">
        <v>1080</v>
      </c>
      <c r="B42" s="2071"/>
      <c r="C42" s="2071"/>
      <c r="D42" s="2071"/>
      <c r="E42" s="2071"/>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38" sqref="A38:H3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1685925</xdr:colOff>
                <xdr:row>3</xdr:row>
                <xdr:rowOff>104775</xdr:rowOff>
              </from>
              <to>
                <xdr:col>1</xdr:col>
                <xdr:colOff>2600325</xdr:colOff>
                <xdr:row>8</xdr:row>
                <xdr:rowOff>66675</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6" zoomScale="110" zoomScaleNormal="110" workbookViewId="0">
      <selection activeCell="A38" sqref="A38:H38"/>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2056</v>
      </c>
      <c r="B4" s="2376"/>
      <c r="C4" s="2376"/>
      <c r="D4" s="2376"/>
      <c r="E4" s="2376"/>
      <c r="F4" s="2377"/>
      <c r="G4" s="1075"/>
      <c r="H4" s="1075"/>
    </row>
    <row r="5" spans="1:8" ht="14.25" customHeight="1" x14ac:dyDescent="0.2">
      <c r="A5" s="2378" t="s">
        <v>2057</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589040</v>
      </c>
      <c r="C8" s="1838">
        <f>'Acct Summary 7-8'!D8</f>
        <v>0</v>
      </c>
      <c r="D8" s="1838">
        <f>'Acct Summary 7-8'!F8</f>
        <v>0</v>
      </c>
      <c r="E8" s="1838">
        <f>'Acct Summary 7-8'!I8</f>
        <v>0</v>
      </c>
      <c r="F8" s="1838">
        <f>SUM(B8:E8)</f>
        <v>589040</v>
      </c>
    </row>
    <row r="9" spans="1:8" s="1080" customFormat="1" ht="14.25" customHeight="1" thickBot="1" x14ac:dyDescent="0.25">
      <c r="A9" s="1079" t="s">
        <v>1436</v>
      </c>
      <c r="B9" s="1839">
        <f>'Acct Summary 7-8'!C17</f>
        <v>566233</v>
      </c>
      <c r="C9" s="1839">
        <f>'Acct Summary 7-8'!D17</f>
        <v>0</v>
      </c>
      <c r="D9" s="1839">
        <f>'Acct Summary 7-8'!F17</f>
        <v>0</v>
      </c>
      <c r="E9" s="1838"/>
      <c r="F9" s="1838">
        <f>SUM(B9:E9)</f>
        <v>566233</v>
      </c>
    </row>
    <row r="10" spans="1:8" s="1080" customFormat="1" ht="14.25" thickTop="1" thickBot="1" x14ac:dyDescent="0.25">
      <c r="A10" s="1081" t="s">
        <v>1437</v>
      </c>
      <c r="B10" s="1840">
        <f>(B8-B9)</f>
        <v>22807</v>
      </c>
      <c r="C10" s="1840">
        <f>(C8-C9)</f>
        <v>0</v>
      </c>
      <c r="D10" s="1840">
        <f>(D8-D9)</f>
        <v>0</v>
      </c>
      <c r="E10" s="1839">
        <f>(E8-E9)</f>
        <v>0</v>
      </c>
      <c r="F10" s="1841">
        <f>SUM(F8-F9)</f>
        <v>22807</v>
      </c>
    </row>
    <row r="11" spans="1:8" s="1080" customFormat="1" ht="14.25" thickTop="1" thickBot="1" x14ac:dyDescent="0.25">
      <c r="A11" s="1082" t="s">
        <v>1785</v>
      </c>
      <c r="B11" s="1842">
        <f>'Acct Summary 7-8'!C81</f>
        <v>12870</v>
      </c>
      <c r="C11" s="1842">
        <f>'Acct Summary 7-8'!D81</f>
        <v>0</v>
      </c>
      <c r="D11" s="1842">
        <f>'Acct Summary 7-8'!F81</f>
        <v>0</v>
      </c>
      <c r="E11" s="1842">
        <f>'Acct Summary 7-8'!I81</f>
        <v>0</v>
      </c>
      <c r="F11" s="1843">
        <f>SUM(B11:E11)</f>
        <v>12870</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3"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ENTRY IS REQUIRED!</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8000000046</v>
      </c>
    </row>
    <row r="3" spans="1:2" x14ac:dyDescent="0.2">
      <c r="A3" t="s">
        <v>1013</v>
      </c>
      <c r="B3" s="138" t="str">
        <f>COVER!A15</f>
        <v>CARROLL, JO DAVIESS</v>
      </c>
    </row>
    <row r="4" spans="1:2" x14ac:dyDescent="0.2">
      <c r="A4" t="s">
        <v>1064</v>
      </c>
      <c r="B4" s="138" t="str">
        <f>COVER!A17</f>
        <v>Eagle Ridge Vocational Del System</v>
      </c>
    </row>
    <row r="5" spans="1:2" x14ac:dyDescent="0.2">
      <c r="A5" t="s">
        <v>728</v>
      </c>
      <c r="B5" s="138" t="str">
        <f>COVER!A38</f>
        <v>KRIS HALL</v>
      </c>
    </row>
    <row r="6" spans="1:2" x14ac:dyDescent="0.2">
      <c r="A6" t="s">
        <v>733</v>
      </c>
      <c r="B6" s="138">
        <f>COVER!P35</f>
        <v>0</v>
      </c>
    </row>
    <row r="7" spans="1:2" x14ac:dyDescent="0.2">
      <c r="A7" t="s">
        <v>729</v>
      </c>
      <c r="B7" s="138">
        <f>COVER!I38</f>
        <v>0</v>
      </c>
    </row>
    <row r="8" spans="1:2" x14ac:dyDescent="0.2">
      <c r="A8" t="s">
        <v>730</v>
      </c>
      <c r="B8" s="138" t="str">
        <f>COVER!T38</f>
        <v>AARON MERCIER</v>
      </c>
    </row>
    <row r="9" spans="1:2" x14ac:dyDescent="0.2">
      <c r="A9" s="3" t="s">
        <v>1014</v>
      </c>
      <c r="B9" s="158" t="str">
        <f>AUDITCHECK!D23</f>
        <v>CASH</v>
      </c>
    </row>
    <row r="10" spans="1:2" x14ac:dyDescent="0.2">
      <c r="A10" t="s">
        <v>1033</v>
      </c>
      <c r="B10" s="138">
        <f>COVER!B5</f>
        <v>0</v>
      </c>
    </row>
    <row r="11" spans="1:2" x14ac:dyDescent="0.2">
      <c r="A11" t="s">
        <v>1034</v>
      </c>
      <c r="B11" s="138" t="str">
        <f>COVER!B6</f>
        <v>X</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066-004238</v>
      </c>
    </row>
    <row r="16" spans="1:2" x14ac:dyDescent="0.2">
      <c r="A16" t="s">
        <v>442</v>
      </c>
      <c r="B16" s="138" t="str">
        <f>COVER!T13</f>
        <v>BENNING GROUP, LLC</v>
      </c>
    </row>
    <row r="17" spans="1:2" x14ac:dyDescent="0.2">
      <c r="A17" t="s">
        <v>939</v>
      </c>
      <c r="B17" s="138" t="str">
        <f>COVER!T15</f>
        <v>JENNY L. BLOCKER</v>
      </c>
    </row>
    <row r="18" spans="1:2" x14ac:dyDescent="0.2">
      <c r="A18" t="s">
        <v>1212</v>
      </c>
      <c r="B18" s="138" t="str">
        <f>COVER!T17</f>
        <v>50 W. DOUGLAS STREET, SUITE 801</v>
      </c>
    </row>
    <row r="19" spans="1:2" x14ac:dyDescent="0.2">
      <c r="A19" t="s">
        <v>941</v>
      </c>
      <c r="B19" s="138" t="str">
        <f>COVER!T25</f>
        <v>jblocker@benninggroup.com</v>
      </c>
    </row>
    <row r="20" spans="1:2" x14ac:dyDescent="0.2">
      <c r="A20" t="s">
        <v>942</v>
      </c>
      <c r="B20" s="138" t="str">
        <f>COVER!T19</f>
        <v>FREEPORT</v>
      </c>
    </row>
    <row r="21" spans="1:2" x14ac:dyDescent="0.2">
      <c r="A21" t="s">
        <v>500</v>
      </c>
      <c r="B21" s="138" t="str">
        <f>COVER!X19</f>
        <v>IL</v>
      </c>
    </row>
    <row r="22" spans="1:2" x14ac:dyDescent="0.2">
      <c r="A22" t="s">
        <v>943</v>
      </c>
      <c r="B22" s="138">
        <f>COVER!Z19</f>
        <v>61032</v>
      </c>
    </row>
    <row r="23" spans="1:2" x14ac:dyDescent="0.2">
      <c r="A23" t="s">
        <v>1214</v>
      </c>
      <c r="B23" s="138" t="str">
        <f>COVER!T21</f>
        <v>815/235-3157</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22870</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10000</v>
      </c>
      <c r="C91" s="2" t="s">
        <v>594</v>
      </c>
      <c r="D91" s="2" t="str">
        <f t="shared" si="0"/>
        <v>Error?</v>
      </c>
    </row>
    <row r="92" spans="1:4" x14ac:dyDescent="0.2">
      <c r="A92" s="5">
        <v>31</v>
      </c>
      <c r="B92" s="138">
        <f>'Assets-Liab 5-6'!C39</f>
        <v>0</v>
      </c>
      <c r="D92" s="2" t="str">
        <f t="shared" si="0"/>
        <v>Error?</v>
      </c>
    </row>
    <row r="93" spans="1:4" x14ac:dyDescent="0.2">
      <c r="A93" s="5">
        <v>32</v>
      </c>
      <c r="B93" s="138">
        <f>'Assets-Liab 5-6'!C41</f>
        <v>22870</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0</v>
      </c>
      <c r="D123" s="2" t="str">
        <f t="shared" si="0"/>
        <v>Error?</v>
      </c>
    </row>
    <row r="124" spans="1:4" x14ac:dyDescent="0.2">
      <c r="A124" s="5">
        <v>63</v>
      </c>
      <c r="B124" s="138">
        <f>'Assets-Liab 5-6'!D41</f>
        <v>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0</v>
      </c>
      <c r="D274" s="2" t="str">
        <f t="shared" si="3"/>
        <v>Error?</v>
      </c>
    </row>
    <row r="275" spans="1:4" x14ac:dyDescent="0.2">
      <c r="A275" s="5">
        <v>214</v>
      </c>
      <c r="B275" s="138">
        <f>'Assets-Liab 5-6'!M18</f>
        <v>0</v>
      </c>
      <c r="D275" s="2" t="str">
        <f t="shared" si="3"/>
        <v>Error?</v>
      </c>
    </row>
    <row r="276" spans="1:4" x14ac:dyDescent="0.2">
      <c r="A276" s="5">
        <v>215</v>
      </c>
      <c r="B276" s="138">
        <f>'Assets-Liab 5-6'!M19</f>
        <v>77518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77518</v>
      </c>
      <c r="C279" s="2" t="s">
        <v>594</v>
      </c>
      <c r="D279" s="2" t="str">
        <f t="shared" si="3"/>
        <v>Error?</v>
      </c>
    </row>
    <row r="280" spans="1:4" x14ac:dyDescent="0.2">
      <c r="A280" s="5">
        <v>219</v>
      </c>
      <c r="B280" s="138">
        <f>'Assets-Liab 5-6'!M40</f>
        <v>77518</v>
      </c>
      <c r="D280" s="2" t="str">
        <f t="shared" si="3"/>
        <v>Error?</v>
      </c>
    </row>
    <row r="281" spans="1:4" x14ac:dyDescent="0.2">
      <c r="A281" s="5">
        <v>220</v>
      </c>
      <c r="B281" s="138">
        <f>'Assets-Liab 5-6'!M41</f>
        <v>77518</v>
      </c>
      <c r="C281" s="2" t="s">
        <v>594</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594</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594</v>
      </c>
      <c r="D287" s="2" t="str">
        <f t="shared" si="3"/>
        <v>Error?</v>
      </c>
    </row>
    <row r="288" spans="1:4" x14ac:dyDescent="0.2">
      <c r="A288" s="5">
        <v>227</v>
      </c>
      <c r="B288" s="138">
        <f>'Assets-Liab 5-6'!N41</f>
        <v>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0</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0</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36068</v>
      </c>
      <c r="D732" s="2" t="str">
        <f t="shared" si="10"/>
        <v>Error?</v>
      </c>
    </row>
    <row r="733" spans="1:4" x14ac:dyDescent="0.2">
      <c r="A733" s="5">
        <v>672</v>
      </c>
      <c r="B733" s="138">
        <f>'Expenditures 15-22'!C50</f>
        <v>0</v>
      </c>
      <c r="D733" s="2" t="str">
        <f t="shared" si="10"/>
        <v>Error?</v>
      </c>
    </row>
    <row r="734" spans="1:4" x14ac:dyDescent="0.2">
      <c r="A734" s="5">
        <v>673</v>
      </c>
      <c r="B734" s="138">
        <f>'Expenditures 15-22'!C53</f>
        <v>36068</v>
      </c>
      <c r="C734" s="2" t="s">
        <v>594</v>
      </c>
      <c r="D734" s="2" t="str">
        <f t="shared" si="10"/>
        <v>Error?</v>
      </c>
    </row>
    <row r="735" spans="1:4" x14ac:dyDescent="0.2">
      <c r="A735" s="5">
        <v>674</v>
      </c>
      <c r="B735" s="138">
        <f>'Expenditures 15-22'!C55</f>
        <v>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0</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36068</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36068</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0</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7675</v>
      </c>
      <c r="D790" s="2" t="str">
        <f t="shared" si="11"/>
        <v>Error?</v>
      </c>
    </row>
    <row r="791" spans="1:4" x14ac:dyDescent="0.2">
      <c r="A791" s="5">
        <v>730</v>
      </c>
      <c r="B791" s="138">
        <f>'Expenditures 15-22'!D50</f>
        <v>0</v>
      </c>
      <c r="D791" s="2" t="str">
        <f t="shared" si="11"/>
        <v>Error?</v>
      </c>
    </row>
    <row r="792" spans="1:4" x14ac:dyDescent="0.2">
      <c r="A792" s="5">
        <v>731</v>
      </c>
      <c r="B792" s="138">
        <f>'Expenditures 15-22'!D53</f>
        <v>7675</v>
      </c>
      <c r="C792" s="2" t="s">
        <v>594</v>
      </c>
      <c r="D792" s="2" t="str">
        <f t="shared" si="11"/>
        <v>Error?</v>
      </c>
    </row>
    <row r="793" spans="1:4" x14ac:dyDescent="0.2">
      <c r="A793" s="5">
        <v>732</v>
      </c>
      <c r="B793" s="138">
        <f>'Expenditures 15-22'!D55</f>
        <v>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0</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7675</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7675</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12153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12153</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594</v>
      </c>
      <c r="D843" s="2" t="str">
        <f t="shared" si="12"/>
        <v>Error?</v>
      </c>
    </row>
    <row r="844" spans="1:4" x14ac:dyDescent="0.2">
      <c r="A844" s="5">
        <v>783</v>
      </c>
      <c r="B844" s="138">
        <f>'Expenditures 15-22'!E44</f>
        <v>11017</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11017</v>
      </c>
      <c r="C847" s="2" t="s">
        <v>594</v>
      </c>
      <c r="D847" s="2" t="str">
        <f t="shared" si="12"/>
        <v>Error?</v>
      </c>
    </row>
    <row r="848" spans="1:4" x14ac:dyDescent="0.2">
      <c r="A848" s="5">
        <v>787</v>
      </c>
      <c r="B848" s="138">
        <f>'Expenditures 15-22'!E49</f>
        <v>14691</v>
      </c>
      <c r="D848" s="2" t="str">
        <f t="shared" si="12"/>
        <v>Error?</v>
      </c>
    </row>
    <row r="849" spans="1:4" x14ac:dyDescent="0.2">
      <c r="A849" s="5">
        <v>788</v>
      </c>
      <c r="B849" s="138">
        <f>'Expenditures 15-22'!E50</f>
        <v>0</v>
      </c>
      <c r="D849" s="2" t="str">
        <f t="shared" si="12"/>
        <v>Error?</v>
      </c>
    </row>
    <row r="850" spans="1:4" x14ac:dyDescent="0.2">
      <c r="A850" s="5">
        <v>789</v>
      </c>
      <c r="B850" s="138">
        <f>'Expenditures 15-22'!E53</f>
        <v>14691</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9290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9290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34998</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47151</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48720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48720</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0</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0</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48720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44880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44880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44880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381739</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381739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105753</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0</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105753</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0</v>
      </c>
      <c r="C1115" s="2" t="s">
        <v>594</v>
      </c>
      <c r="D1115" s="2" t="str">
        <f t="shared" si="16"/>
        <v>Error?</v>
      </c>
    </row>
    <row r="1116" spans="1:4" x14ac:dyDescent="0.2">
      <c r="A1116" s="5">
        <v>1055</v>
      </c>
      <c r="B1116" s="138">
        <f>'Expenditures 15-22'!K44</f>
        <v>11017</v>
      </c>
      <c r="C1116" s="2" t="s">
        <v>594</v>
      </c>
      <c r="D1116" s="2" t="str">
        <f t="shared" si="16"/>
        <v>Error?</v>
      </c>
    </row>
    <row r="1117" spans="1:4" x14ac:dyDescent="0.2">
      <c r="A1117" s="5">
        <v>1056</v>
      </c>
      <c r="B1117" s="138">
        <f>'Expenditures 15-22'!K45</f>
        <v>0</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11017</v>
      </c>
      <c r="C1119" s="2" t="s">
        <v>594</v>
      </c>
      <c r="D1119" s="2" t="str">
        <f t="shared" si="16"/>
        <v>Error?</v>
      </c>
    </row>
    <row r="1120" spans="1:4" x14ac:dyDescent="0.2">
      <c r="A1120" s="5">
        <v>1059</v>
      </c>
      <c r="B1120" s="138">
        <f>'Expenditures 15-22'!K49</f>
        <v>58434</v>
      </c>
      <c r="C1120" s="2" t="s">
        <v>594</v>
      </c>
      <c r="D1120" s="2" t="str">
        <f t="shared" si="16"/>
        <v>Error?</v>
      </c>
    </row>
    <row r="1121" spans="1:4" x14ac:dyDescent="0.2">
      <c r="A1121" s="5">
        <v>1060</v>
      </c>
      <c r="B1121" s="138">
        <f>'Expenditures 15-22'!K50</f>
        <v>0</v>
      </c>
      <c r="C1121" s="2" t="s">
        <v>594</v>
      </c>
      <c r="D1121" s="2" t="str">
        <f t="shared" si="16"/>
        <v>Error?</v>
      </c>
    </row>
    <row r="1122" spans="1:4" x14ac:dyDescent="0.2">
      <c r="A1122" s="5">
        <v>1061</v>
      </c>
      <c r="B1122" s="138">
        <f>'Expenditures 15-22'!K53</f>
        <v>58434</v>
      </c>
      <c r="C1122" s="2" t="s">
        <v>594</v>
      </c>
      <c r="D1122" s="2" t="str">
        <f t="shared" si="16"/>
        <v>Error?</v>
      </c>
    </row>
    <row r="1123" spans="1:4" x14ac:dyDescent="0.2">
      <c r="A1123" s="5">
        <v>1062</v>
      </c>
      <c r="B1123" s="138">
        <f>'Expenditures 15-22'!K55</f>
        <v>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9290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0</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9290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78741</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381739</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566233</v>
      </c>
      <c r="C1152" s="2" t="s">
        <v>594</v>
      </c>
      <c r="D1152" s="2" t="str">
        <f t="shared" si="17"/>
        <v>Error?</v>
      </c>
    </row>
    <row r="1153" spans="1:4" x14ac:dyDescent="0.2">
      <c r="A1153" s="5">
        <v>1092</v>
      </c>
      <c r="B1153" s="138">
        <f>'Expenditures 15-22'!K115</f>
        <v>22807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594</v>
      </c>
      <c r="D1225" s="2" t="str">
        <f t="shared" si="18"/>
        <v>Error?</v>
      </c>
    </row>
    <row r="1226" spans="1:4" x14ac:dyDescent="0.2">
      <c r="A1226" s="5">
        <v>1165</v>
      </c>
      <c r="B1226" s="138">
        <f>'Expenditures 15-22'!C151</f>
        <v>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0</v>
      </c>
      <c r="D1237" s="2" t="str">
        <f t="shared" si="18"/>
        <v>Error?</v>
      </c>
    </row>
    <row r="1238" spans="1:4" x14ac:dyDescent="0.2">
      <c r="A1238" s="10">
        <v>1177</v>
      </c>
      <c r="D1238" s="2" t="str">
        <f t="shared" si="18"/>
        <v>OK</v>
      </c>
    </row>
    <row r="1239" spans="1:4" x14ac:dyDescent="0.2">
      <c r="A1239" s="5">
        <v>1178</v>
      </c>
      <c r="B1239" s="138">
        <f>'Expenditures 15-22'!E127</f>
        <v>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0</v>
      </c>
      <c r="C1241" s="2" t="s">
        <v>594</v>
      </c>
      <c r="D1241" s="2" t="str">
        <f t="shared" si="18"/>
        <v>Error?</v>
      </c>
    </row>
    <row r="1242" spans="1:4" x14ac:dyDescent="0.2">
      <c r="A1242" s="5">
        <v>1181</v>
      </c>
      <c r="B1242" s="138">
        <f>'Expenditures 15-22'!E151</f>
        <v>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0</v>
      </c>
      <c r="D1245" s="2" t="str">
        <f t="shared" si="18"/>
        <v>Error?</v>
      </c>
    </row>
    <row r="1246" spans="1:4" x14ac:dyDescent="0.2">
      <c r="A1246" s="10">
        <v>1185</v>
      </c>
      <c r="D1246" s="2" t="str">
        <f t="shared" si="18"/>
        <v>OK</v>
      </c>
    </row>
    <row r="1247" spans="1:4" x14ac:dyDescent="0.2">
      <c r="A1247" s="5">
        <v>1186</v>
      </c>
      <c r="B1247" s="138">
        <f>'Expenditures 15-22'!F127</f>
        <v>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0</v>
      </c>
      <c r="C1249" s="2" t="s">
        <v>594</v>
      </c>
      <c r="D1249" s="2" t="str">
        <f t="shared" si="18"/>
        <v>Error?</v>
      </c>
    </row>
    <row r="1250" spans="1:4" x14ac:dyDescent="0.2">
      <c r="A1250" s="5">
        <v>1189</v>
      </c>
      <c r="B1250" s="138">
        <f>'Expenditures 15-22'!F151</f>
        <v>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0</v>
      </c>
      <c r="C1288" s="2" t="s">
        <v>594</v>
      </c>
      <c r="D1288" s="2" t="str">
        <f t="shared" si="19"/>
        <v>Error?</v>
      </c>
    </row>
    <row r="1289" spans="1:4" x14ac:dyDescent="0.2">
      <c r="A1289" s="5">
        <v>1228</v>
      </c>
      <c r="B1289" s="138">
        <f>'Expenditures 15-22'!K152</f>
        <v>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0</v>
      </c>
      <c r="C1331" s="2" t="s">
        <v>594</v>
      </c>
      <c r="D1331" s="2" t="str">
        <f t="shared" si="19"/>
        <v>Error?</v>
      </c>
    </row>
    <row r="1332" spans="1:4" x14ac:dyDescent="0.2">
      <c r="A1332" s="5">
        <v>1271</v>
      </c>
      <c r="B1332" s="138">
        <f>'Expenditures 15-22'!K174</f>
        <v>0</v>
      </c>
      <c r="C1332" s="2" t="s">
        <v>594</v>
      </c>
      <c r="D1332" s="2" t="str">
        <f t="shared" si="19"/>
        <v>Error?</v>
      </c>
    </row>
    <row r="1333" spans="1:4" x14ac:dyDescent="0.2">
      <c r="A1333" s="5">
        <v>1272</v>
      </c>
      <c r="B1333" s="138">
        <f>'Expenditures 15-22'!K175</f>
        <v>0</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0</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0</v>
      </c>
      <c r="C1388" s="2" t="s">
        <v>594</v>
      </c>
      <c r="D1388" s="2" t="str">
        <f t="shared" si="20"/>
        <v>Error?</v>
      </c>
    </row>
    <row r="1389" spans="1:4" x14ac:dyDescent="0.2">
      <c r="A1389" s="5">
        <v>1328</v>
      </c>
      <c r="B1389" s="138">
        <f>'Expenditures 15-22'!K211</f>
        <v>0</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0</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0</v>
      </c>
      <c r="C1424" s="2" t="s">
        <v>594</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0</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0</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0</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0</v>
      </c>
      <c r="C1487" s="2" t="s">
        <v>594</v>
      </c>
      <c r="D1487" s="2" t="str">
        <f t="shared" si="22"/>
        <v>Error?</v>
      </c>
    </row>
    <row r="1488" spans="1:4" x14ac:dyDescent="0.2">
      <c r="A1488" s="5">
        <v>1427</v>
      </c>
      <c r="B1488" s="138">
        <f>'Expenditures 15-22'!K257</f>
        <v>0</v>
      </c>
      <c r="C1488" s="2" t="s">
        <v>594</v>
      </c>
      <c r="D1488" s="2" t="str">
        <f t="shared" si="22"/>
        <v>Error?</v>
      </c>
    </row>
    <row r="1489" spans="1:4" x14ac:dyDescent="0.2">
      <c r="A1489" s="5">
        <v>1428</v>
      </c>
      <c r="B1489" s="138">
        <f>'Expenditures 15-22'!K259</f>
        <v>0</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0</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0</v>
      </c>
      <c r="C1517" s="2" t="s">
        <v>594</v>
      </c>
      <c r="D1517" s="2" t="str">
        <f t="shared" si="22"/>
        <v>Error?</v>
      </c>
    </row>
    <row r="1518" spans="1:4" x14ac:dyDescent="0.2">
      <c r="A1518" s="5">
        <v>1457</v>
      </c>
      <c r="B1518" s="138">
        <f>'Expenditures 15-22'!K296</f>
        <v>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-9937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12870</v>
      </c>
      <c r="C1630" s="2" t="s">
        <v>594</v>
      </c>
      <c r="D1630" s="2" t="str">
        <f t="shared" si="24"/>
        <v>Error?</v>
      </c>
    </row>
    <row r="1631" spans="1:4" x14ac:dyDescent="0.2">
      <c r="A1631" s="5">
        <v>1570</v>
      </c>
      <c r="B1631" s="138">
        <f>'Acct Summary 7-8'!D79</f>
        <v>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0</v>
      </c>
      <c r="C1644" s="2" t="s">
        <v>594</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594</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0</v>
      </c>
      <c r="C1672" s="2" t="s">
        <v>594</v>
      </c>
      <c r="D1672" s="2" t="str">
        <f t="shared" si="25"/>
        <v>Error?</v>
      </c>
    </row>
    <row r="1673" spans="1:4" x14ac:dyDescent="0.2">
      <c r="A1673" s="5">
        <v>1612</v>
      </c>
      <c r="B1673" s="138">
        <f>'Acct Summary 7-8'!G79</f>
        <v>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0</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594</v>
      </c>
      <c r="D1744" s="2" t="str">
        <f t="shared" si="26"/>
        <v>Error?</v>
      </c>
    </row>
    <row r="1745" spans="1:5" x14ac:dyDescent="0.2">
      <c r="A1745" s="5">
        <v>1684</v>
      </c>
      <c r="B1745" s="138">
        <f>'Tax Sched 23'!B5</f>
        <v>0</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0</v>
      </c>
      <c r="C1747" s="2" t="s">
        <v>594</v>
      </c>
      <c r="D1747" s="2" t="str">
        <f t="shared" si="26"/>
        <v>Error?</v>
      </c>
    </row>
    <row r="1748" spans="1:5" x14ac:dyDescent="0.2">
      <c r="A1748" s="5">
        <v>1687</v>
      </c>
      <c r="B1748" s="138">
        <f>'Tax Sched 23'!B8</f>
        <v>0</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0</v>
      </c>
      <c r="C1759" s="2" t="s">
        <v>594</v>
      </c>
      <c r="D1759" s="2" t="str">
        <f t="shared" si="26"/>
        <v>Error?</v>
      </c>
    </row>
    <row r="1760" spans="1:5" x14ac:dyDescent="0.2">
      <c r="A1760" s="5">
        <v>1699</v>
      </c>
      <c r="B1760" s="138">
        <f>'Tax Sched 23'!D4</f>
        <v>0</v>
      </c>
      <c r="C1760" s="2" t="s">
        <v>594</v>
      </c>
      <c r="D1760" s="2" t="str">
        <f t="shared" si="26"/>
        <v>Error?</v>
      </c>
    </row>
    <row r="1761" spans="1:5" x14ac:dyDescent="0.2">
      <c r="A1761" s="5">
        <v>1700</v>
      </c>
      <c r="B1761" s="138">
        <f>'Tax Sched 23'!D5</f>
        <v>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0</v>
      </c>
      <c r="C1763" s="2" t="s">
        <v>594</v>
      </c>
      <c r="D1763" s="2" t="str">
        <f t="shared" si="26"/>
        <v>Error?</v>
      </c>
    </row>
    <row r="1764" spans="1:5" x14ac:dyDescent="0.2">
      <c r="A1764" s="5">
        <v>1703</v>
      </c>
      <c r="B1764" s="138">
        <f>'Tax Sched 23'!D8</f>
        <v>0</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0</v>
      </c>
      <c r="C1792" s="2" t="s">
        <v>594</v>
      </c>
      <c r="D1792" s="2" t="str">
        <f t="shared" si="27"/>
        <v>Error?</v>
      </c>
    </row>
    <row r="1793" spans="1:4" x14ac:dyDescent="0.2">
      <c r="A1793" s="5">
        <v>1732</v>
      </c>
      <c r="B1793" s="138">
        <f>'Tax Sched 23'!F5</f>
        <v>0</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0</v>
      </c>
      <c r="C1795" s="2" t="s">
        <v>594</v>
      </c>
      <c r="D1795" s="2" t="str">
        <f t="shared" si="27"/>
        <v>Error?</v>
      </c>
    </row>
    <row r="1796" spans="1:4" x14ac:dyDescent="0.2">
      <c r="A1796" s="5">
        <v>1735</v>
      </c>
      <c r="B1796" s="138">
        <f>'Tax Sched 23'!F8</f>
        <v>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0</v>
      </c>
      <c r="C1807" s="2" t="s">
        <v>594</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0</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32638</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32638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44880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44880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0</v>
      </c>
      <c r="C2027" s="2" t="s">
        <v>594</v>
      </c>
      <c r="D2027" s="2" t="str">
        <f t="shared" si="30"/>
        <v>Error?</v>
      </c>
    </row>
    <row r="2028" spans="1:4" x14ac:dyDescent="0.2">
      <c r="A2028" s="5">
        <v>1967</v>
      </c>
      <c r="B2028" s="138">
        <f>'Cap Outlay Deprec 26'!F10</f>
        <v>0</v>
      </c>
      <c r="C2028" s="2" t="s">
        <v>594</v>
      </c>
      <c r="D2028" s="2" t="str">
        <f t="shared" si="30"/>
        <v>Error?</v>
      </c>
    </row>
    <row r="2029" spans="1:4" x14ac:dyDescent="0.2">
      <c r="A2029" s="5">
        <v>1968</v>
      </c>
      <c r="B2029" s="138">
        <f>'Cap Outlay Deprec 26'!F12</f>
        <v>77518</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77518</v>
      </c>
      <c r="C2031" s="2" t="s">
        <v>594</v>
      </c>
      <c r="D2031" s="2" t="str">
        <f t="shared" si="30"/>
        <v>Error?</v>
      </c>
    </row>
    <row r="2032" spans="1:4" x14ac:dyDescent="0.2">
      <c r="A2032" s="10">
        <v>1971</v>
      </c>
      <c r="D2032" s="2" t="str">
        <f t="shared" si="30"/>
        <v>OK</v>
      </c>
    </row>
    <row r="2033" spans="1:4" x14ac:dyDescent="0.2">
      <c r="A2033" s="5">
        <v>1972</v>
      </c>
      <c r="B2033" s="138">
        <f>'Cap Outlay Deprec 26'!H8</f>
        <v>0</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12838</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12838</v>
      </c>
      <c r="C2037" s="2" t="s">
        <v>594</v>
      </c>
      <c r="D2037" s="2" t="str">
        <f t="shared" si="30"/>
        <v>Error?</v>
      </c>
    </row>
    <row r="2038" spans="1:4" x14ac:dyDescent="0.2">
      <c r="A2038" s="10">
        <v>1977</v>
      </c>
      <c r="D2038" s="2" t="str">
        <f t="shared" si="30"/>
        <v>OK</v>
      </c>
    </row>
    <row r="2039" spans="1:4" x14ac:dyDescent="0.2">
      <c r="A2039" s="5">
        <v>1978</v>
      </c>
      <c r="B2039" s="138">
        <f>'Cap Outlay Deprec 26'!I8</f>
        <v>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4248</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4248</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0</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17086</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17086</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0</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60432</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60432</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12870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0</v>
      </c>
      <c r="C2551" s="2" t="s">
        <v>594</v>
      </c>
      <c r="D2551" s="2" t="str">
        <f t="shared" si="38"/>
        <v>Error?</v>
      </c>
    </row>
    <row r="2552" spans="1:4" x14ac:dyDescent="0.2">
      <c r="A2552" s="10">
        <v>2491</v>
      </c>
      <c r="D2552" s="2" t="str">
        <f t="shared" si="38"/>
        <v>OK</v>
      </c>
    </row>
    <row r="2553" spans="1:4" x14ac:dyDescent="0.2">
      <c r="A2553" s="5">
        <v>2492</v>
      </c>
      <c r="B2553" s="138">
        <f>'Acct Summary 7-8'!C6</f>
        <v>170702</v>
      </c>
      <c r="C2553" s="2" t="s">
        <v>594</v>
      </c>
      <c r="D2553" s="2" t="str">
        <f t="shared" si="38"/>
        <v>Error?</v>
      </c>
    </row>
    <row r="2554" spans="1:4" x14ac:dyDescent="0.2">
      <c r="A2554" s="5">
        <v>2493</v>
      </c>
      <c r="B2554" s="138">
        <f>'Acct Summary 7-8'!C7</f>
        <v>45740</v>
      </c>
      <c r="C2554" s="2" t="s">
        <v>594</v>
      </c>
      <c r="D2554" s="2" t="str">
        <f t="shared" si="38"/>
        <v>Error?</v>
      </c>
    </row>
    <row r="2555" spans="1:4" x14ac:dyDescent="0.2">
      <c r="A2555" s="5">
        <v>2494</v>
      </c>
      <c r="B2555" s="138">
        <f>'Acct Summary 7-8'!C8</f>
        <v>589040</v>
      </c>
      <c r="C2555" s="2" t="s">
        <v>594</v>
      </c>
      <c r="D2555" s="2" t="str">
        <f t="shared" si="38"/>
        <v>Error?</v>
      </c>
    </row>
    <row r="2556" spans="1:4" x14ac:dyDescent="0.2">
      <c r="A2556" s="5">
        <v>2495</v>
      </c>
      <c r="B2556" s="138">
        <f>'Acct Summary 7-8'!C12</f>
        <v>105753</v>
      </c>
      <c r="C2556" s="2" t="s">
        <v>594</v>
      </c>
      <c r="D2556" s="2" t="str">
        <f t="shared" si="38"/>
        <v>Error?</v>
      </c>
    </row>
    <row r="2557" spans="1:4" x14ac:dyDescent="0.2">
      <c r="A2557" s="5">
        <v>2496</v>
      </c>
      <c r="B2557" s="138">
        <f>'Acct Summary 7-8'!C13</f>
        <v>78741</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381739</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566233</v>
      </c>
      <c r="C2561" s="2" t="s">
        <v>594</v>
      </c>
      <c r="D2561" s="2" t="str">
        <f t="shared" si="39"/>
        <v>Error?</v>
      </c>
    </row>
    <row r="2562" spans="1:4" x14ac:dyDescent="0.2">
      <c r="A2562" s="5">
        <v>2501</v>
      </c>
      <c r="B2562" s="138">
        <f>'Acct Summary 7-8'!C20</f>
        <v>22807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0</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0</v>
      </c>
      <c r="C2568" s="2" t="s">
        <v>594</v>
      </c>
      <c r="D2568" s="2" t="str">
        <f t="shared" si="39"/>
        <v>Error?</v>
      </c>
    </row>
    <row r="2569" spans="1:4" x14ac:dyDescent="0.2">
      <c r="A2569" s="5">
        <v>2508</v>
      </c>
      <c r="B2569" s="138">
        <f>'Acct Summary 7-8'!D13</f>
        <v>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0</v>
      </c>
      <c r="C2573" s="2" t="s">
        <v>594</v>
      </c>
      <c r="D2573" s="2" t="str">
        <f t="shared" si="39"/>
        <v>Error?</v>
      </c>
    </row>
    <row r="2574" spans="1:4" x14ac:dyDescent="0.2">
      <c r="A2574" s="5">
        <v>2513</v>
      </c>
      <c r="B2574" s="138">
        <f>'Acct Summary 7-8'!D20</f>
        <v>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0</v>
      </c>
      <c r="C2591" s="2" t="s">
        <v>594</v>
      </c>
      <c r="D2591" s="2" t="str">
        <f t="shared" si="39"/>
        <v>Error?</v>
      </c>
    </row>
    <row r="2592" spans="1:4" x14ac:dyDescent="0.2">
      <c r="A2592" s="10">
        <v>2531</v>
      </c>
      <c r="D2592" s="2" t="str">
        <f t="shared" si="39"/>
        <v>OK</v>
      </c>
    </row>
    <row r="2593" spans="1:4" x14ac:dyDescent="0.2">
      <c r="A2593" s="5">
        <v>2532</v>
      </c>
      <c r="B2593" s="138">
        <f>'Acct Summary 7-8'!F6</f>
        <v>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0</v>
      </c>
      <c r="C2595" s="2" t="s">
        <v>594</v>
      </c>
      <c r="D2595" s="2" t="str">
        <f t="shared" si="39"/>
        <v>Error?</v>
      </c>
    </row>
    <row r="2596" spans="1:4" x14ac:dyDescent="0.2">
      <c r="A2596" s="5">
        <v>2535</v>
      </c>
      <c r="B2596" s="138">
        <f>'Acct Summary 7-8'!F13</f>
        <v>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0</v>
      </c>
      <c r="C2600" s="2" t="s">
        <v>594</v>
      </c>
      <c r="D2600" s="2" t="str">
        <f t="shared" si="39"/>
        <v>Error?</v>
      </c>
    </row>
    <row r="2601" spans="1:4" x14ac:dyDescent="0.2">
      <c r="A2601" s="5">
        <v>2540</v>
      </c>
      <c r="B2601" s="138">
        <f>'Acct Summary 7-8'!F20</f>
        <v>0</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0</v>
      </c>
      <c r="C2606" s="2" t="s">
        <v>594</v>
      </c>
      <c r="D2606" s="2" t="str">
        <f t="shared" si="39"/>
        <v>Error?</v>
      </c>
    </row>
    <row r="2607" spans="1:4" x14ac:dyDescent="0.2">
      <c r="A2607" s="5">
        <v>2546</v>
      </c>
      <c r="B2607" s="138">
        <f>'Acct Summary 7-8'!G12</f>
        <v>0</v>
      </c>
      <c r="C2607" s="2" t="s">
        <v>594</v>
      </c>
      <c r="D2607" s="2" t="str">
        <f t="shared" si="39"/>
        <v>Error?</v>
      </c>
    </row>
    <row r="2608" spans="1:4" x14ac:dyDescent="0.2">
      <c r="A2608" s="5">
        <v>2547</v>
      </c>
      <c r="B2608" s="138">
        <f>'Acct Summary 7-8'!G13</f>
        <v>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0</v>
      </c>
      <c r="C2612" s="2" t="s">
        <v>594</v>
      </c>
      <c r="D2612" s="2" t="str">
        <f t="shared" si="39"/>
        <v>Error?</v>
      </c>
    </row>
    <row r="2613" spans="1:4" x14ac:dyDescent="0.2">
      <c r="A2613" s="5">
        <v>2552</v>
      </c>
      <c r="B2613" s="138">
        <f>'Acct Summary 7-8'!G20</f>
        <v>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0</v>
      </c>
      <c r="C2634" s="2" t="s">
        <v>594</v>
      </c>
      <c r="D2634" s="2" t="str">
        <f t="shared" si="40"/>
        <v>Error?</v>
      </c>
    </row>
    <row r="2635" spans="1:4" x14ac:dyDescent="0.2">
      <c r="A2635" s="5">
        <v>2574</v>
      </c>
      <c r="B2635" s="138">
        <f>'Acct Summary 7-8'!E17</f>
        <v>0</v>
      </c>
      <c r="C2635" s="2" t="s">
        <v>594</v>
      </c>
      <c r="D2635" s="2" t="str">
        <f t="shared" si="40"/>
        <v>Error?</v>
      </c>
    </row>
    <row r="2636" spans="1:4" x14ac:dyDescent="0.2">
      <c r="A2636" s="5">
        <v>2575</v>
      </c>
      <c r="B2636" s="138">
        <f>'Acct Summary 7-8'!E20</f>
        <v>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594</v>
      </c>
      <c r="D2913" s="2" t="str">
        <f t="shared" si="44"/>
        <v>Error?</v>
      </c>
    </row>
    <row r="2914" spans="1:4" x14ac:dyDescent="0.2">
      <c r="A2914" s="5">
        <v>2853</v>
      </c>
      <c r="B2914" s="138">
        <f>'Assets-Liab 5-6'!L33</f>
        <v>0</v>
      </c>
      <c r="D2914" s="2" t="str">
        <f t="shared" si="44"/>
        <v>Error?</v>
      </c>
    </row>
    <row r="2915" spans="1:4" x14ac:dyDescent="0.2">
      <c r="A2915" s="10">
        <v>2854</v>
      </c>
      <c r="D2915" s="2" t="str">
        <f t="shared" si="44"/>
        <v>OK</v>
      </c>
    </row>
    <row r="2916" spans="1:4" x14ac:dyDescent="0.2">
      <c r="A2916" s="5">
        <v>2855</v>
      </c>
      <c r="B2916" s="138">
        <f>'Assets-Liab 5-6'!L34</f>
        <v>0</v>
      </c>
      <c r="C2916" s="2" t="s">
        <v>594</v>
      </c>
      <c r="D2916" s="2" t="str">
        <f t="shared" si="44"/>
        <v>Error?</v>
      </c>
    </row>
    <row r="2917" spans="1:4" x14ac:dyDescent="0.2">
      <c r="A2917" s="5">
        <v>2856</v>
      </c>
      <c r="B2917" s="138">
        <f>'Assets-Liab 5-6'!L41</f>
        <v>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594</v>
      </c>
      <c r="D3225" s="2" t="str">
        <f t="shared" si="49"/>
        <v>Error?</v>
      </c>
    </row>
    <row r="3226" spans="1:4" x14ac:dyDescent="0.2">
      <c r="A3226" s="5">
        <v>3165</v>
      </c>
      <c r="B3226" s="138">
        <f>'Acct Summary 7-8'!I8</f>
        <v>0</v>
      </c>
      <c r="C3226" s="2" t="s">
        <v>594</v>
      </c>
      <c r="D3226" s="2" t="str">
        <f t="shared" si="49"/>
        <v>Error?</v>
      </c>
    </row>
    <row r="3227" spans="1:4" x14ac:dyDescent="0.2">
      <c r="A3227" s="5">
        <v>3166</v>
      </c>
      <c r="B3227" s="138">
        <f>'Acct Summary 7-8'!I20</f>
        <v>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22807</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0</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594</v>
      </c>
      <c r="D3390" s="2" t="str">
        <f t="shared" si="51"/>
        <v>Error?</v>
      </c>
    </row>
    <row r="3391" spans="1:4" x14ac:dyDescent="0.2">
      <c r="A3391" s="5">
        <v>3330</v>
      </c>
      <c r="B3391" s="138">
        <f>'Expenditures 15-22'!K217</f>
        <v>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372598</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22870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0</v>
      </c>
      <c r="C3446" s="2" t="s">
        <v>594</v>
      </c>
      <c r="D3446" s="2" t="str">
        <f t="shared" si="52"/>
        <v>Error?</v>
      </c>
    </row>
    <row r="3447" spans="1:4" x14ac:dyDescent="0.2">
      <c r="A3447" s="5">
        <v>3386</v>
      </c>
      <c r="B3447" s="138">
        <f>'Tax Sched 23'!D16</f>
        <v>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594</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589040</v>
      </c>
      <c r="C4122" s="2" t="s">
        <v>594</v>
      </c>
      <c r="D4122" s="2" t="str">
        <f t="shared" si="63"/>
        <v>Error?</v>
      </c>
    </row>
    <row r="4123" spans="1:4" x14ac:dyDescent="0.2">
      <c r="A4123" s="5">
        <v>4062</v>
      </c>
      <c r="B4123" s="138">
        <f>'Acct Summary 7-8'!D10</f>
        <v>0</v>
      </c>
      <c r="C4123" s="2" t="s">
        <v>594</v>
      </c>
      <c r="D4123" s="2" t="str">
        <f t="shared" si="63"/>
        <v>Error?</v>
      </c>
    </row>
    <row r="4124" spans="1:4" x14ac:dyDescent="0.2">
      <c r="A4124" s="5">
        <v>4063</v>
      </c>
      <c r="B4124" s="138">
        <f>'Acct Summary 7-8'!E10</f>
        <v>0</v>
      </c>
      <c r="C4124" s="2" t="s">
        <v>594</v>
      </c>
      <c r="D4124" s="2" t="str">
        <f t="shared" si="63"/>
        <v>Error?</v>
      </c>
    </row>
    <row r="4125" spans="1:4" x14ac:dyDescent="0.2">
      <c r="A4125" s="5">
        <v>4064</v>
      </c>
      <c r="B4125" s="138">
        <f>'Acct Summary 7-8'!F10</f>
        <v>0</v>
      </c>
      <c r="C4125" s="2" t="s">
        <v>594</v>
      </c>
      <c r="D4125" s="2" t="str">
        <f t="shared" si="63"/>
        <v>Error?</v>
      </c>
    </row>
    <row r="4126" spans="1:4" x14ac:dyDescent="0.2">
      <c r="A4126" s="5">
        <v>4065</v>
      </c>
      <c r="B4126" s="138">
        <f>'Acct Summary 7-8'!G10</f>
        <v>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566233</v>
      </c>
      <c r="C4136" s="2" t="s">
        <v>594</v>
      </c>
      <c r="D4136" s="2" t="str">
        <f t="shared" si="63"/>
        <v>Error?</v>
      </c>
    </row>
    <row r="4137" spans="1:4" x14ac:dyDescent="0.2">
      <c r="A4137" s="5">
        <v>4076</v>
      </c>
      <c r="B4137" s="138">
        <f>'Acct Summary 7-8'!D19</f>
        <v>0</v>
      </c>
      <c r="C4137" s="2" t="s">
        <v>594</v>
      </c>
      <c r="D4137" s="2" t="str">
        <f t="shared" si="63"/>
        <v>Error?</v>
      </c>
    </row>
    <row r="4138" spans="1:4" x14ac:dyDescent="0.2">
      <c r="A4138" s="5">
        <v>4077</v>
      </c>
      <c r="B4138" s="138">
        <f>'Acct Summary 7-8'!E19</f>
        <v>0</v>
      </c>
      <c r="C4138" s="2" t="s">
        <v>594</v>
      </c>
      <c r="D4138" s="2" t="str">
        <f t="shared" si="63"/>
        <v>Error?</v>
      </c>
    </row>
    <row r="4139" spans="1:4" x14ac:dyDescent="0.2">
      <c r="A4139" s="5">
        <v>4078</v>
      </c>
      <c r="B4139" s="138">
        <f>'Acct Summary 7-8'!F19</f>
        <v>0</v>
      </c>
      <c r="C4139" s="2" t="s">
        <v>594</v>
      </c>
      <c r="D4139" s="2" t="str">
        <f t="shared" si="63"/>
        <v>Error?</v>
      </c>
    </row>
    <row r="4140" spans="1:4" x14ac:dyDescent="0.2">
      <c r="A4140" s="5">
        <v>4079</v>
      </c>
      <c r="B4140" s="138">
        <f>'Acct Summary 7-8'!G19</f>
        <v>0</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0</v>
      </c>
      <c r="C4171" s="2" t="s">
        <v>594</v>
      </c>
      <c r="D4171" s="2" t="str">
        <f t="shared" si="64"/>
        <v>Error?</v>
      </c>
    </row>
    <row r="4172" spans="1:4" x14ac:dyDescent="0.2">
      <c r="A4172" s="5">
        <v>4111</v>
      </c>
      <c r="B4172" s="138">
        <f>'Short-Term Long-Term Debt 24'!J49</f>
        <v>0</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594</v>
      </c>
      <c r="D4265" s="2" t="str">
        <f t="shared" si="65"/>
        <v>Error?</v>
      </c>
      <c r="E4265" s="128"/>
    </row>
    <row r="4266" spans="1:5" x14ac:dyDescent="0.2">
      <c r="A4266" s="12">
        <v>4205</v>
      </c>
      <c r="B4266" s="138">
        <f>('FP Info 3'!F10)*100000</f>
        <v>0</v>
      </c>
      <c r="C4266" s="2" t="s">
        <v>594</v>
      </c>
      <c r="D4266" s="2" t="str">
        <f t="shared" si="65"/>
        <v>Error?</v>
      </c>
      <c r="E4266" s="128"/>
    </row>
    <row r="4267" spans="1:5" x14ac:dyDescent="0.2">
      <c r="A4267" s="12">
        <v>4206</v>
      </c>
      <c r="B4267" s="138">
        <f>('FP Info 3'!H10)*100000</f>
        <v>0</v>
      </c>
      <c r="C4267" s="2" t="s">
        <v>594</v>
      </c>
      <c r="D4267" s="2" t="str">
        <f t="shared" si="65"/>
        <v>Error?</v>
      </c>
      <c r="E4267" s="128"/>
    </row>
    <row r="4268" spans="1:5" x14ac:dyDescent="0.2">
      <c r="A4268" s="12">
        <v>4207</v>
      </c>
      <c r="B4268" s="138">
        <f>('FP Info 3'!J10)*100000</f>
        <v>0</v>
      </c>
      <c r="C4268" s="2" t="s">
        <v>594</v>
      </c>
      <c r="D4268" s="2" t="str">
        <f t="shared" si="65"/>
        <v>Error?</v>
      </c>
    </row>
    <row r="4269" spans="1:5" x14ac:dyDescent="0.2">
      <c r="A4269" s="12">
        <v>4208</v>
      </c>
      <c r="B4269" s="138">
        <f>'FP Info 3'!J16</f>
        <v>12870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45740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t="str">
        <f>'FP Info 3'!H31</f>
        <v>Enter x in a.or b.</v>
      </c>
      <c r="D4996" s="2" t="e">
        <f t="shared" si="77"/>
        <v>#VALUE!</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0</v>
      </c>
      <c r="D5119" s="2" t="str">
        <f t="shared" ref="D5119:D5182" si="79">IF(ISBLANK(B5119),"OK",IF(A5119-B5119=0,"OK","Error?"))</f>
        <v>Error?</v>
      </c>
    </row>
    <row r="5120" spans="1:4" x14ac:dyDescent="0.2">
      <c r="A5120" s="5">
        <v>5059</v>
      </c>
      <c r="B5120" s="138">
        <f>'Revenues 9-14'!C108</f>
        <v>0</v>
      </c>
      <c r="C5120" s="2" t="s">
        <v>594</v>
      </c>
      <c r="D5120" s="2" t="str">
        <f t="shared" si="79"/>
        <v>Error?</v>
      </c>
    </row>
    <row r="5121" spans="1:4" x14ac:dyDescent="0.2">
      <c r="A5121" s="5">
        <v>5060</v>
      </c>
      <c r="B5121" s="138">
        <f>'Revenues 9-14'!C109</f>
        <v>0</v>
      </c>
      <c r="C5121" s="2" t="s">
        <v>594</v>
      </c>
      <c r="D5121" s="2" t="str">
        <f t="shared" si="79"/>
        <v>Error?</v>
      </c>
    </row>
    <row r="5122" spans="1:4" x14ac:dyDescent="0.2">
      <c r="A5122" s="5">
        <v>5061</v>
      </c>
      <c r="B5122" s="138">
        <f>'Revenues 9-14'!C111</f>
        <v>372598</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372598</v>
      </c>
      <c r="C5125" s="2" t="s">
        <v>594</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0</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170702</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170702</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170702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170702</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45740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45740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45740</v>
      </c>
      <c r="C5326" s="2" t="s">
        <v>594</v>
      </c>
      <c r="D5326" s="2" t="str">
        <f t="shared" si="82"/>
        <v>Error?</v>
      </c>
    </row>
    <row r="5327" spans="1:4" x14ac:dyDescent="0.2">
      <c r="A5327" s="5">
        <v>5266</v>
      </c>
      <c r="B5327" s="138">
        <f>'Revenues 9-14'!C275</f>
        <v>589040</v>
      </c>
      <c r="C5327" s="2" t="s">
        <v>594</v>
      </c>
      <c r="D5327" s="2" t="str">
        <f t="shared" si="82"/>
        <v>Error?</v>
      </c>
    </row>
    <row r="5328" spans="1:4"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594</v>
      </c>
      <c r="D5355" s="2" t="str">
        <f t="shared" si="82"/>
        <v>Error?</v>
      </c>
    </row>
    <row r="5356" spans="1:4" x14ac:dyDescent="0.2">
      <c r="A5356" s="5">
        <v>5295</v>
      </c>
      <c r="B5356" s="138">
        <f>'Revenues 9-14'!D109</f>
        <v>0</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0</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0</v>
      </c>
      <c r="C5552" s="2" t="s">
        <v>594</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0</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0</v>
      </c>
      <c r="C5720" s="2" t="s">
        <v>594</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0</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10000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22807</v>
      </c>
      <c r="D6267" s="2" t="str">
        <f t="shared" si="96"/>
        <v>Error?</v>
      </c>
      <c r="E6267" s="2" t="s">
        <v>199</v>
      </c>
    </row>
    <row r="6268" spans="1:5" x14ac:dyDescent="0.2">
      <c r="A6268">
        <v>6207</v>
      </c>
      <c r="B6268" s="138">
        <f>'Acct Summary 7-8'!D82</f>
        <v>0</v>
      </c>
      <c r="D6268" s="2" t="str">
        <f t="shared" si="96"/>
        <v>Error?</v>
      </c>
      <c r="E6268" s="2" t="s">
        <v>199</v>
      </c>
    </row>
    <row r="6269" spans="1:5" x14ac:dyDescent="0.2">
      <c r="A6269">
        <v>6208</v>
      </c>
      <c r="B6269" s="138">
        <f>'Acct Summary 7-8'!E82</f>
        <v>0</v>
      </c>
      <c r="D6269" s="2" t="str">
        <f t="shared" si="96"/>
        <v>Error?</v>
      </c>
      <c r="E6269" s="2" t="s">
        <v>199</v>
      </c>
    </row>
    <row r="6270" spans="1:5" x14ac:dyDescent="0.2">
      <c r="A6270">
        <v>6209</v>
      </c>
      <c r="B6270" s="138">
        <f>'Acct Summary 7-8'!F82</f>
        <v>0</v>
      </c>
      <c r="D6270" s="2" t="str">
        <f t="shared" si="96"/>
        <v>Error?</v>
      </c>
      <c r="E6270" s="2" t="s">
        <v>199</v>
      </c>
    </row>
    <row r="6271" spans="1:5" x14ac:dyDescent="0.2">
      <c r="A6271">
        <v>6210</v>
      </c>
      <c r="B6271" s="138">
        <f>'Acct Summary 7-8'!G82</f>
        <v>0</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1.772105672105672</v>
      </c>
      <c r="D6276" s="2" t="str">
        <f t="shared" si="97"/>
        <v>Error?</v>
      </c>
      <c r="E6276" s="2" t="s">
        <v>199</v>
      </c>
    </row>
    <row r="6277" spans="1:5" x14ac:dyDescent="0.2">
      <c r="A6277">
        <v>6216</v>
      </c>
      <c r="B6277" s="138" t="e">
        <f>'Acct Summary 7-8'!D83</f>
        <v>#DIV/0!</v>
      </c>
      <c r="D6277" s="2" t="e">
        <f t="shared" si="97"/>
        <v>#DIV/0!</v>
      </c>
      <c r="E6277" s="2" t="s">
        <v>199</v>
      </c>
    </row>
    <row r="6278" spans="1:5" x14ac:dyDescent="0.2">
      <c r="A6278">
        <v>6217</v>
      </c>
      <c r="B6278" s="138" t="e">
        <f>'Acct Summary 7-8'!E83</f>
        <v>#DIV/0!</v>
      </c>
      <c r="D6278" s="2" t="e">
        <f t="shared" si="97"/>
        <v>#DIV/0!</v>
      </c>
      <c r="E6278" s="2" t="s">
        <v>199</v>
      </c>
    </row>
    <row r="6279" spans="1:5" x14ac:dyDescent="0.2">
      <c r="A6279">
        <v>6218</v>
      </c>
      <c r="B6279" s="138" t="e">
        <f>'Acct Summary 7-8'!F83</f>
        <v>#DIV/0!</v>
      </c>
      <c r="D6279" s="2" t="e">
        <f t="shared" si="97"/>
        <v>#DIV/0!</v>
      </c>
      <c r="E6279" s="2" t="s">
        <v>199</v>
      </c>
    </row>
    <row r="6280" spans="1:5" x14ac:dyDescent="0.2">
      <c r="A6280">
        <v>6219</v>
      </c>
      <c r="B6280" s="138" t="e">
        <f>'Acct Summary 7-8'!G83</f>
        <v>#DIV/0!</v>
      </c>
      <c r="D6280" s="2" t="e">
        <f t="shared" si="97"/>
        <v>#DIV/0!</v>
      </c>
      <c r="E6280" s="2" t="s">
        <v>199</v>
      </c>
    </row>
    <row r="6281" spans="1:5" x14ac:dyDescent="0.2">
      <c r="A6281">
        <v>6220</v>
      </c>
      <c r="B6281" s="138" t="e">
        <f>'Acct Summary 7-8'!H83</f>
        <v>#DIV/0!</v>
      </c>
      <c r="D6281" s="2" t="e">
        <f t="shared" si="97"/>
        <v>#DIV/0!</v>
      </c>
      <c r="E6281" s="2" t="s">
        <v>199</v>
      </c>
    </row>
    <row r="6282" spans="1:5" x14ac:dyDescent="0.2">
      <c r="A6282">
        <v>6221</v>
      </c>
      <c r="B6282" s="138" t="e">
        <f>'Acct Summary 7-8'!I83</f>
        <v>#DIV/0!</v>
      </c>
      <c r="D6282" s="2" t="e">
        <f t="shared" si="97"/>
        <v>#DIV/0!</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381739</v>
      </c>
      <c r="D7002" s="2" t="str">
        <f t="shared" si="108"/>
        <v>Error?</v>
      </c>
    </row>
    <row r="7003" spans="1:4" x14ac:dyDescent="0.2">
      <c r="A7003">
        <v>6942</v>
      </c>
      <c r="B7003" s="138">
        <f>'Expenditures 15-22'!K96</f>
        <v>381739</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381739</v>
      </c>
      <c r="D7012" s="2" t="str">
        <f t="shared" si="108"/>
        <v>Error?</v>
      </c>
    </row>
    <row r="7013" spans="1:4" x14ac:dyDescent="0.2">
      <c r="A7013">
        <v>6952</v>
      </c>
      <c r="B7013" s="138">
        <f>'Expenditures 15-22'!K100</f>
        <v>381739</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4248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1E-4</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33" zoomScale="110" zoomScaleNormal="110" workbookViewId="0">
      <selection sqref="A1:L33"/>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0" t="s">
        <v>1253</v>
      </c>
      <c r="B2" s="2400"/>
      <c r="C2" s="2400"/>
      <c r="D2" s="2400"/>
      <c r="E2" s="2400"/>
      <c r="F2" s="2400"/>
      <c r="G2" s="2400"/>
      <c r="H2" s="2400"/>
      <c r="I2" s="2400"/>
      <c r="J2" s="2400"/>
      <c r="K2" s="2400"/>
      <c r="L2" s="2400"/>
    </row>
    <row r="3" spans="1:29" ht="13.5" customHeight="1" x14ac:dyDescent="0.2">
      <c r="A3" s="2431" t="s">
        <v>1252</v>
      </c>
      <c r="B3" s="2431"/>
      <c r="C3" s="2431"/>
      <c r="D3" s="2431"/>
      <c r="E3" s="2431"/>
      <c r="F3" s="2431"/>
      <c r="G3" s="2431"/>
      <c r="H3" s="2431"/>
      <c r="I3" s="2431"/>
      <c r="J3" s="2431"/>
      <c r="K3" s="2431"/>
      <c r="L3" s="2431"/>
    </row>
    <row r="4" spans="1:29" ht="13.5" customHeight="1" x14ac:dyDescent="0.2">
      <c r="A4" s="2400" t="s">
        <v>1799</v>
      </c>
      <c r="B4" s="2421"/>
      <c r="C4" s="2421"/>
      <c r="D4" s="2421"/>
      <c r="E4" s="2421"/>
      <c r="F4" s="2421"/>
      <c r="G4" s="2421"/>
      <c r="H4" s="2421"/>
      <c r="I4" s="2421"/>
      <c r="J4" s="2421"/>
      <c r="K4" s="2421"/>
      <c r="L4" s="2421"/>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2" t="str">
        <f>COVER!A17</f>
        <v>Eagle Ridge Vocational Del System</v>
      </c>
      <c r="B7" s="2423"/>
      <c r="C7" s="2423"/>
      <c r="D7" s="2424"/>
      <c r="E7" s="2425">
        <f>COVER!A13</f>
        <v>8000000046</v>
      </c>
      <c r="F7" s="2426"/>
      <c r="G7" s="2432" t="str">
        <f>COVER!T23</f>
        <v>066-004238</v>
      </c>
      <c r="H7" s="2433"/>
      <c r="I7" s="2433"/>
      <c r="J7" s="2433"/>
      <c r="K7" s="2433"/>
      <c r="L7" s="243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5"/>
      <c r="B9" s="2436"/>
      <c r="C9" s="2436"/>
      <c r="D9" s="2436"/>
      <c r="E9" s="2436"/>
      <c r="F9" s="2437"/>
      <c r="G9" s="2406" t="str">
        <f>COVER!T13</f>
        <v>BENNING GROUP, LLC</v>
      </c>
      <c r="H9" s="2438"/>
      <c r="I9" s="2438"/>
      <c r="J9" s="2438"/>
      <c r="K9" s="2438"/>
      <c r="L9" s="2439"/>
    </row>
    <row r="10" spans="1:29" ht="13.5" customHeight="1" x14ac:dyDescent="0.2">
      <c r="A10" s="2412" t="str">
        <f>COVER!A38</f>
        <v>KRIS HALL</v>
      </c>
      <c r="B10" s="2413"/>
      <c r="C10" s="2413"/>
      <c r="D10" s="2413"/>
      <c r="E10" s="2413"/>
      <c r="F10" s="2414"/>
      <c r="G10" s="2406" t="str">
        <f>COVER!T17</f>
        <v>50 W. DOUGLAS STREET, SUITE 801</v>
      </c>
      <c r="H10" s="2407"/>
      <c r="I10" s="2407"/>
      <c r="J10" s="2407"/>
      <c r="K10" s="2407"/>
      <c r="L10" s="2408"/>
    </row>
    <row r="11" spans="1:29" ht="13.5" customHeight="1" x14ac:dyDescent="0.2">
      <c r="A11" s="1185" t="s">
        <v>1599</v>
      </c>
      <c r="B11" s="1186"/>
      <c r="C11" s="1187"/>
      <c r="D11" s="1192"/>
      <c r="E11" s="1187"/>
      <c r="F11" s="1191"/>
      <c r="G11" s="2406" t="str">
        <f>COVER!T19</f>
        <v>FREEPORT</v>
      </c>
      <c r="H11" s="2407"/>
      <c r="I11" s="2407"/>
      <c r="J11" s="2407"/>
      <c r="K11" s="2407"/>
      <c r="L11" s="2408"/>
    </row>
    <row r="12" spans="1:29" ht="13.5" customHeight="1" x14ac:dyDescent="0.2">
      <c r="A12" s="2415" t="s">
        <v>1598</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1600</v>
      </c>
      <c r="H13" s="2402"/>
      <c r="I13" s="2418" t="str">
        <f>COVER!T25</f>
        <v>jblocker@benninggroup.com</v>
      </c>
      <c r="J13" s="2419"/>
      <c r="K13" s="2419"/>
      <c r="L13" s="2420"/>
    </row>
    <row r="14" spans="1:29" ht="13.5" customHeight="1" x14ac:dyDescent="0.2">
      <c r="A14" s="2406" t="str">
        <f>COVER!A19</f>
        <v>27 S. STATE AVENUE, SUITE 101</v>
      </c>
      <c r="B14" s="2407"/>
      <c r="C14" s="2407"/>
      <c r="D14" s="2407"/>
      <c r="E14" s="2407"/>
      <c r="F14" s="2408"/>
      <c r="G14" s="1196" t="s">
        <v>1247</v>
      </c>
      <c r="H14" s="1194"/>
      <c r="I14" s="1194"/>
      <c r="J14" s="1194"/>
      <c r="K14" s="1194"/>
      <c r="L14" s="1195"/>
    </row>
    <row r="15" spans="1:29" ht="13.5" customHeight="1" x14ac:dyDescent="0.2">
      <c r="A15" s="2406" t="str">
        <f>COVER!A21</f>
        <v>FREEPORT</v>
      </c>
      <c r="B15" s="2407"/>
      <c r="C15" s="2407"/>
      <c r="D15" s="2407"/>
      <c r="E15" s="2407"/>
      <c r="F15" s="2408"/>
      <c r="G15" s="2403" t="str">
        <f>COVER!T15</f>
        <v>JENNY L. BLOCKER</v>
      </c>
      <c r="H15" s="2404"/>
      <c r="I15" s="2404"/>
      <c r="J15" s="2404"/>
      <c r="K15" s="2404"/>
      <c r="L15" s="2405"/>
    </row>
    <row r="16" spans="1:29" ht="12.2" customHeight="1" x14ac:dyDescent="0.2">
      <c r="A16" s="2428">
        <f>COVER!A25</f>
        <v>61032</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96" t="s">
        <v>1246</v>
      </c>
      <c r="H17" s="1194"/>
      <c r="I17" s="1194"/>
      <c r="J17" s="1194"/>
      <c r="K17" s="1198" t="s">
        <v>1245</v>
      </c>
      <c r="L17" s="1191"/>
      <c r="M17" s="1184"/>
    </row>
    <row r="18" spans="1:13" ht="12.2" customHeight="1" x14ac:dyDescent="0.2">
      <c r="A18" s="2412"/>
      <c r="B18" s="2413"/>
      <c r="C18" s="2413"/>
      <c r="D18" s="2413"/>
      <c r="E18" s="2413"/>
      <c r="F18" s="2414"/>
      <c r="G18" s="2422" t="str">
        <f>COVER!T21</f>
        <v>815/235-3157</v>
      </c>
      <c r="H18" s="2423"/>
      <c r="I18" s="2423"/>
      <c r="J18" s="2423"/>
      <c r="K18" s="2422" t="str">
        <f>COVER!X21</f>
        <v>815/235-3158</v>
      </c>
      <c r="L18" s="242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91" zoomScale="125" zoomScaleNormal="125" workbookViewId="0">
      <selection activeCell="A82" sqref="A82"/>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Eagle Ridge Vocational Del System</v>
      </c>
      <c r="B1" s="2421"/>
      <c r="C1" s="2421"/>
      <c r="D1" s="2421"/>
    </row>
    <row r="2" spans="1:11" s="1215" customFormat="1" ht="12.75" x14ac:dyDescent="0.2">
      <c r="A2" s="2445">
        <f>'Single Audit Cover'!E7</f>
        <v>8000000046</v>
      </c>
      <c r="B2" s="2446"/>
      <c r="C2" s="2446"/>
      <c r="D2" s="2446"/>
    </row>
    <row r="3" spans="1:11" s="1215" customFormat="1" ht="12.75" x14ac:dyDescent="0.2">
      <c r="A3" s="2444" t="s">
        <v>1593</v>
      </c>
      <c r="B3" s="2421"/>
      <c r="C3" s="2421"/>
      <c r="D3" s="2421"/>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rowBreaks count="1" manualBreakCount="1">
    <brk id="81"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17" sqref="D17"/>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Eagle Ridge Vocational Del System</v>
      </c>
      <c r="B1" s="2448"/>
      <c r="C1" s="2448"/>
      <c r="D1" s="2448"/>
      <c r="E1" s="2448"/>
    </row>
    <row r="2" spans="1:5" x14ac:dyDescent="0.2">
      <c r="A2" s="2449">
        <f>'Single Audit Cover'!E7</f>
        <v>8000000046</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45740</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0</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45740</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45740</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0</v>
      </c>
    </row>
    <row r="49" spans="2:4" x14ac:dyDescent="0.2">
      <c r="B49" s="1272" t="s">
        <v>1288</v>
      </c>
      <c r="C49" s="1272"/>
      <c r="D49" s="1273">
        <f>D32-D47</f>
        <v>45740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37"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1" t="str">
        <f>'Single Audit Cover'!A7</f>
        <v>Eagle Ridge Vocational Del System</v>
      </c>
      <c r="B1" s="2461"/>
      <c r="C1" s="2461"/>
      <c r="D1" s="2461"/>
      <c r="E1" s="2461"/>
      <c r="F1" s="2461"/>
    </row>
    <row r="2" spans="1:7" ht="13.5" customHeight="1" x14ac:dyDescent="0.2">
      <c r="A2" s="2462">
        <f>'Single Audit Cover'!E7</f>
        <v>8000000046</v>
      </c>
      <c r="B2" s="2462"/>
      <c r="C2" s="2462"/>
      <c r="D2" s="2462"/>
      <c r="E2" s="2462"/>
      <c r="F2" s="2462"/>
      <c r="G2" s="1275"/>
    </row>
    <row r="3" spans="1:7" ht="15.75" customHeight="1" x14ac:dyDescent="0.2">
      <c r="A3" s="2463" t="s">
        <v>1333</v>
      </c>
      <c r="B3" s="2463"/>
      <c r="C3" s="2463"/>
      <c r="D3" s="2463"/>
      <c r="E3" s="2463"/>
      <c r="F3" s="2463"/>
    </row>
    <row r="4" spans="1:7" ht="13.5" customHeight="1" x14ac:dyDescent="0.2">
      <c r="A4" s="2464" t="str">
        <f>'Single Audit Cover'!A4</f>
        <v>Year Ending June 30, 2018</v>
      </c>
      <c r="B4" s="2464"/>
      <c r="C4" s="2464"/>
      <c r="D4" s="2464"/>
      <c r="E4" s="2464"/>
      <c r="F4" s="2464"/>
    </row>
    <row r="5" spans="1:7" ht="8.25" customHeight="1" x14ac:dyDescent="0.2">
      <c r="C5" s="317"/>
      <c r="D5" s="317"/>
    </row>
    <row r="6" spans="1:7" ht="13.5" customHeight="1" x14ac:dyDescent="0.2">
      <c r="A6" s="1276" t="s">
        <v>1831</v>
      </c>
      <c r="C6" s="317"/>
      <c r="D6" s="317"/>
    </row>
    <row r="7" spans="1:7" ht="60.95" customHeight="1" x14ac:dyDescent="0.2">
      <c r="A7" s="2460" t="s">
        <v>1832</v>
      </c>
      <c r="B7" s="2460"/>
      <c r="C7" s="2460"/>
      <c r="D7" s="2460"/>
      <c r="E7" s="2460"/>
      <c r="F7" s="2460"/>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0" t="s">
        <v>1834</v>
      </c>
      <c r="B13" s="2460"/>
      <c r="C13" s="2460"/>
      <c r="D13" s="2460"/>
      <c r="E13" s="2460"/>
      <c r="F13" s="2460"/>
    </row>
    <row r="14" spans="1:7" ht="9.75" customHeight="1" x14ac:dyDescent="0.2">
      <c r="C14" s="1260"/>
      <c r="D14" s="1260"/>
    </row>
    <row r="15" spans="1:7" ht="13.5" customHeight="1" x14ac:dyDescent="0.2">
      <c r="C15" s="1871" t="s">
        <v>1332</v>
      </c>
      <c r="D15" s="2458" t="s">
        <v>1331</v>
      </c>
      <c r="E15" s="2458"/>
      <c r="F15" s="2458"/>
    </row>
    <row r="16" spans="1:7" ht="13.5" customHeight="1" x14ac:dyDescent="0.2">
      <c r="A16" s="1282"/>
      <c r="B16" s="1276" t="s">
        <v>1330</v>
      </c>
      <c r="C16" s="1871" t="s">
        <v>1329</v>
      </c>
      <c r="D16" s="2459" t="s">
        <v>1670</v>
      </c>
      <c r="E16" s="2459"/>
      <c r="F16" s="2459"/>
    </row>
    <row r="17" spans="1:6" ht="20.45" customHeight="1" x14ac:dyDescent="0.2">
      <c r="A17" s="1283"/>
      <c r="B17" s="1284"/>
      <c r="C17" s="1285"/>
      <c r="D17" s="2453"/>
      <c r="E17" s="2453"/>
      <c r="F17" s="2453"/>
    </row>
    <row r="18" spans="1:6" ht="20.65" customHeight="1" x14ac:dyDescent="0.2">
      <c r="A18" s="1283"/>
      <c r="B18" s="1284"/>
      <c r="C18" s="1285"/>
      <c r="D18" s="2453"/>
      <c r="E18" s="2453"/>
      <c r="F18" s="2453"/>
    </row>
    <row r="19" spans="1:6" ht="20.65" customHeight="1" x14ac:dyDescent="0.2">
      <c r="A19" s="1283"/>
      <c r="B19" s="1284"/>
      <c r="C19" s="1285"/>
      <c r="D19" s="2453"/>
      <c r="E19" s="2453"/>
      <c r="F19" s="2453"/>
    </row>
    <row r="20" spans="1:6" ht="20.65" customHeight="1" x14ac:dyDescent="0.2">
      <c r="A20" s="1283"/>
      <c r="B20" s="1284"/>
      <c r="C20" s="1285"/>
      <c r="D20" s="2453"/>
      <c r="E20" s="2453"/>
      <c r="F20" s="2453"/>
    </row>
    <row r="21" spans="1:6" ht="20.65" customHeight="1" x14ac:dyDescent="0.2">
      <c r="A21" s="1283"/>
      <c r="B21" s="1284"/>
      <c r="C21" s="1285"/>
      <c r="D21" s="2453"/>
      <c r="E21" s="2453"/>
      <c r="F21" s="2453"/>
    </row>
    <row r="22" spans="1:6" ht="20.65" customHeight="1" x14ac:dyDescent="0.2">
      <c r="A22" s="1283"/>
      <c r="B22" s="1284"/>
      <c r="C22" s="1285"/>
      <c r="D22" s="2453"/>
      <c r="E22" s="2453"/>
      <c r="F22" s="2453"/>
    </row>
    <row r="23" spans="1:6" ht="20.65" customHeight="1" x14ac:dyDescent="0.2">
      <c r="A23" s="1283"/>
      <c r="B23" s="1284"/>
      <c r="C23" s="1285"/>
      <c r="D23" s="2453"/>
      <c r="E23" s="2453"/>
      <c r="F23" s="2453"/>
    </row>
    <row r="24" spans="1:6" ht="20.65" customHeight="1" x14ac:dyDescent="0.2">
      <c r="A24" s="1283"/>
      <c r="B24" s="1284"/>
      <c r="C24" s="1285"/>
      <c r="D24" s="2453"/>
      <c r="E24" s="2453"/>
      <c r="F24" s="2453"/>
    </row>
    <row r="25" spans="1:6" ht="20.65" customHeight="1" x14ac:dyDescent="0.2">
      <c r="A25" s="1283"/>
      <c r="B25" s="1284"/>
      <c r="C25" s="1285"/>
      <c r="D25" s="2453"/>
      <c r="E25" s="2453"/>
      <c r="F25" s="2453"/>
    </row>
    <row r="26" spans="1:6" ht="20.65" customHeight="1" x14ac:dyDescent="0.2">
      <c r="A26" s="1283"/>
      <c r="B26" s="1284"/>
      <c r="C26" s="1285"/>
      <c r="D26" s="2453"/>
      <c r="E26" s="2453"/>
      <c r="F26" s="2453"/>
    </row>
    <row r="27" spans="1:6" ht="20.65" customHeight="1" x14ac:dyDescent="0.2">
      <c r="A27" s="1283"/>
      <c r="B27" s="1284"/>
      <c r="C27" s="1285"/>
      <c r="D27" s="2453"/>
      <c r="E27" s="2453"/>
      <c r="F27" s="2453"/>
    </row>
    <row r="28" spans="1:6" ht="20.65" customHeight="1" x14ac:dyDescent="0.2">
      <c r="A28" s="1283"/>
      <c r="B28" s="1284"/>
      <c r="C28" s="1285"/>
      <c r="D28" s="2453"/>
      <c r="E28" s="2453"/>
      <c r="F28" s="2453"/>
    </row>
    <row r="29" spans="1:6" ht="20.65" customHeight="1" x14ac:dyDescent="0.2">
      <c r="A29" s="1283"/>
      <c r="B29" s="1284"/>
      <c r="C29" s="1285"/>
      <c r="D29" s="2453"/>
      <c r="E29" s="2453"/>
      <c r="F29" s="2453"/>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4" t="s">
        <v>1835</v>
      </c>
      <c r="B32" s="2454"/>
      <c r="C32" s="2454"/>
      <c r="D32" s="2454"/>
      <c r="E32" s="2454"/>
      <c r="F32" s="2454"/>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55">
        <f>+C33+C34</f>
        <v>0</v>
      </c>
      <c r="F34" s="2456"/>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7" t="s">
        <v>1672</v>
      </c>
      <c r="C49" s="2457"/>
      <c r="D49" s="2457"/>
      <c r="E49" s="1399"/>
    </row>
    <row r="50" spans="1:5" s="1300" customFormat="1" ht="3.75" customHeight="1" x14ac:dyDescent="0.2">
      <c r="A50" s="1299"/>
      <c r="B50" s="1870"/>
      <c r="C50" s="1870"/>
      <c r="D50" s="1870"/>
      <c r="E50" s="1399"/>
    </row>
    <row r="51" spans="1:5" s="1300" customFormat="1" ht="20.25" customHeight="1" x14ac:dyDescent="0.2">
      <c r="A51" s="1301">
        <v>6</v>
      </c>
      <c r="B51" s="2452" t="s">
        <v>1632</v>
      </c>
      <c r="C51" s="2452"/>
      <c r="D51" s="2452"/>
    </row>
    <row r="52" spans="1:5" ht="14.25" customHeight="1" x14ac:dyDescent="0.2">
      <c r="A52" s="1301"/>
      <c r="B52" s="2452"/>
      <c r="C52" s="2452"/>
      <c r="D52" s="245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1"/>
  <sheetViews>
    <sheetView showGridLines="0" zoomScaleNormal="100" workbookViewId="0">
      <selection activeCell="B29" sqref="B29"/>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Eagle Ridge Vocational Del System</v>
      </c>
      <c r="C1" s="2465"/>
      <c r="D1" s="2465"/>
      <c r="E1" s="2465"/>
      <c r="F1" s="2465"/>
      <c r="G1" s="2465"/>
      <c r="H1" s="2465"/>
      <c r="I1" s="2465"/>
      <c r="J1" s="2465"/>
      <c r="K1" s="2465"/>
      <c r="L1" s="2465"/>
      <c r="M1" s="2465"/>
    </row>
    <row r="2" spans="2:14" ht="15" x14ac:dyDescent="0.2">
      <c r="B2" s="2462">
        <f>'Single Audit Cover'!E7</f>
        <v>8000000046</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ht="13.5" customHeight="1" x14ac:dyDescent="0.2">
      <c r="B29" s="1282" t="s">
        <v>1840</v>
      </c>
      <c r="C29" s="1349"/>
      <c r="D29" s="1350"/>
      <c r="E29" s="1257"/>
      <c r="F29" s="1257"/>
      <c r="G29" s="1250"/>
      <c r="H29" s="1250"/>
      <c r="I29" s="1250"/>
      <c r="J29" s="1250"/>
      <c r="K29" s="1250"/>
      <c r="L29" s="1250"/>
      <c r="M29" s="1257"/>
      <c r="N29" s="1344"/>
    </row>
    <row r="30" spans="2:14" ht="8.25" customHeight="1" x14ac:dyDescent="0.2">
      <c r="B30" s="1282"/>
      <c r="C30" s="1349"/>
      <c r="D30" s="1350"/>
      <c r="E30" s="1257"/>
      <c r="F30" s="1257"/>
      <c r="G30" s="1250"/>
      <c r="H30" s="1250"/>
      <c r="I30" s="1250"/>
      <c r="J30" s="1250"/>
      <c r="K30" s="1250"/>
      <c r="L30" s="1250"/>
      <c r="M30" s="1257"/>
      <c r="N30" s="1344"/>
    </row>
    <row r="31" spans="2:14" x14ac:dyDescent="0.2">
      <c r="B31" s="1351" t="s">
        <v>1951</v>
      </c>
      <c r="C31" s="1352"/>
      <c r="D31" s="1353"/>
      <c r="E31" s="1354"/>
      <c r="F31" s="1354"/>
      <c r="G31" s="1354"/>
      <c r="H31" s="1354"/>
      <c r="I31" s="317"/>
      <c r="J31" s="317"/>
    </row>
    <row r="32" spans="2:14" x14ac:dyDescent="0.2">
      <c r="B32" s="1277"/>
      <c r="C32" s="1355"/>
      <c r="D32" s="1356"/>
      <c r="E32" s="1278"/>
      <c r="F32" s="1278"/>
      <c r="G32" s="317"/>
      <c r="H32" s="317"/>
      <c r="I32" s="317"/>
      <c r="J32" s="317"/>
    </row>
    <row r="33" spans="2:13" ht="13.5" customHeight="1" x14ac:dyDescent="0.2">
      <c r="B33" s="1276" t="s">
        <v>1308</v>
      </c>
      <c r="G33" s="317"/>
      <c r="H33" s="317"/>
      <c r="I33" s="317"/>
      <c r="J33" s="317"/>
    </row>
    <row r="34" spans="2:13" ht="13.5" customHeight="1" x14ac:dyDescent="0.2">
      <c r="B34" s="1359"/>
      <c r="C34" s="1360"/>
      <c r="D34" s="1361"/>
      <c r="E34" s="1297"/>
      <c r="F34" s="1297"/>
      <c r="G34" s="1297"/>
      <c r="H34" s="1297"/>
      <c r="I34" s="1297"/>
      <c r="J34" s="1297"/>
      <c r="K34" s="1362"/>
      <c r="L34" s="1362"/>
      <c r="M34" s="1297"/>
    </row>
    <row r="35" spans="2:13" ht="9.6" customHeight="1" x14ac:dyDescent="0.2">
      <c r="B35" s="1363"/>
      <c r="G35" s="317"/>
      <c r="H35" s="317"/>
      <c r="I35" s="317"/>
      <c r="J35" s="317"/>
    </row>
    <row r="36" spans="2:13" ht="11.25" customHeight="1" x14ac:dyDescent="0.2">
      <c r="B36" s="1364" t="s">
        <v>1841</v>
      </c>
      <c r="C36" s="1365"/>
      <c r="D36" s="1365"/>
      <c r="E36" s="1365"/>
      <c r="F36" s="1365"/>
      <c r="G36" s="1365"/>
      <c r="H36" s="1365"/>
      <c r="I36" s="1366"/>
      <c r="J36" s="1366"/>
      <c r="K36" s="1366"/>
      <c r="L36" s="1366"/>
      <c r="M36" s="1366"/>
    </row>
    <row r="37" spans="2:13" ht="11.25" customHeight="1" x14ac:dyDescent="0.2">
      <c r="B37" s="1367" t="s">
        <v>1666</v>
      </c>
      <c r="C37" s="1366"/>
      <c r="D37" s="1366"/>
      <c r="E37" s="1366"/>
      <c r="F37" s="1366"/>
      <c r="G37" s="1366"/>
      <c r="H37" s="1366"/>
      <c r="I37" s="1366"/>
      <c r="J37" s="1366"/>
      <c r="K37" s="1366"/>
      <c r="L37" s="1366"/>
      <c r="M37" s="1366"/>
    </row>
    <row r="38" spans="2:13" ht="3.95" customHeight="1" x14ac:dyDescent="0.2">
      <c r="B38" s="1367"/>
      <c r="C38" s="1366"/>
      <c r="D38" s="1366"/>
      <c r="E38" s="1366"/>
      <c r="F38" s="1366"/>
      <c r="G38" s="1366"/>
      <c r="H38" s="1366"/>
      <c r="I38" s="1366"/>
      <c r="J38" s="1366"/>
      <c r="K38" s="1366"/>
      <c r="L38" s="1366"/>
      <c r="M38" s="1366"/>
    </row>
    <row r="39" spans="2:13" ht="11.25" customHeight="1" x14ac:dyDescent="0.2">
      <c r="B39" s="1364" t="s">
        <v>1842</v>
      </c>
      <c r="C39" s="1366"/>
      <c r="D39" s="1366"/>
      <c r="E39" s="1366"/>
      <c r="F39" s="1366"/>
      <c r="G39" s="1366"/>
      <c r="H39" s="1366"/>
      <c r="I39" s="1366"/>
      <c r="J39" s="1366"/>
      <c r="K39" s="1366"/>
      <c r="L39" s="1366"/>
      <c r="M39" s="1366"/>
    </row>
    <row r="40" spans="2:13" ht="11.25" customHeight="1" x14ac:dyDescent="0.2">
      <c r="B40" s="1300" t="s">
        <v>1667</v>
      </c>
      <c r="C40" s="1368"/>
      <c r="D40" s="1369"/>
      <c r="E40" s="1300"/>
      <c r="F40" s="1300"/>
      <c r="G40" s="1300"/>
      <c r="H40" s="1300"/>
      <c r="I40" s="1300"/>
      <c r="J40" s="1300"/>
      <c r="K40" s="1370"/>
      <c r="L40" s="1370"/>
      <c r="M40" s="1300"/>
    </row>
    <row r="41" spans="2:13" ht="3.95" customHeight="1" x14ac:dyDescent="0.2">
      <c r="B41" s="1300"/>
      <c r="C41" s="1368"/>
      <c r="D41" s="1369"/>
      <c r="E41" s="1300"/>
      <c r="F41" s="1300"/>
      <c r="G41" s="1300"/>
      <c r="H41" s="1300"/>
      <c r="I41" s="1300"/>
      <c r="J41" s="1300"/>
      <c r="K41" s="1370"/>
      <c r="L41" s="1370"/>
      <c r="M41" s="1300"/>
    </row>
    <row r="42" spans="2:13" ht="11.25" customHeight="1" x14ac:dyDescent="0.2">
      <c r="B42" s="1371" t="s">
        <v>1843</v>
      </c>
      <c r="C42" s="1368"/>
      <c r="D42" s="1369"/>
      <c r="E42" s="1300"/>
      <c r="F42" s="1300"/>
      <c r="G42" s="1300"/>
      <c r="H42" s="1300"/>
      <c r="I42" s="1300"/>
      <c r="J42" s="1300"/>
      <c r="K42" s="1370"/>
      <c r="L42" s="1370"/>
      <c r="M42" s="1300"/>
    </row>
    <row r="43" spans="2:13" ht="3.95" customHeight="1" x14ac:dyDescent="0.2">
      <c r="B43" s="1371"/>
      <c r="C43" s="1368"/>
      <c r="D43" s="1369"/>
      <c r="E43" s="1300"/>
      <c r="F43" s="1300"/>
      <c r="G43" s="1300"/>
      <c r="H43" s="1300"/>
      <c r="I43" s="1300"/>
      <c r="J43" s="1300"/>
      <c r="K43" s="1370"/>
      <c r="L43" s="1370"/>
      <c r="M43" s="1300"/>
    </row>
    <row r="44" spans="2:13" ht="11.25" customHeight="1" x14ac:dyDescent="0.2">
      <c r="B44" s="1372" t="s">
        <v>1844</v>
      </c>
      <c r="C44" s="1368"/>
      <c r="D44" s="1369"/>
      <c r="E44" s="1300"/>
      <c r="F44" s="1300"/>
      <c r="G44" s="1300"/>
      <c r="H44" s="1300"/>
      <c r="I44" s="1300"/>
      <c r="J44" s="1300"/>
      <c r="K44" s="1370"/>
      <c r="L44" s="1370"/>
      <c r="M44" s="1300"/>
    </row>
    <row r="45" spans="2:13" ht="11.25" customHeight="1" x14ac:dyDescent="0.2">
      <c r="B45" s="1300" t="s">
        <v>1668</v>
      </c>
      <c r="G45" s="317"/>
      <c r="H45" s="317"/>
      <c r="I45" s="317"/>
      <c r="J45" s="317"/>
    </row>
    <row r="46" spans="2:13" ht="11.1" customHeight="1" x14ac:dyDescent="0.2">
      <c r="B46" s="1300"/>
      <c r="G46" s="317"/>
      <c r="H46" s="317"/>
      <c r="I46" s="317"/>
      <c r="J46" s="317"/>
    </row>
    <row r="47" spans="2:13" ht="11.1" customHeight="1" x14ac:dyDescent="0.2">
      <c r="B47" s="1300"/>
      <c r="G47" s="317"/>
      <c r="H47" s="317"/>
      <c r="I47" s="317"/>
      <c r="J47" s="317"/>
    </row>
    <row r="48" spans="2:13" ht="13.5" customHeight="1" x14ac:dyDescent="0.2">
      <c r="M48" s="1373"/>
    </row>
    <row r="49" spans="7:13" ht="13.5" customHeight="1" x14ac:dyDescent="0.2">
      <c r="M49" s="1373"/>
    </row>
    <row r="50" spans="7:13" ht="13.5" customHeight="1" x14ac:dyDescent="0.2">
      <c r="M50" s="1373"/>
    </row>
    <row r="51" spans="7:13" ht="13.5" customHeight="1" x14ac:dyDescent="0.2">
      <c r="G51" s="317"/>
      <c r="H51" s="317"/>
      <c r="I51" s="317"/>
      <c r="J51" s="31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row r="59" spans="7:13" ht="13.5" customHeight="1" x14ac:dyDescent="0.2"/>
    <row r="60" spans="7:13" ht="13.5" customHeight="1" x14ac:dyDescent="0.2"/>
    <row r="61" spans="7:13" ht="25.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4.7" customHeight="1" x14ac:dyDescent="0.2"/>
    <row r="111" ht="12.2"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4.7" customHeight="1" x14ac:dyDescent="0.2"/>
    <row r="151"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election activeCell="A38" sqref="A38:H3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3" t="s">
        <v>1230</v>
      </c>
      <c r="B2" s="2073"/>
      <c r="C2" s="2073"/>
      <c r="D2" s="2073"/>
      <c r="E2" s="2073"/>
      <c r="F2" s="2073"/>
      <c r="G2" s="2073"/>
      <c r="H2" s="2073"/>
      <c r="I2" s="2073"/>
      <c r="J2" s="2073"/>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7" t="s">
        <v>1731</v>
      </c>
      <c r="B35" s="2088"/>
      <c r="C35" s="2088"/>
      <c r="D35" s="2088"/>
      <c r="E35" s="2089"/>
      <c r="F35" s="2089"/>
      <c r="G35" s="2089"/>
      <c r="H35" s="2089"/>
      <c r="I35" s="2089"/>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7" t="s">
        <v>331</v>
      </c>
      <c r="B47" s="2090"/>
      <c r="C47" s="2090"/>
      <c r="D47" s="2090"/>
      <c r="E47" s="2091"/>
      <c r="F47" s="2091"/>
      <c r="G47" s="2091"/>
      <c r="H47" s="2091"/>
      <c r="I47" s="2091"/>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4"/>
      <c r="C57" s="2095"/>
      <c r="D57" s="2095"/>
      <c r="E57" s="2095"/>
      <c r="F57" s="2095"/>
      <c r="G57" s="2095"/>
      <c r="H57" s="2095"/>
      <c r="I57" s="2095"/>
      <c r="J57" s="2096"/>
    </row>
    <row r="58" spans="1:10" s="181" customFormat="1" x14ac:dyDescent="0.2">
      <c r="A58" s="253"/>
      <c r="B58" s="2097"/>
      <c r="C58" s="2098"/>
      <c r="D58" s="2098"/>
      <c r="E58" s="2098"/>
      <c r="F58" s="2098"/>
      <c r="G58" s="2098"/>
      <c r="H58" s="2098"/>
      <c r="I58" s="2098"/>
      <c r="J58" s="2099"/>
    </row>
    <row r="59" spans="1:10" s="181" customFormat="1" x14ac:dyDescent="0.2">
      <c r="A59" s="253"/>
      <c r="B59" s="2097"/>
      <c r="C59" s="2098"/>
      <c r="D59" s="2098"/>
      <c r="E59" s="2098"/>
      <c r="F59" s="2098"/>
      <c r="G59" s="2098"/>
      <c r="H59" s="2098"/>
      <c r="I59" s="2098"/>
      <c r="J59" s="2099"/>
    </row>
    <row r="60" spans="1:10" s="181" customFormat="1" x14ac:dyDescent="0.2">
      <c r="A60" s="253"/>
      <c r="B60" s="2097"/>
      <c r="C60" s="2098"/>
      <c r="D60" s="2098"/>
      <c r="E60" s="2098"/>
      <c r="F60" s="2098"/>
      <c r="G60" s="2098"/>
      <c r="H60" s="2098"/>
      <c r="I60" s="2098"/>
      <c r="J60" s="2099"/>
    </row>
    <row r="61" spans="1:10" s="181" customFormat="1" x14ac:dyDescent="0.2">
      <c r="A61" s="253"/>
      <c r="B61" s="2097"/>
      <c r="C61" s="2098"/>
      <c r="D61" s="2098"/>
      <c r="E61" s="2098"/>
      <c r="F61" s="2098"/>
      <c r="G61" s="2098"/>
      <c r="H61" s="2098"/>
      <c r="I61" s="2098"/>
      <c r="J61" s="2099"/>
    </row>
    <row r="62" spans="1:10" s="181" customFormat="1" x14ac:dyDescent="0.2">
      <c r="A62" s="253"/>
      <c r="B62" s="2097"/>
      <c r="C62" s="2098"/>
      <c r="D62" s="2098"/>
      <c r="E62" s="2098"/>
      <c r="F62" s="2098"/>
      <c r="G62" s="2098"/>
      <c r="H62" s="2098"/>
      <c r="I62" s="2098"/>
      <c r="J62" s="2099"/>
    </row>
    <row r="63" spans="1:10" s="181" customFormat="1" x14ac:dyDescent="0.2">
      <c r="A63" s="253"/>
      <c r="B63" s="2097"/>
      <c r="C63" s="2098"/>
      <c r="D63" s="2098"/>
      <c r="E63" s="2098"/>
      <c r="F63" s="2098"/>
      <c r="G63" s="2098"/>
      <c r="H63" s="2098"/>
      <c r="I63" s="2098"/>
      <c r="J63" s="2099"/>
    </row>
    <row r="64" spans="1:10" s="181" customFormat="1" x14ac:dyDescent="0.2">
      <c r="A64" s="253"/>
      <c r="B64" s="2097"/>
      <c r="C64" s="2098"/>
      <c r="D64" s="2098"/>
      <c r="E64" s="2098"/>
      <c r="F64" s="2098"/>
      <c r="G64" s="2098"/>
      <c r="H64" s="2098"/>
      <c r="I64" s="2098"/>
      <c r="J64" s="2099"/>
    </row>
    <row r="65" spans="1:10" s="181" customFormat="1" x14ac:dyDescent="0.2">
      <c r="A65" s="253"/>
      <c r="B65" s="2097"/>
      <c r="C65" s="2098"/>
      <c r="D65" s="2098"/>
      <c r="E65" s="2098"/>
      <c r="F65" s="2098"/>
      <c r="G65" s="2098"/>
      <c r="H65" s="2098"/>
      <c r="I65" s="2098"/>
      <c r="J65" s="2099"/>
    </row>
    <row r="66" spans="1:10" s="181" customFormat="1" x14ac:dyDescent="0.2">
      <c r="A66" s="253"/>
      <c r="B66" s="2097"/>
      <c r="C66" s="2098"/>
      <c r="D66" s="2098"/>
      <c r="E66" s="2098"/>
      <c r="F66" s="2098"/>
      <c r="G66" s="2098"/>
      <c r="H66" s="2098"/>
      <c r="I66" s="2098"/>
      <c r="J66" s="2099"/>
    </row>
    <row r="67" spans="1:10" s="181" customFormat="1" ht="9" customHeight="1" x14ac:dyDescent="0.2">
      <c r="A67" s="254"/>
      <c r="B67" s="2100"/>
      <c r="C67" s="2101"/>
      <c r="D67" s="2101"/>
      <c r="E67" s="2101"/>
      <c r="F67" s="2101"/>
      <c r="G67" s="2101"/>
      <c r="H67" s="2101"/>
      <c r="I67" s="2101"/>
      <c r="J67" s="210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7" t="s">
        <v>1390</v>
      </c>
      <c r="B70" s="2090"/>
      <c r="C70" s="2090"/>
      <c r="D70" s="2090"/>
      <c r="E70" s="2091"/>
      <c r="F70" s="2091"/>
      <c r="G70" s="2091"/>
      <c r="H70" s="2091"/>
      <c r="I70" s="2091"/>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2" t="s">
        <v>1387</v>
      </c>
      <c r="B83" s="2092"/>
      <c r="C83" s="2092"/>
      <c r="D83" s="2093"/>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4"/>
      <c r="C102" s="2075"/>
      <c r="D102" s="2075"/>
      <c r="E102" s="2075"/>
      <c r="F102" s="2075"/>
      <c r="G102" s="2075"/>
      <c r="H102" s="2075"/>
      <c r="I102" s="2076"/>
    </row>
    <row r="103" spans="1:9" s="181" customFormat="1" ht="11.25" customHeight="1" x14ac:dyDescent="0.2">
      <c r="A103" s="316"/>
      <c r="B103" s="2077"/>
      <c r="C103" s="2078"/>
      <c r="D103" s="2078"/>
      <c r="E103" s="2078"/>
      <c r="F103" s="2078"/>
      <c r="G103" s="2078"/>
      <c r="H103" s="2078"/>
      <c r="I103" s="2079"/>
    </row>
    <row r="104" spans="1:9" s="181" customFormat="1" ht="11.25" customHeight="1" x14ac:dyDescent="0.2">
      <c r="A104" s="316"/>
      <c r="B104" s="2077"/>
      <c r="C104" s="2078"/>
      <c r="D104" s="2078"/>
      <c r="E104" s="2078"/>
      <c r="F104" s="2078"/>
      <c r="G104" s="2078"/>
      <c r="H104" s="2078"/>
      <c r="I104" s="2079"/>
    </row>
    <row r="105" spans="1:9" s="181" customFormat="1" x14ac:dyDescent="0.2">
      <c r="A105" s="316"/>
      <c r="B105" s="2077"/>
      <c r="C105" s="2078"/>
      <c r="D105" s="2078"/>
      <c r="E105" s="2078"/>
      <c r="F105" s="2078"/>
      <c r="G105" s="2078"/>
      <c r="H105" s="2078"/>
      <c r="I105" s="2079"/>
    </row>
    <row r="106" spans="1:9" s="181" customFormat="1" ht="11.25" customHeight="1" x14ac:dyDescent="0.2">
      <c r="A106" s="316"/>
      <c r="B106" s="2077"/>
      <c r="C106" s="2078"/>
      <c r="D106" s="2078"/>
      <c r="E106" s="2078"/>
      <c r="F106" s="2078"/>
      <c r="G106" s="2078"/>
      <c r="H106" s="2078"/>
      <c r="I106" s="2079"/>
    </row>
    <row r="107" spans="1:9" s="181" customFormat="1" ht="11.25" customHeight="1" x14ac:dyDescent="0.2">
      <c r="A107" s="316"/>
      <c r="B107" s="2077"/>
      <c r="C107" s="2078"/>
      <c r="D107" s="2078"/>
      <c r="E107" s="2078"/>
      <c r="F107" s="2078"/>
      <c r="G107" s="2078"/>
      <c r="H107" s="2078"/>
      <c r="I107" s="2079"/>
    </row>
    <row r="108" spans="1:9" s="181" customFormat="1" ht="11.25" customHeight="1" x14ac:dyDescent="0.2">
      <c r="A108" s="316"/>
      <c r="B108" s="2077"/>
      <c r="C108" s="2078"/>
      <c r="D108" s="2078"/>
      <c r="E108" s="2078"/>
      <c r="F108" s="2078"/>
      <c r="G108" s="2078"/>
      <c r="H108" s="2078"/>
      <c r="I108" s="2079"/>
    </row>
    <row r="109" spans="1:9" s="181" customFormat="1" ht="11.25" customHeight="1" x14ac:dyDescent="0.2">
      <c r="A109" s="316"/>
      <c r="B109" s="2077"/>
      <c r="C109" s="2078"/>
      <c r="D109" s="2078"/>
      <c r="E109" s="2078"/>
      <c r="F109" s="2078"/>
      <c r="G109" s="2078"/>
      <c r="H109" s="2078"/>
      <c r="I109" s="2079"/>
    </row>
    <row r="110" spans="1:9" s="181" customFormat="1" ht="11.25" customHeight="1" x14ac:dyDescent="0.2">
      <c r="A110" s="316"/>
      <c r="B110" s="2077"/>
      <c r="C110" s="2078"/>
      <c r="D110" s="2078"/>
      <c r="E110" s="2078"/>
      <c r="F110" s="2078"/>
      <c r="G110" s="2078"/>
      <c r="H110" s="2078"/>
      <c r="I110" s="2079"/>
    </row>
    <row r="111" spans="1:9" s="181" customFormat="1" ht="11.25" customHeight="1" x14ac:dyDescent="0.2">
      <c r="A111" s="316"/>
      <c r="B111" s="2077"/>
      <c r="C111" s="2078"/>
      <c r="D111" s="2078"/>
      <c r="E111" s="2078"/>
      <c r="F111" s="2078"/>
      <c r="G111" s="2078"/>
      <c r="H111" s="2078"/>
      <c r="I111" s="2079"/>
    </row>
    <row r="112" spans="1:9" s="181" customFormat="1" ht="11.25" customHeight="1" x14ac:dyDescent="0.2">
      <c r="A112" s="316"/>
      <c r="B112" s="2080"/>
      <c r="C112" s="2081"/>
      <c r="D112" s="2081"/>
      <c r="E112" s="2081"/>
      <c r="F112" s="2081"/>
      <c r="G112" s="2081"/>
      <c r="H112" s="2081"/>
      <c r="I112" s="208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3" t="s">
        <v>2077</v>
      </c>
      <c r="D114" s="2083"/>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4" t="s">
        <v>1397</v>
      </c>
      <c r="D117" s="2085"/>
      <c r="E117" s="2086"/>
      <c r="F117" s="2086"/>
      <c r="G117" s="2086"/>
      <c r="H117" s="2086"/>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25" zoomScale="110" zoomScaleNormal="110" workbookViewId="0">
      <selection activeCell="B13" sqref="B13"/>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Eagle Ridge Vocational Del System</v>
      </c>
      <c r="C1" s="2480"/>
      <c r="D1" s="2480"/>
      <c r="E1" s="2480"/>
      <c r="F1" s="2480"/>
      <c r="G1" s="2480"/>
      <c r="H1" s="2480"/>
      <c r="I1" s="2480"/>
      <c r="J1" s="1422"/>
    </row>
    <row r="2" spans="2:10" s="317" customFormat="1" ht="12.75" customHeight="1" x14ac:dyDescent="0.2">
      <c r="B2" s="2481">
        <f>'Single Audit Cover'!E7</f>
        <v>8000000046</v>
      </c>
      <c r="C2" s="2482"/>
      <c r="D2" s="2482"/>
      <c r="E2" s="2482"/>
      <c r="F2" s="2482"/>
      <c r="G2" s="2482"/>
      <c r="H2" s="2482"/>
      <c r="I2" s="2482"/>
      <c r="J2" s="1422"/>
    </row>
    <row r="3" spans="2:10" s="317" customFormat="1" ht="12.75" customHeight="1" x14ac:dyDescent="0.2">
      <c r="B3" s="2483" t="s">
        <v>1347</v>
      </c>
      <c r="C3" s="2484"/>
      <c r="D3" s="2484"/>
      <c r="E3" s="2484"/>
      <c r="F3" s="2484"/>
      <c r="G3" s="2484"/>
      <c r="H3" s="2484"/>
      <c r="I3" s="2484"/>
      <c r="J3" s="1423"/>
    </row>
    <row r="4" spans="2:10" s="317" customFormat="1" ht="12.75" customHeight="1" x14ac:dyDescent="0.2">
      <c r="B4" s="2483" t="str">
        <f>'Single Audit Cover'!A4</f>
        <v>Year Ending June 30, 2018</v>
      </c>
      <c r="C4" s="2484"/>
      <c r="D4" s="2484"/>
      <c r="E4" s="2484"/>
      <c r="F4" s="2484"/>
      <c r="G4" s="2484"/>
      <c r="H4" s="2484"/>
      <c r="I4" s="248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3" t="s">
        <v>1346</v>
      </c>
      <c r="C7" s="2484"/>
      <c r="D7" s="2484"/>
      <c r="E7" s="2484"/>
      <c r="F7" s="2484"/>
      <c r="G7" s="2484"/>
      <c r="H7" s="2484"/>
      <c r="I7" s="248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5"/>
      <c r="D11" s="2485"/>
      <c r="E11" s="1432"/>
      <c r="F11" s="1432"/>
      <c r="G11" s="1432"/>
    </row>
    <row r="12" spans="2:10" s="317" customFormat="1" ht="11.45" customHeight="1" x14ac:dyDescent="0.2">
      <c r="B12" s="1357"/>
      <c r="C12" s="1433" t="s">
        <v>1517</v>
      </c>
      <c r="D12" s="1434"/>
      <c r="E12" s="1258"/>
    </row>
    <row r="13" spans="2:10" s="317" customFormat="1" ht="6"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6"/>
      <c r="E29" s="2486"/>
      <c r="F29" s="2486"/>
      <c r="G29" s="2486"/>
      <c r="H29" s="2486"/>
      <c r="I29" s="2486"/>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7" t="s">
        <v>1854</v>
      </c>
      <c r="D37" s="2488"/>
      <c r="E37" s="2488"/>
      <c r="F37" s="2489"/>
      <c r="G37" s="2487" t="s">
        <v>1674</v>
      </c>
      <c r="H37" s="2488"/>
      <c r="I37" s="2489"/>
    </row>
    <row r="38" spans="2:9" ht="16.5" customHeight="1" x14ac:dyDescent="0.2">
      <c r="B38" s="1444"/>
      <c r="C38" s="2475"/>
      <c r="D38" s="2476"/>
      <c r="E38" s="2476"/>
      <c r="F38" s="2477"/>
      <c r="G38" s="2490"/>
      <c r="H38" s="2491"/>
      <c r="I38" s="2492"/>
    </row>
    <row r="39" spans="2:9" ht="16.5" customHeight="1" x14ac:dyDescent="0.2">
      <c r="B39" s="1444"/>
      <c r="C39" s="2475"/>
      <c r="D39" s="2476"/>
      <c r="E39" s="2476"/>
      <c r="F39" s="2477"/>
      <c r="G39" s="2478"/>
      <c r="H39" s="2478"/>
      <c r="I39" s="2478"/>
    </row>
    <row r="40" spans="2:9" ht="16.5" customHeight="1" x14ac:dyDescent="0.2">
      <c r="B40" s="1444"/>
      <c r="C40" s="2475"/>
      <c r="D40" s="2476"/>
      <c r="E40" s="2476"/>
      <c r="F40" s="2477"/>
      <c r="G40" s="2478"/>
      <c r="H40" s="2478"/>
      <c r="I40" s="2478"/>
    </row>
    <row r="41" spans="2:9" ht="16.5" customHeight="1" x14ac:dyDescent="0.2">
      <c r="B41" s="1444"/>
      <c r="C41" s="2475"/>
      <c r="D41" s="2476"/>
      <c r="E41" s="2476"/>
      <c r="F41" s="2477"/>
      <c r="G41" s="2478"/>
      <c r="H41" s="2478"/>
      <c r="I41" s="2478"/>
    </row>
    <row r="42" spans="2:9" ht="16.5" customHeight="1" x14ac:dyDescent="0.2">
      <c r="B42" s="1444"/>
      <c r="C42" s="2475"/>
      <c r="D42" s="2476"/>
      <c r="E42" s="2476"/>
      <c r="F42" s="2477"/>
      <c r="G42" s="2478"/>
      <c r="H42" s="2478"/>
      <c r="I42" s="2478"/>
    </row>
    <row r="43" spans="2:9" ht="16.5" customHeight="1" x14ac:dyDescent="0.2">
      <c r="B43" s="1444"/>
      <c r="C43" s="2468" t="s">
        <v>1675</v>
      </c>
      <c r="D43" s="2469"/>
      <c r="E43" s="2469"/>
      <c r="F43" s="2470"/>
      <c r="G43" s="2471">
        <f>SUM(G38:I42)</f>
        <v>0</v>
      </c>
      <c r="H43" s="2471"/>
      <c r="I43" s="2471"/>
    </row>
    <row r="44" spans="2:9" ht="12.75" customHeight="1" x14ac:dyDescent="0.2"/>
    <row r="45" spans="2:9" ht="12.75" customHeight="1" x14ac:dyDescent="0.2">
      <c r="B45" s="1435" t="s">
        <v>1952</v>
      </c>
      <c r="D45" s="2472">
        <v>0</v>
      </c>
      <c r="E45" s="2473"/>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4"/>
      <c r="F49" s="2474"/>
      <c r="G49" s="2474"/>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Eagle Ridge Vocational Del System</v>
      </c>
      <c r="C1" s="2479"/>
      <c r="D1" s="2479"/>
      <c r="E1" s="2479"/>
      <c r="F1" s="2479"/>
      <c r="G1" s="2479"/>
      <c r="H1" s="2479"/>
      <c r="I1" s="2479"/>
      <c r="J1" s="2479"/>
      <c r="K1" s="2479"/>
      <c r="L1" s="1374"/>
      <c r="M1" s="1374"/>
    </row>
    <row r="2" spans="1:13" ht="12" customHeight="1" x14ac:dyDescent="0.2">
      <c r="B2" s="2481">
        <f>'Single Audit Cover'!E7</f>
        <v>8000000046</v>
      </c>
      <c r="C2" s="2481"/>
      <c r="D2" s="2481"/>
      <c r="E2" s="2481"/>
      <c r="F2" s="2481"/>
      <c r="G2" s="2481"/>
      <c r="H2" s="2481"/>
      <c r="I2" s="2481"/>
      <c r="J2" s="2481"/>
      <c r="K2" s="2481"/>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Eagle Ridge Vocational Del System</v>
      </c>
      <c r="C1" s="2502"/>
      <c r="D1" s="2502"/>
      <c r="E1" s="2502"/>
      <c r="F1" s="2502"/>
      <c r="G1" s="2502"/>
      <c r="H1" s="2502"/>
      <c r="I1" s="2502"/>
      <c r="J1" s="2502"/>
      <c r="K1" s="2502"/>
      <c r="L1" s="1465"/>
    </row>
    <row r="2" spans="1:12" ht="12.75" customHeight="1" x14ac:dyDescent="0.2">
      <c r="B2" s="2503">
        <f>'Single Audit Cover'!E7</f>
        <v>8000000046</v>
      </c>
      <c r="C2" s="2503"/>
      <c r="D2" s="2503"/>
      <c r="E2" s="2503"/>
      <c r="F2" s="2503"/>
      <c r="G2" s="2503"/>
      <c r="H2" s="2503"/>
      <c r="I2" s="2503"/>
      <c r="J2" s="2503"/>
      <c r="K2" s="2503"/>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6"/>
      <c r="G12" s="2486"/>
      <c r="H12" s="2486"/>
      <c r="I12" s="2486"/>
      <c r="J12" s="2486"/>
      <c r="K12" s="248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9" t="str">
        <f>'Single Audit Cover'!A7</f>
        <v>Eagle Ridge Vocational Del System</v>
      </c>
      <c r="C1" s="2479"/>
      <c r="D1" s="2479"/>
      <c r="E1" s="1491"/>
    </row>
    <row r="2" spans="2:5" s="1282" customFormat="1" ht="12.75" customHeight="1" x14ac:dyDescent="0.2">
      <c r="B2" s="2481">
        <f>'Single Audit Cover'!E7</f>
        <v>8000000046</v>
      </c>
      <c r="C2" s="2481"/>
      <c r="D2" s="2481"/>
      <c r="E2" s="1492"/>
    </row>
    <row r="3" spans="2:5" ht="12.75" customHeight="1" x14ac:dyDescent="0.2">
      <c r="B3" s="2495" t="s">
        <v>1869</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A38" sqref="A38:H3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3" t="s">
        <v>404</v>
      </c>
      <c r="B1" s="2103"/>
      <c r="C1" s="2103"/>
      <c r="D1" s="2103"/>
      <c r="E1" s="2103"/>
      <c r="F1" s="2103"/>
      <c r="G1" s="2103"/>
      <c r="H1" s="2103"/>
      <c r="I1" s="2103"/>
      <c r="J1" s="2103"/>
      <c r="K1" s="2103"/>
      <c r="L1" s="2103"/>
      <c r="M1" s="210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c r="E10" s="356" t="s">
        <v>1062</v>
      </c>
      <c r="F10" s="355"/>
      <c r="G10" s="356" t="s">
        <v>1062</v>
      </c>
      <c r="H10" s="355"/>
      <c r="I10" s="356" t="s">
        <v>1063</v>
      </c>
      <c r="J10" s="1754">
        <f>ROUND(D10+F10+H10,5)</f>
        <v>0</v>
      </c>
      <c r="K10" s="222"/>
      <c r="L10" s="355"/>
      <c r="M10" s="222"/>
    </row>
    <row r="11" spans="1:14" ht="7.5" customHeight="1" x14ac:dyDescent="0.2">
      <c r="B11" s="222"/>
      <c r="C11" s="222"/>
      <c r="D11" s="2113" t="str">
        <f>IF(SUM(J10)&lt;=0.0999999,"","Enter the Tax Rates by moving the decimal two places to the left.")</f>
        <v/>
      </c>
      <c r="E11" s="2114"/>
      <c r="F11" s="2114"/>
      <c r="G11" s="2114"/>
      <c r="H11" s="2114"/>
      <c r="I11" s="2114"/>
      <c r="J11" s="211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589040</v>
      </c>
      <c r="E16" s="356"/>
      <c r="F16" s="1755">
        <f>SUM('Acct Summary 7-8'!C17,'Acct Summary 7-8'!D17,'Acct Summary 7-8'!F17)</f>
        <v>566233</v>
      </c>
      <c r="G16" s="356"/>
      <c r="H16" s="1755">
        <f>SUM(D16-F16)</f>
        <v>22807</v>
      </c>
      <c r="I16" s="222"/>
      <c r="J16" s="1755">
        <f>SUM('Acct Summary 7-8'!C81,'Acct Summary 7-8'!D81,'Acct Summary 7-8'!F81,'Acct Summary 7-8'!I81)</f>
        <v>12870</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t="str">
        <f>IF(B31="X",(J7*0.069),IF(B32="X",(J7*0.138),"Enter x in a.or b."))</f>
        <v>Enter x in a.or b.</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4"/>
      <c r="C54" s="2105"/>
      <c r="D54" s="2105"/>
      <c r="E54" s="2105"/>
      <c r="F54" s="2105"/>
      <c r="G54" s="2105"/>
      <c r="H54" s="2105"/>
      <c r="I54" s="2105"/>
      <c r="J54" s="2105"/>
      <c r="K54" s="2105"/>
      <c r="L54" s="2106"/>
      <c r="M54" s="380"/>
    </row>
    <row r="55" spans="1:13" ht="12.75" customHeight="1" x14ac:dyDescent="0.2">
      <c r="B55" s="2107"/>
      <c r="C55" s="2108"/>
      <c r="D55" s="2108"/>
      <c r="E55" s="2108"/>
      <c r="F55" s="2108"/>
      <c r="G55" s="2108"/>
      <c r="H55" s="2108"/>
      <c r="I55" s="2108"/>
      <c r="J55" s="2108"/>
      <c r="K55" s="2108"/>
      <c r="L55" s="2109"/>
      <c r="M55" s="380"/>
    </row>
    <row r="56" spans="1:13" ht="12.75" customHeight="1" x14ac:dyDescent="0.2">
      <c r="B56" s="2107"/>
      <c r="C56" s="2108"/>
      <c r="D56" s="2108"/>
      <c r="E56" s="2108"/>
      <c r="F56" s="2108"/>
      <c r="G56" s="2108"/>
      <c r="H56" s="2108"/>
      <c r="I56" s="2108"/>
      <c r="J56" s="2108"/>
      <c r="K56" s="2108"/>
      <c r="L56" s="2109"/>
      <c r="M56" s="222"/>
    </row>
    <row r="57" spans="1:13" ht="12.75" customHeight="1" x14ac:dyDescent="0.2">
      <c r="B57" s="2107"/>
      <c r="C57" s="2108"/>
      <c r="D57" s="2108"/>
      <c r="E57" s="2108"/>
      <c r="F57" s="2108"/>
      <c r="G57" s="2108"/>
      <c r="H57" s="2108"/>
      <c r="I57" s="2108"/>
      <c r="J57" s="2108"/>
      <c r="K57" s="2108"/>
      <c r="L57" s="2109"/>
      <c r="M57" s="222"/>
    </row>
    <row r="58" spans="1:13" x14ac:dyDescent="0.2">
      <c r="B58" s="2110"/>
      <c r="C58" s="2111"/>
      <c r="D58" s="2111"/>
      <c r="E58" s="2111"/>
      <c r="F58" s="2111"/>
      <c r="G58" s="2111"/>
      <c r="H58" s="2111"/>
      <c r="I58" s="2111"/>
      <c r="J58" s="2111"/>
      <c r="K58" s="2111"/>
      <c r="L58" s="211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5"/>
      <c r="D61" s="211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6" zoomScale="110" zoomScaleNormal="110" workbookViewId="0">
      <selection activeCell="A38" sqref="A38:H38"/>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577</v>
      </c>
      <c r="B2" s="2122"/>
      <c r="C2" s="2122"/>
      <c r="D2" s="2122"/>
      <c r="E2" s="2122"/>
      <c r="F2" s="2122"/>
      <c r="G2" s="2122"/>
      <c r="H2" s="2122"/>
      <c r="I2" s="2122"/>
      <c r="J2" s="2122"/>
      <c r="K2" s="2122"/>
      <c r="L2" s="2122"/>
      <c r="M2" s="2122"/>
      <c r="N2" s="2122"/>
      <c r="O2" s="2122"/>
      <c r="P2" s="2122"/>
      <c r="Q2" s="2122"/>
      <c r="R2" s="2122"/>
    </row>
    <row r="3" spans="1:18" ht="12.75" x14ac:dyDescent="0.2">
      <c r="A3" s="2123" t="s">
        <v>1480</v>
      </c>
      <c r="B3" s="2123"/>
      <c r="C3" s="2123"/>
      <c r="D3" s="2123"/>
      <c r="E3" s="2123"/>
      <c r="F3" s="2123"/>
      <c r="G3" s="2123"/>
      <c r="H3" s="2123"/>
      <c r="I3" s="2123"/>
      <c r="J3" s="2123"/>
      <c r="K3" s="2123"/>
      <c r="L3" s="2123"/>
      <c r="M3" s="2123"/>
      <c r="N3" s="2123"/>
      <c r="O3" s="2123"/>
      <c r="P3" s="2123"/>
      <c r="Q3" s="2123"/>
      <c r="R3" s="2123"/>
    </row>
    <row r="4" spans="1:18" x14ac:dyDescent="0.2">
      <c r="A4" s="2124" t="s">
        <v>1635</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Eagle Ridge Vocational Del System</v>
      </c>
      <c r="E7" s="391"/>
      <c r="G7" s="252"/>
      <c r="H7" s="387"/>
      <c r="I7" s="387"/>
      <c r="J7" s="387"/>
      <c r="K7" s="387"/>
      <c r="L7" s="329"/>
      <c r="M7" s="329"/>
      <c r="N7" s="329"/>
      <c r="O7" s="329"/>
      <c r="P7" s="329"/>
    </row>
    <row r="8" spans="1:18" ht="12.75" x14ac:dyDescent="0.2">
      <c r="A8" s="329"/>
      <c r="B8" s="329"/>
      <c r="C8" s="389" t="s">
        <v>1187</v>
      </c>
      <c r="D8" s="392">
        <f>COVER!A13</f>
        <v>8000000046</v>
      </c>
      <c r="E8" s="393"/>
      <c r="G8" s="329"/>
      <c r="H8" s="329"/>
      <c r="I8" s="329"/>
      <c r="J8" s="329"/>
      <c r="K8" s="329"/>
      <c r="L8" s="329"/>
      <c r="M8" s="329"/>
      <c r="N8" s="329"/>
      <c r="O8" s="329"/>
      <c r="P8" s="329"/>
    </row>
    <row r="9" spans="1:18" ht="12.75" x14ac:dyDescent="0.2">
      <c r="A9" s="329"/>
      <c r="B9" s="329"/>
      <c r="C9" s="389" t="s">
        <v>737</v>
      </c>
      <c r="D9" s="394" t="str">
        <f>COVER!A15</f>
        <v>CARROLL, JO DAVIESS</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2</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12870</v>
      </c>
      <c r="I12" s="404"/>
      <c r="J12" s="404"/>
      <c r="K12" s="405">
        <f>TRUNC((H12/H13*100000),5)/100000</f>
        <v>2.18491104E-2</v>
      </c>
      <c r="L12" s="406"/>
      <c r="M12" s="360" t="s">
        <v>1206</v>
      </c>
      <c r="N12" s="360"/>
      <c r="O12" s="407">
        <v>0.35</v>
      </c>
      <c r="P12" s="218"/>
      <c r="Q12" s="218"/>
    </row>
    <row r="13" spans="1:18" s="408" customFormat="1" ht="12.75" x14ac:dyDescent="0.2">
      <c r="A13" s="218"/>
      <c r="B13" s="401"/>
      <c r="C13" s="2120" t="s">
        <v>1391</v>
      </c>
      <c r="D13" s="2121"/>
      <c r="E13" s="218"/>
      <c r="F13" s="409" t="s">
        <v>826</v>
      </c>
      <c r="G13" s="402"/>
      <c r="H13" s="403">
        <f>SUM('Acct Summary 7-8'!C8+'Acct Summary 7-8'!D8+'Acct Summary 7-8'!F8+'Acct Summary 7-8'!I8)+H14</f>
        <v>589040</v>
      </c>
      <c r="I13" s="404"/>
      <c r="J13" s="404"/>
      <c r="K13" s="410"/>
      <c r="L13" s="218"/>
      <c r="M13" s="360" t="s">
        <v>1207</v>
      </c>
      <c r="N13" s="360"/>
      <c r="O13" s="411">
        <f>(O11*O12)</f>
        <v>0.7</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566233</v>
      </c>
      <c r="I17" s="404"/>
      <c r="J17" s="416"/>
      <c r="K17" s="405">
        <f>TRUNC((H17/H18*100000),5)/100000</f>
        <v>0.96128106740000008</v>
      </c>
      <c r="L17" s="406"/>
      <c r="M17" s="417" t="s">
        <v>1233</v>
      </c>
      <c r="O17" s="418" t="str">
        <f>IF(AND(O16="2", J20 &gt; 2),"1",IF(AND(O16 = "1", J20 &gt; 2),"2",IF(AND(O16="1", J20 &gt;1),"1","0")))</f>
        <v>0</v>
      </c>
      <c r="P17" s="218"/>
    </row>
    <row r="18" spans="1:18" s="408" customFormat="1" ht="11.25" x14ac:dyDescent="0.2">
      <c r="A18" s="218"/>
      <c r="B18" s="401"/>
      <c r="C18" s="2120" t="s">
        <v>1384</v>
      </c>
      <c r="D18" s="2121"/>
      <c r="E18" s="218"/>
      <c r="F18" s="419" t="s">
        <v>827</v>
      </c>
      <c r="G18" s="402"/>
      <c r="H18" s="403">
        <f>SUM('Acct Summary 7-8'!C8+'Acct Summary 7-8'!D8+'Acct Summary 7-8'!F8+'Acct Summary 7-8'!I8)+H19</f>
        <v>589040</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f>IF(K24&gt;=180,"4",IF(K24&gt;=90,"3",IF(K24&gt;=30,"2",1)))</f>
        <v>1</v>
      </c>
      <c r="P23" s="216"/>
      <c r="R23" s="384"/>
    </row>
    <row r="24" spans="1:18" s="408" customFormat="1" ht="11.25" x14ac:dyDescent="0.2">
      <c r="A24" s="218"/>
      <c r="B24" s="401"/>
      <c r="C24" s="2117" t="s">
        <v>1479</v>
      </c>
      <c r="D24" s="2117"/>
      <c r="E24" s="218"/>
      <c r="F24" s="218" t="s">
        <v>465</v>
      </c>
      <c r="G24" s="402"/>
      <c r="H24" s="403">
        <f>SUM('Assets-Liab 5-6'!C4+'Assets-Liab 5-6'!D4+'Assets-Liab 5-6'!F4+'Assets-Liab 5-6'!I4+'Assets-Liab 5-6'!C5+'Assets-Liab 5-6'!D5+'Assets-Liab 5-6'!F5+'Assets-Liab 5-6'!I5)</f>
        <v>22870</v>
      </c>
      <c r="I24" s="422"/>
      <c r="J24" s="422"/>
      <c r="K24" s="423">
        <f>TRUNC(((H24/H25*100000)/100000),2)</f>
        <v>14.54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1572.8694399999999</v>
      </c>
      <c r="I25" s="425"/>
      <c r="J25" s="425"/>
      <c r="K25" s="410"/>
      <c r="L25" s="218"/>
      <c r="M25" s="360" t="s">
        <v>1207</v>
      </c>
      <c r="N25" s="360"/>
      <c r="O25" s="411">
        <f>O23*O24</f>
        <v>0.1</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e">
        <f>IF(K32&gt;=75,"4",IF(K32&gt;=50,"3",IF(K32&gt;=25,"2",1)))</f>
        <v>#VALUE!</v>
      </c>
      <c r="P31" s="216"/>
    </row>
    <row r="32" spans="1:18" s="408" customFormat="1" ht="11.25" x14ac:dyDescent="0.2">
      <c r="A32" s="218"/>
      <c r="B32" s="401"/>
      <c r="C32" s="218" t="s">
        <v>902</v>
      </c>
      <c r="D32" s="218"/>
      <c r="E32" s="218"/>
      <c r="F32" s="218"/>
      <c r="G32" s="402"/>
      <c r="H32" s="403">
        <f>'FP Info 3'!H37</f>
        <v>0</v>
      </c>
      <c r="I32" s="420"/>
      <c r="J32" s="420"/>
      <c r="K32" s="423" t="e">
        <f>TRUNC(100-((((H32/H33*100))*100)/100),2)</f>
        <v>#VALUE!</v>
      </c>
      <c r="L32" s="406"/>
      <c r="M32" s="360" t="s">
        <v>1206</v>
      </c>
      <c r="N32" s="360"/>
      <c r="O32" s="434">
        <v>0.1</v>
      </c>
    </row>
    <row r="33" spans="1:17" s="408" customFormat="1" ht="11.25" x14ac:dyDescent="0.2">
      <c r="A33" s="218"/>
      <c r="B33" s="401"/>
      <c r="C33" s="218" t="s">
        <v>832</v>
      </c>
      <c r="D33" s="218"/>
      <c r="E33" s="218"/>
      <c r="F33" s="218"/>
      <c r="G33" s="402"/>
      <c r="H33" s="403" t="str">
        <f>IF('FP Info 3'!H31="Enter X in a or b"," ",'FP Info 3'!H31)</f>
        <v>Enter x in a.or b.</v>
      </c>
      <c r="I33" s="420"/>
      <c r="J33" s="420"/>
      <c r="K33" s="403"/>
      <c r="L33" s="218"/>
      <c r="M33" s="435" t="s">
        <v>1207</v>
      </c>
      <c r="N33" s="435"/>
      <c r="O33" s="434" t="e">
        <f>(O31*O32)</f>
        <v>#VALUE!</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t="e">
        <f>(O13+O20+O25+O29+O33)</f>
        <v>#DIV/0!</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24" activePane="bottomLeft" state="frozen"/>
      <selection activeCell="A38" sqref="A38:H38"/>
      <selection pane="bottomLeft" activeCell="A38" sqref="A38:H38"/>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5"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7" t="s">
        <v>1030</v>
      </c>
      <c r="B3" s="2128"/>
      <c r="C3" s="1581"/>
      <c r="D3" s="1582"/>
      <c r="E3" s="1582"/>
      <c r="F3" s="1582"/>
      <c r="G3" s="1582"/>
      <c r="H3" s="1582"/>
      <c r="I3" s="1582"/>
      <c r="J3" s="1582"/>
      <c r="K3" s="1582"/>
      <c r="L3" s="1582"/>
      <c r="M3" s="1583"/>
      <c r="N3" s="1584"/>
    </row>
    <row r="4" spans="1:14" ht="13.5" customHeight="1" x14ac:dyDescent="0.2">
      <c r="A4" s="463" t="s">
        <v>1750</v>
      </c>
      <c r="B4" s="464"/>
      <c r="C4" s="465">
        <v>22870</v>
      </c>
      <c r="D4" s="466"/>
      <c r="E4" s="466"/>
      <c r="F4" s="466"/>
      <c r="G4" s="466"/>
      <c r="H4" s="466"/>
      <c r="I4" s="466"/>
      <c r="J4" s="467"/>
      <c r="K4" s="466"/>
      <c r="L4" s="466"/>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22870</v>
      </c>
      <c r="D13" s="1759">
        <f t="shared" ref="D13:L13" si="0">SUM(D4:D12)</f>
        <v>0</v>
      </c>
      <c r="E13" s="1759">
        <f t="shared" si="0"/>
        <v>0</v>
      </c>
      <c r="F13" s="1759">
        <f t="shared" si="0"/>
        <v>0</v>
      </c>
      <c r="G13" s="1759">
        <f t="shared" si="0"/>
        <v>0</v>
      </c>
      <c r="H13" s="1759">
        <f t="shared" si="0"/>
        <v>0</v>
      </c>
      <c r="I13" s="1759">
        <f t="shared" si="0"/>
        <v>0</v>
      </c>
      <c r="J13" s="1759">
        <f t="shared" si="0"/>
        <v>0</v>
      </c>
      <c r="K13" s="1759">
        <f t="shared" si="0"/>
        <v>0</v>
      </c>
      <c r="L13" s="1759">
        <f t="shared" si="0"/>
        <v>0</v>
      </c>
      <c r="M13" s="468"/>
      <c r="N13" s="469"/>
    </row>
    <row r="14" spans="1:14" ht="18" customHeight="1" thickTop="1" x14ac:dyDescent="0.2">
      <c r="A14" s="2129" t="s">
        <v>149</v>
      </c>
      <c r="B14" s="2130"/>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c r="N16" s="484"/>
    </row>
    <row r="17" spans="1:14" s="485" customFormat="1" ht="12.75" customHeight="1" x14ac:dyDescent="0.2">
      <c r="A17" s="482" t="s">
        <v>1470</v>
      </c>
      <c r="B17" s="483">
        <v>230</v>
      </c>
      <c r="C17" s="477"/>
      <c r="D17" s="477"/>
      <c r="E17" s="477"/>
      <c r="F17" s="477"/>
      <c r="G17" s="477"/>
      <c r="H17" s="477"/>
      <c r="I17" s="477"/>
      <c r="J17" s="477"/>
      <c r="K17" s="477"/>
      <c r="L17" s="477"/>
      <c r="M17" s="467"/>
      <c r="N17" s="484"/>
    </row>
    <row r="18" spans="1:14" s="485" customFormat="1" ht="12.75" customHeight="1" x14ac:dyDescent="0.2">
      <c r="A18" s="482" t="s">
        <v>1471</v>
      </c>
      <c r="B18" s="483">
        <v>240</v>
      </c>
      <c r="C18" s="477"/>
      <c r="D18" s="477"/>
      <c r="E18" s="477"/>
      <c r="F18" s="477"/>
      <c r="G18" s="477"/>
      <c r="H18" s="477"/>
      <c r="I18" s="477"/>
      <c r="J18" s="477"/>
      <c r="K18" s="477"/>
      <c r="L18" s="477"/>
      <c r="M18" s="467"/>
      <c r="N18" s="484"/>
    </row>
    <row r="19" spans="1:14" s="485" customFormat="1" ht="12.75" customHeight="1" x14ac:dyDescent="0.2">
      <c r="A19" s="482" t="s">
        <v>1472</v>
      </c>
      <c r="B19" s="483">
        <v>250</v>
      </c>
      <c r="C19" s="477"/>
      <c r="D19" s="477"/>
      <c r="E19" s="477"/>
      <c r="F19" s="477"/>
      <c r="G19" s="477"/>
      <c r="H19" s="477"/>
      <c r="I19" s="477"/>
      <c r="J19" s="477"/>
      <c r="K19" s="477"/>
      <c r="L19" s="477"/>
      <c r="M19" s="467">
        <v>77518</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58" t="s">
        <v>664</v>
      </c>
      <c r="B23" s="1763"/>
      <c r="C23" s="468"/>
      <c r="D23" s="468"/>
      <c r="E23" s="468"/>
      <c r="F23" s="468"/>
      <c r="G23" s="468"/>
      <c r="H23" s="468"/>
      <c r="I23" s="468"/>
      <c r="J23" s="468"/>
      <c r="K23" s="468"/>
      <c r="L23" s="468"/>
      <c r="M23" s="1710">
        <f>SUM(M15:M22)</f>
        <v>77518</v>
      </c>
      <c r="N23" s="1710">
        <f>SUM(N21:N22)</f>
        <v>0</v>
      </c>
    </row>
    <row r="24" spans="1:14" ht="18" customHeight="1" thickTop="1" x14ac:dyDescent="0.2">
      <c r="A24" s="2131" t="s">
        <v>619</v>
      </c>
      <c r="B24" s="2132"/>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v>10000</v>
      </c>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c r="M33" s="468"/>
      <c r="N33" s="469"/>
    </row>
    <row r="34" spans="1:14" ht="13.5" customHeight="1" thickBot="1" x14ac:dyDescent="0.25">
      <c r="A34" s="1760" t="s">
        <v>675</v>
      </c>
      <c r="B34" s="1761"/>
      <c r="C34" s="1762">
        <f>SUM(C25:C33)</f>
        <v>10000</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0</v>
      </c>
      <c r="M34" s="468"/>
      <c r="N34" s="480"/>
    </row>
    <row r="35" spans="1:14" ht="18" customHeight="1" thickTop="1" x14ac:dyDescent="0.2">
      <c r="A35" s="2133" t="s">
        <v>550</v>
      </c>
      <c r="B35" s="2134"/>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58" t="s">
        <v>674</v>
      </c>
      <c r="B37" s="1763"/>
      <c r="C37" s="477"/>
      <c r="D37" s="477"/>
      <c r="E37" s="477"/>
      <c r="F37" s="477"/>
      <c r="G37" s="477"/>
      <c r="H37" s="477"/>
      <c r="I37" s="477"/>
      <c r="J37" s="477"/>
      <c r="K37" s="477"/>
      <c r="L37" s="480"/>
      <c r="M37" s="468"/>
      <c r="N37" s="1710">
        <f>SUM(N36:N36)</f>
        <v>0</v>
      </c>
    </row>
    <row r="38" spans="1:14" s="329" customFormat="1" ht="13.5" customHeight="1" thickTop="1" x14ac:dyDescent="0.2">
      <c r="A38" s="496" t="s">
        <v>440</v>
      </c>
      <c r="B38" s="483">
        <v>714</v>
      </c>
      <c r="C38" s="466">
        <v>12870</v>
      </c>
      <c r="D38" s="466"/>
      <c r="E38" s="466"/>
      <c r="F38" s="466"/>
      <c r="G38" s="466"/>
      <c r="H38" s="466"/>
      <c r="I38" s="466"/>
      <c r="J38" s="467"/>
      <c r="K38" s="466"/>
      <c r="L38" s="481"/>
      <c r="M38" s="497"/>
      <c r="N38" s="497"/>
    </row>
    <row r="39" spans="1:14" s="329" customFormat="1" ht="13.5" customHeight="1" x14ac:dyDescent="0.2">
      <c r="A39" s="496" t="s">
        <v>360</v>
      </c>
      <c r="B39" s="483">
        <v>730</v>
      </c>
      <c r="C39" s="466">
        <v>0</v>
      </c>
      <c r="D39" s="466"/>
      <c r="E39" s="466"/>
      <c r="F39" s="466"/>
      <c r="G39" s="466"/>
      <c r="H39" s="466"/>
      <c r="I39" s="466"/>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77518</v>
      </c>
      <c r="N40" s="497"/>
    </row>
    <row r="41" spans="1:14" ht="13.5" customHeight="1" thickBot="1" x14ac:dyDescent="0.25">
      <c r="A41" s="1758" t="s">
        <v>676</v>
      </c>
      <c r="B41" s="1728"/>
      <c r="C41" s="1710">
        <f>(SUM(C34,C37,C38,C39))</f>
        <v>22870</v>
      </c>
      <c r="D41" s="1710">
        <f t="shared" ref="D41:L41" si="2">SUM(D34,D37,D38:D39)</f>
        <v>0</v>
      </c>
      <c r="E41" s="1710">
        <f t="shared" si="2"/>
        <v>0</v>
      </c>
      <c r="F41" s="1710">
        <f t="shared" si="2"/>
        <v>0</v>
      </c>
      <c r="G41" s="1710">
        <f t="shared" si="2"/>
        <v>0</v>
      </c>
      <c r="H41" s="1710">
        <f t="shared" si="2"/>
        <v>0</v>
      </c>
      <c r="I41" s="1710">
        <f t="shared" si="2"/>
        <v>0</v>
      </c>
      <c r="J41" s="1710">
        <f t="shared" si="2"/>
        <v>0</v>
      </c>
      <c r="K41" s="1710">
        <f t="shared" si="2"/>
        <v>0</v>
      </c>
      <c r="L41" s="1710">
        <f t="shared" si="2"/>
        <v>0</v>
      </c>
      <c r="M41" s="1710">
        <f>SUM(M40)</f>
        <v>77518</v>
      </c>
      <c r="N41" s="1710">
        <f>SUM(N37)</f>
        <v>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12" activePane="bottomLeft" state="frozenSplit"/>
      <selection activeCell="A38" sqref="A38:H38"/>
      <selection pane="bottomLeft" activeCell="A38" sqref="A38:H3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1954" t="s">
        <v>1579</v>
      </c>
      <c r="B4" s="1955">
        <v>1000</v>
      </c>
      <c r="C4" s="1764">
        <f>'Revenues 9-14'!C109</f>
        <v>0</v>
      </c>
      <c r="D4" s="1764">
        <f>'Revenues 9-14'!D109</f>
        <v>0</v>
      </c>
      <c r="E4" s="1764">
        <f>'Revenues 9-14'!E109</f>
        <v>0</v>
      </c>
      <c r="F4" s="1764">
        <f>'Revenues 9-14'!F109</f>
        <v>0</v>
      </c>
      <c r="G4" s="1764">
        <f>'Revenues 9-14'!G109</f>
        <v>0</v>
      </c>
      <c r="H4" s="1764">
        <f>'Revenues 9-14'!H109</f>
        <v>0</v>
      </c>
      <c r="I4" s="1764">
        <f>'Revenues 9-14'!I109</f>
        <v>0</v>
      </c>
      <c r="J4" s="1764">
        <f>'Revenues 9-14'!J109</f>
        <v>0</v>
      </c>
      <c r="K4" s="1764">
        <f>'Revenues 9-14'!K109</f>
        <v>0</v>
      </c>
      <c r="L4" s="347"/>
    </row>
    <row r="5" spans="1:13" ht="15.75" customHeight="1" x14ac:dyDescent="0.2">
      <c r="A5" s="1598" t="s">
        <v>1580</v>
      </c>
      <c r="B5" s="1599">
        <v>2000</v>
      </c>
      <c r="C5" s="1765">
        <f>'Revenues 9-14'!C114</f>
        <v>372598</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170702</v>
      </c>
      <c r="D6" s="1765">
        <f>'Revenues 9-14'!D173</f>
        <v>0</v>
      </c>
      <c r="E6" s="1765">
        <f>'Revenues 9-14'!E173</f>
        <v>0</v>
      </c>
      <c r="F6" s="1765">
        <f>'Revenues 9-14'!F173</f>
        <v>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45740</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589040</v>
      </c>
      <c r="D8" s="1710">
        <f t="shared" ref="D8:K8" si="0">SUM(D4:D7)</f>
        <v>0</v>
      </c>
      <c r="E8" s="1710">
        <f t="shared" si="0"/>
        <v>0</v>
      </c>
      <c r="F8" s="1710">
        <f t="shared" si="0"/>
        <v>0</v>
      </c>
      <c r="G8" s="1710">
        <f t="shared" si="0"/>
        <v>0</v>
      </c>
      <c r="H8" s="1710">
        <f t="shared" si="0"/>
        <v>0</v>
      </c>
      <c r="I8" s="1710">
        <f t="shared" si="0"/>
        <v>0</v>
      </c>
      <c r="J8" s="1710">
        <f t="shared" si="0"/>
        <v>0</v>
      </c>
      <c r="K8" s="1710">
        <f t="shared" si="0"/>
        <v>0</v>
      </c>
      <c r="L8" s="347"/>
    </row>
    <row r="9" spans="1:13" ht="15.75" thickTop="1" x14ac:dyDescent="0.2">
      <c r="A9" s="514" t="s">
        <v>1752</v>
      </c>
      <c r="B9" s="515">
        <v>3998</v>
      </c>
      <c r="C9" s="481">
        <v>0</v>
      </c>
      <c r="D9" s="516"/>
      <c r="E9" s="481"/>
      <c r="F9" s="481"/>
      <c r="G9" s="517"/>
      <c r="H9" s="481"/>
      <c r="I9" s="509" t="s">
        <v>1231</v>
      </c>
      <c r="J9" s="478"/>
      <c r="K9" s="481"/>
      <c r="L9" s="347"/>
    </row>
    <row r="10" spans="1:13" s="519" customFormat="1" ht="13.5" thickBot="1" x14ac:dyDescent="0.25">
      <c r="A10" s="1758" t="s">
        <v>1235</v>
      </c>
      <c r="B10" s="1731"/>
      <c r="C10" s="1710">
        <f>SUM(C8:C9)</f>
        <v>589040</v>
      </c>
      <c r="D10" s="1710">
        <f t="shared" ref="D10:K10" si="1">SUM(D8:D9)</f>
        <v>0</v>
      </c>
      <c r="E10" s="1710">
        <f t="shared" si="1"/>
        <v>0</v>
      </c>
      <c r="F10" s="1710">
        <f t="shared" si="1"/>
        <v>0</v>
      </c>
      <c r="G10" s="1710">
        <f t="shared" si="1"/>
        <v>0</v>
      </c>
      <c r="H10" s="1710">
        <f t="shared" si="1"/>
        <v>0</v>
      </c>
      <c r="I10" s="1710">
        <f t="shared" si="1"/>
        <v>0</v>
      </c>
      <c r="J10" s="1710">
        <f t="shared" si="1"/>
        <v>0</v>
      </c>
      <c r="K10" s="1710">
        <f t="shared" si="1"/>
        <v>0</v>
      </c>
      <c r="L10" s="518"/>
    </row>
    <row r="11" spans="1:13" s="519" customFormat="1" ht="16.7" customHeight="1" thickTop="1" x14ac:dyDescent="0.2">
      <c r="A11" s="2129" t="s">
        <v>1238</v>
      </c>
      <c r="B11" s="2130"/>
      <c r="C11" s="1592"/>
      <c r="D11" s="1593"/>
      <c r="E11" s="1593"/>
      <c r="F11" s="1593"/>
      <c r="G11" s="1593"/>
      <c r="H11" s="1593"/>
      <c r="I11" s="1593"/>
      <c r="J11" s="1593"/>
      <c r="K11" s="1594"/>
      <c r="L11" s="518"/>
    </row>
    <row r="12" spans="1:13" ht="15.75" customHeight="1" x14ac:dyDescent="0.2">
      <c r="A12" s="1598" t="s">
        <v>476</v>
      </c>
      <c r="B12" s="1600">
        <v>1000</v>
      </c>
      <c r="C12" s="1764">
        <f>'Expenditures 15-22'!K33</f>
        <v>105753</v>
      </c>
      <c r="D12" s="520" t="s">
        <v>1231</v>
      </c>
      <c r="E12" s="468" t="s">
        <v>1231</v>
      </c>
      <c r="F12" s="468" t="s">
        <v>1231</v>
      </c>
      <c r="G12" s="1764">
        <f>'Expenditures 15-22'!K229</f>
        <v>0</v>
      </c>
      <c r="H12" s="521"/>
      <c r="I12" s="468" t="s">
        <v>1231</v>
      </c>
      <c r="J12" s="468" t="s">
        <v>1231</v>
      </c>
      <c r="K12" s="521" t="s">
        <v>1231</v>
      </c>
      <c r="L12" s="347"/>
    </row>
    <row r="13" spans="1:13" ht="15.75" customHeight="1" x14ac:dyDescent="0.2">
      <c r="A13" s="1598" t="s">
        <v>477</v>
      </c>
      <c r="B13" s="1600">
        <v>2000</v>
      </c>
      <c r="C13" s="1765">
        <f>'Expenditures 15-22'!K74</f>
        <v>78741</v>
      </c>
      <c r="D13" s="1765">
        <f>'Expenditures 15-22'!K129</f>
        <v>0</v>
      </c>
      <c r="E13" s="469" t="s">
        <v>1231</v>
      </c>
      <c r="F13" s="1765">
        <f>'Expenditures 15-22'!K184</f>
        <v>0</v>
      </c>
      <c r="G13" s="1765">
        <f>'Expenditures 15-22'!K279</f>
        <v>0</v>
      </c>
      <c r="H13" s="1765">
        <f>'Expenditures 15-22'!K303</f>
        <v>0</v>
      </c>
      <c r="I13" s="468" t="s">
        <v>1231</v>
      </c>
      <c r="J13" s="1765">
        <f>'Expenditures 15-22'!K330</f>
        <v>0</v>
      </c>
      <c r="K13" s="1769">
        <f>'Expenditures 15-22'!K352</f>
        <v>0</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381739</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0</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566233</v>
      </c>
      <c r="D17" s="1710">
        <f t="shared" si="2"/>
        <v>0</v>
      </c>
      <c r="E17" s="1710">
        <f t="shared" si="2"/>
        <v>0</v>
      </c>
      <c r="F17" s="1710">
        <f t="shared" si="2"/>
        <v>0</v>
      </c>
      <c r="G17" s="1710">
        <f t="shared" si="2"/>
        <v>0</v>
      </c>
      <c r="H17" s="1710">
        <f t="shared" si="2"/>
        <v>0</v>
      </c>
      <c r="I17" s="468"/>
      <c r="J17" s="1710">
        <f>SUM(J12:J16)</f>
        <v>0</v>
      </c>
      <c r="K17" s="1710">
        <f>SUM(K12:K16)</f>
        <v>0</v>
      </c>
      <c r="L17" s="347"/>
    </row>
    <row r="18" spans="1:12" ht="15" customHeight="1" thickTop="1" x14ac:dyDescent="0.2">
      <c r="A18" s="1766" t="s">
        <v>1753</v>
      </c>
      <c r="B18" s="1767">
        <v>4180</v>
      </c>
      <c r="C18" s="1764">
        <f t="shared" ref="C18:H18" si="3">C9</f>
        <v>0</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566233</v>
      </c>
      <c r="D19" s="1710">
        <f t="shared" si="4"/>
        <v>0</v>
      </c>
      <c r="E19" s="1710">
        <f t="shared" si="4"/>
        <v>0</v>
      </c>
      <c r="F19" s="1710">
        <f t="shared" si="4"/>
        <v>0</v>
      </c>
      <c r="G19" s="1710">
        <f t="shared" si="4"/>
        <v>0</v>
      </c>
      <c r="H19" s="1710">
        <f t="shared" si="4"/>
        <v>0</v>
      </c>
      <c r="I19" s="468"/>
      <c r="J19" s="1710">
        <f>SUM(J17:J18)</f>
        <v>0</v>
      </c>
      <c r="K19" s="1710">
        <f>SUM(K17:K18)</f>
        <v>0</v>
      </c>
      <c r="L19" s="347"/>
    </row>
    <row r="20" spans="1:12" ht="16.5" thickTop="1" thickBot="1" x14ac:dyDescent="0.25">
      <c r="A20" s="2145" t="s">
        <v>1754</v>
      </c>
      <c r="B20" s="2146"/>
      <c r="C20" s="1768">
        <f>C8-C17</f>
        <v>22807</v>
      </c>
      <c r="D20" s="1768">
        <f t="shared" ref="D20:K20" si="5">D8-D17</f>
        <v>0</v>
      </c>
      <c r="E20" s="1768">
        <f t="shared" si="5"/>
        <v>0</v>
      </c>
      <c r="F20" s="1768">
        <f t="shared" si="5"/>
        <v>0</v>
      </c>
      <c r="G20" s="1768">
        <f t="shared" si="5"/>
        <v>0</v>
      </c>
      <c r="H20" s="1768">
        <f t="shared" si="5"/>
        <v>0</v>
      </c>
      <c r="I20" s="1768">
        <f t="shared" si="5"/>
        <v>0</v>
      </c>
      <c r="J20" s="1768">
        <f t="shared" si="5"/>
        <v>0</v>
      </c>
      <c r="K20" s="1768">
        <f t="shared" si="5"/>
        <v>0</v>
      </c>
      <c r="L20" s="347"/>
    </row>
    <row r="21" spans="1:12" ht="16.7" customHeight="1" thickTop="1" x14ac:dyDescent="0.2">
      <c r="A21" s="2157" t="s">
        <v>616</v>
      </c>
      <c r="B21" s="2158"/>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9" t="s">
        <v>392</v>
      </c>
      <c r="B44" s="2160"/>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61" t="s">
        <v>111</v>
      </c>
      <c r="B46" s="2162"/>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5" t="s">
        <v>460</v>
      </c>
      <c r="B76" s="2136"/>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7" t="s">
        <v>1239</v>
      </c>
      <c r="B77" s="2138"/>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1" t="s">
        <v>618</v>
      </c>
      <c r="B78" s="2142"/>
      <c r="C78" s="1724">
        <f t="shared" ref="C78:K78" si="9">C20+C77</f>
        <v>22807</v>
      </c>
      <c r="D78" s="1724">
        <f t="shared" si="9"/>
        <v>0</v>
      </c>
      <c r="E78" s="1724">
        <f t="shared" si="9"/>
        <v>0</v>
      </c>
      <c r="F78" s="1724">
        <f t="shared" si="9"/>
        <v>0</v>
      </c>
      <c r="G78" s="1724">
        <f t="shared" si="9"/>
        <v>0</v>
      </c>
      <c r="H78" s="1724">
        <f t="shared" si="9"/>
        <v>0</v>
      </c>
      <c r="I78" s="1724">
        <f t="shared" si="9"/>
        <v>0</v>
      </c>
      <c r="J78" s="1724">
        <f t="shared" si="9"/>
        <v>0</v>
      </c>
      <c r="K78" s="1724">
        <f t="shared" si="9"/>
        <v>0</v>
      </c>
      <c r="L78" s="533"/>
    </row>
    <row r="79" spans="1:12" ht="13.5" thickTop="1" x14ac:dyDescent="0.2">
      <c r="A79" s="1516" t="s">
        <v>2073</v>
      </c>
      <c r="B79" s="534"/>
      <c r="C79" s="478">
        <v>-9937</v>
      </c>
      <c r="D79" s="535"/>
      <c r="E79" s="535"/>
      <c r="F79" s="535"/>
      <c r="G79" s="535"/>
      <c r="H79" s="535"/>
      <c r="I79" s="535"/>
      <c r="J79" s="535"/>
      <c r="K79" s="535"/>
      <c r="L79" s="347"/>
    </row>
    <row r="80" spans="1:12" x14ac:dyDescent="0.2">
      <c r="A80" s="2147" t="s">
        <v>1898</v>
      </c>
      <c r="B80" s="2148"/>
      <c r="C80" s="467"/>
      <c r="D80" s="467"/>
      <c r="E80" s="467"/>
      <c r="F80" s="467"/>
      <c r="G80" s="467"/>
      <c r="H80" s="467"/>
      <c r="I80" s="467"/>
      <c r="J80" s="467"/>
      <c r="K80" s="467"/>
      <c r="L80" s="347"/>
    </row>
    <row r="81" spans="1:12" ht="13.5" thickBot="1" x14ac:dyDescent="0.25">
      <c r="A81" s="2139" t="s">
        <v>2074</v>
      </c>
      <c r="B81" s="2140"/>
      <c r="C81" s="1710">
        <f>(SUM(C78:C80))</f>
        <v>12870</v>
      </c>
      <c r="D81" s="1710">
        <f>SUM(D78:D80)</f>
        <v>0</v>
      </c>
      <c r="E81" s="1710">
        <f t="shared" ref="E81:K81" si="10">SUM(E78:E80)</f>
        <v>0</v>
      </c>
      <c r="F81" s="1710">
        <f t="shared" si="10"/>
        <v>0</v>
      </c>
      <c r="G81" s="1710">
        <f t="shared" si="10"/>
        <v>0</v>
      </c>
      <c r="H81" s="1710">
        <f t="shared" si="10"/>
        <v>0</v>
      </c>
      <c r="I81" s="1710">
        <f t="shared" si="10"/>
        <v>0</v>
      </c>
      <c r="J81" s="1710">
        <f t="shared" si="10"/>
        <v>0</v>
      </c>
      <c r="K81" s="1710">
        <f t="shared" si="10"/>
        <v>0</v>
      </c>
      <c r="L81" s="347"/>
    </row>
    <row r="82" spans="1:12" ht="0.75" customHeight="1" thickTop="1" thickBot="1" x14ac:dyDescent="0.25">
      <c r="A82" s="536" t="s">
        <v>361</v>
      </c>
      <c r="B82" s="537"/>
      <c r="C82" s="538">
        <f>(C81-C79)</f>
        <v>22807</v>
      </c>
      <c r="D82" s="538">
        <f t="shared" ref="D82:K82" si="11">(D81-D79)</f>
        <v>0</v>
      </c>
      <c r="E82" s="538">
        <f t="shared" si="11"/>
        <v>0</v>
      </c>
      <c r="F82" s="538">
        <f t="shared" si="11"/>
        <v>0</v>
      </c>
      <c r="G82" s="538">
        <f t="shared" si="11"/>
        <v>0</v>
      </c>
      <c r="H82" s="538">
        <f t="shared" si="11"/>
        <v>0</v>
      </c>
      <c r="I82" s="538">
        <f t="shared" si="11"/>
        <v>0</v>
      </c>
      <c r="J82" s="538">
        <f t="shared" si="11"/>
        <v>0</v>
      </c>
      <c r="K82" s="538">
        <f t="shared" si="11"/>
        <v>0</v>
      </c>
    </row>
    <row r="83" spans="1:12" ht="14.25" hidden="1" thickTop="1" thickBot="1" x14ac:dyDescent="0.25">
      <c r="A83" s="539" t="s">
        <v>362</v>
      </c>
      <c r="B83" s="464"/>
      <c r="C83" s="540">
        <f>C82/C81</f>
        <v>1.772105672105672</v>
      </c>
      <c r="D83" s="540" t="e">
        <f t="shared" ref="D83:K83" si="12">D82/D81</f>
        <v>#DIV/0!</v>
      </c>
      <c r="E83" s="540" t="e">
        <f t="shared" si="12"/>
        <v>#DIV/0!</v>
      </c>
      <c r="F83" s="540" t="e">
        <f t="shared" si="12"/>
        <v>#DIV/0!</v>
      </c>
      <c r="G83" s="540" t="e">
        <f t="shared" si="12"/>
        <v>#DIV/0!</v>
      </c>
      <c r="H83" s="540" t="e">
        <f t="shared" si="12"/>
        <v>#DIV/0!</v>
      </c>
      <c r="I83" s="540" t="e">
        <f t="shared" si="12"/>
        <v>#DIV/0!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105" activePane="bottomLeft" state="frozen"/>
      <selection activeCell="A38" sqref="A38:H38"/>
      <selection pane="bottomLeft" activeCell="C111" sqref="C111"/>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1905</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c r="D5" s="481"/>
      <c r="E5" s="466"/>
      <c r="F5" s="548"/>
      <c r="G5" s="466"/>
      <c r="H5" s="466"/>
      <c r="I5" s="466"/>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c r="D7" s="466"/>
      <c r="E7" s="468"/>
      <c r="F7" s="467"/>
      <c r="G7" s="467"/>
      <c r="H7" s="467"/>
      <c r="I7" s="468"/>
      <c r="J7" s="468"/>
      <c r="K7" s="468"/>
    </row>
    <row r="8" spans="1:12" x14ac:dyDescent="0.2">
      <c r="A8" s="463" t="s">
        <v>433</v>
      </c>
      <c r="B8" s="470">
        <v>1150</v>
      </c>
      <c r="C8" s="475"/>
      <c r="D8" s="475"/>
      <c r="E8" s="477"/>
      <c r="F8" s="477"/>
      <c r="G8" s="481"/>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0</v>
      </c>
      <c r="D12" s="1729">
        <f t="shared" si="0"/>
        <v>0</v>
      </c>
      <c r="E12" s="1729">
        <f t="shared" si="0"/>
        <v>0</v>
      </c>
      <c r="F12" s="1729">
        <f t="shared" si="0"/>
        <v>0</v>
      </c>
      <c r="G12" s="1729">
        <f t="shared" si="0"/>
        <v>0</v>
      </c>
      <c r="H12" s="1729">
        <f t="shared" si="0"/>
        <v>0</v>
      </c>
      <c r="I12" s="1729">
        <f t="shared" si="0"/>
        <v>0</v>
      </c>
      <c r="J12" s="1729">
        <f t="shared" si="0"/>
        <v>0</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c r="D16" s="466"/>
      <c r="E16" s="466"/>
      <c r="F16" s="466"/>
      <c r="G16" s="466"/>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0</v>
      </c>
      <c r="D18" s="1732">
        <f t="shared" ref="D18:K18" si="1">SUM(D14:D17)</f>
        <v>0</v>
      </c>
      <c r="E18" s="1732">
        <f t="shared" si="1"/>
        <v>0</v>
      </c>
      <c r="F18" s="1732">
        <f t="shared" si="1"/>
        <v>0</v>
      </c>
      <c r="G18" s="1732">
        <f t="shared" si="1"/>
        <v>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c r="D65" s="466"/>
      <c r="E65" s="466"/>
      <c r="F65" s="467"/>
      <c r="G65" s="466"/>
      <c r="H65" s="466"/>
      <c r="I65" s="466"/>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0</v>
      </c>
      <c r="D67" s="1710">
        <f t="shared" ref="D67:K67" si="2">SUM(D65:D66)</f>
        <v>0</v>
      </c>
      <c r="E67" s="1710">
        <f t="shared" si="2"/>
        <v>0</v>
      </c>
      <c r="F67" s="1710">
        <f t="shared" si="2"/>
        <v>0</v>
      </c>
      <c r="G67" s="1710">
        <f t="shared" si="2"/>
        <v>0</v>
      </c>
      <c r="H67" s="1710">
        <f t="shared" si="2"/>
        <v>0</v>
      </c>
      <c r="I67" s="1710">
        <f t="shared" si="2"/>
        <v>0</v>
      </c>
      <c r="J67" s="1710">
        <f t="shared" si="2"/>
        <v>0</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0</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0</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0</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c r="D107" s="466"/>
      <c r="E107" s="466"/>
      <c r="F107" s="466"/>
      <c r="G107" s="466"/>
      <c r="H107" s="466"/>
      <c r="I107" s="466"/>
      <c r="J107" s="467"/>
      <c r="K107" s="466"/>
    </row>
    <row r="108" spans="1:12" ht="12.75" customHeight="1" thickBot="1" x14ac:dyDescent="0.25">
      <c r="A108" s="1730" t="s">
        <v>508</v>
      </c>
      <c r="B108" s="1734"/>
      <c r="C108" s="1729">
        <f>SUM(C95:C107)</f>
        <v>0</v>
      </c>
      <c r="D108" s="1729">
        <f t="shared" ref="D108:K108" si="3">SUM(D95:D107)</f>
        <v>0</v>
      </c>
      <c r="E108" s="1729">
        <f t="shared" si="3"/>
        <v>0</v>
      </c>
      <c r="F108" s="1729">
        <f t="shared" si="3"/>
        <v>0</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0</v>
      </c>
      <c r="D109" s="1737">
        <f t="shared" si="4"/>
        <v>0</v>
      </c>
      <c r="E109" s="1737">
        <f t="shared" si="4"/>
        <v>0</v>
      </c>
      <c r="F109" s="1737">
        <f t="shared" si="4"/>
        <v>0</v>
      </c>
      <c r="G109" s="1737">
        <f t="shared" si="4"/>
        <v>0</v>
      </c>
      <c r="H109" s="1737">
        <f t="shared" si="4"/>
        <v>0</v>
      </c>
      <c r="I109" s="1737">
        <f t="shared" si="4"/>
        <v>0</v>
      </c>
      <c r="J109" s="1737">
        <f t="shared" si="4"/>
        <v>0</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v>372598</v>
      </c>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372598</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0</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c r="D125" s="561"/>
      <c r="E125" s="468"/>
      <c r="F125" s="466"/>
      <c r="G125" s="468"/>
      <c r="H125" s="468"/>
      <c r="I125" s="468"/>
      <c r="J125" s="468"/>
      <c r="K125" s="468"/>
    </row>
    <row r="126" spans="1:11" ht="12.75" customHeight="1" x14ac:dyDescent="0.2">
      <c r="A126" s="463" t="s">
        <v>922</v>
      </c>
      <c r="B126" s="562">
        <v>3110</v>
      </c>
      <c r="C126" s="551"/>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0</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170702</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170702</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c r="G151" s="467"/>
      <c r="H151" s="468"/>
      <c r="I151" s="468"/>
      <c r="J151" s="468"/>
      <c r="K151" s="468"/>
    </row>
    <row r="152" spans="1:11" ht="12.75" customHeight="1" x14ac:dyDescent="0.2">
      <c r="A152" s="463" t="s">
        <v>1117</v>
      </c>
      <c r="B152" s="562">
        <v>3510</v>
      </c>
      <c r="C152" s="551"/>
      <c r="D152" s="466"/>
      <c r="E152" s="561"/>
      <c r="F152" s="466"/>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170702</v>
      </c>
      <c r="D172" s="1744">
        <f t="shared" si="6"/>
        <v>0</v>
      </c>
      <c r="E172" s="1744">
        <f t="shared" si="6"/>
        <v>0</v>
      </c>
      <c r="F172" s="1744">
        <f t="shared" si="6"/>
        <v>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170702</v>
      </c>
      <c r="D173" s="1737">
        <f>SUM(D121,D172)</f>
        <v>0</v>
      </c>
      <c r="E173" s="1737">
        <f>SUM(E121,E172)</f>
        <v>0</v>
      </c>
      <c r="F173" s="1737">
        <f t="shared" ref="F173:K173" si="7">SUM(F121,F172)</f>
        <v>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1906</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0</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0</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v>45740</v>
      </c>
      <c r="D227" s="466"/>
      <c r="E227" s="468"/>
      <c r="F227" s="468"/>
      <c r="G227" s="466"/>
      <c r="H227" s="468"/>
      <c r="I227" s="468"/>
      <c r="J227" s="468"/>
      <c r="K227" s="468"/>
    </row>
    <row r="228" spans="1:11" ht="12.75" customHeight="1" thickBot="1" x14ac:dyDescent="0.25">
      <c r="A228" s="1745" t="s">
        <v>1145</v>
      </c>
      <c r="B228" s="1746"/>
      <c r="C228" s="1729">
        <f>SUM(C226:C227)</f>
        <v>45740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45740</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45740</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589040</v>
      </c>
      <c r="D275" s="1737">
        <f t="shared" si="12"/>
        <v>0</v>
      </c>
      <c r="E275" s="1737">
        <f t="shared" si="12"/>
        <v>0</v>
      </c>
      <c r="F275" s="1737">
        <f t="shared" si="12"/>
        <v>0</v>
      </c>
      <c r="G275" s="1737">
        <f t="shared" si="12"/>
        <v>0</v>
      </c>
      <c r="H275" s="1737">
        <f t="shared" si="12"/>
        <v>0</v>
      </c>
      <c r="I275" s="1737">
        <f t="shared" si="12"/>
        <v>0</v>
      </c>
      <c r="J275" s="1737">
        <f t="shared" si="12"/>
        <v>0</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 right="0"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93" activePane="bottomLeft" state="frozen"/>
      <selection activeCell="A38" sqref="A38:H38"/>
      <selection pane="bottomLeft" activeCell="A38" sqref="A38:H38"/>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c r="D5" s="466"/>
      <c r="E5" s="466">
        <v>12153</v>
      </c>
      <c r="F5" s="466">
        <v>48720</v>
      </c>
      <c r="G5" s="466">
        <v>44880</v>
      </c>
      <c r="H5" s="466"/>
      <c r="I5" s="467"/>
      <c r="J5" s="467"/>
      <c r="K5" s="1693">
        <f>SUM(C5:J5)</f>
        <v>105753</v>
      </c>
      <c r="L5" s="466">
        <v>239667</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c r="D8" s="466"/>
      <c r="E8" s="466"/>
      <c r="F8" s="466"/>
      <c r="G8" s="466"/>
      <c r="H8" s="466"/>
      <c r="I8" s="467"/>
      <c r="J8" s="467"/>
      <c r="K8" s="1693">
        <f t="shared" si="0"/>
        <v>0</v>
      </c>
      <c r="L8" s="466"/>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c r="D10" s="466"/>
      <c r="E10" s="466"/>
      <c r="F10" s="466"/>
      <c r="G10" s="466"/>
      <c r="H10" s="466"/>
      <c r="I10" s="467"/>
      <c r="J10" s="467"/>
      <c r="K10" s="1693">
        <f t="shared" si="0"/>
        <v>0</v>
      </c>
      <c r="L10" s="466"/>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c r="D14" s="466"/>
      <c r="E14" s="466"/>
      <c r="F14" s="466"/>
      <c r="G14" s="466"/>
      <c r="H14" s="466"/>
      <c r="I14" s="467"/>
      <c r="J14" s="467"/>
      <c r="K14" s="1693">
        <f t="shared" si="0"/>
        <v>0</v>
      </c>
      <c r="L14" s="466"/>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0</v>
      </c>
      <c r="D33" s="1692">
        <f t="shared" ref="D33:L33" si="1">SUM(D5:D32)</f>
        <v>0</v>
      </c>
      <c r="E33" s="1692">
        <f t="shared" si="1"/>
        <v>12153</v>
      </c>
      <c r="F33" s="1692">
        <f t="shared" si="1"/>
        <v>48720</v>
      </c>
      <c r="G33" s="1692">
        <f t="shared" si="1"/>
        <v>44880</v>
      </c>
      <c r="H33" s="1692">
        <f t="shared" si="1"/>
        <v>0</v>
      </c>
      <c r="I33" s="1692">
        <f t="shared" si="1"/>
        <v>0</v>
      </c>
      <c r="J33" s="1692">
        <f t="shared" si="1"/>
        <v>0</v>
      </c>
      <c r="K33" s="1692">
        <f t="shared" si="1"/>
        <v>105753</v>
      </c>
      <c r="L33" s="1692">
        <f t="shared" si="1"/>
        <v>239667</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c r="F36" s="481"/>
      <c r="G36" s="481"/>
      <c r="H36" s="481"/>
      <c r="I36" s="467"/>
      <c r="J36" s="467"/>
      <c r="K36" s="1693">
        <f t="shared" ref="K36:K41" si="2">SUM(C36:J36)</f>
        <v>0</v>
      </c>
      <c r="L36" s="466"/>
    </row>
    <row r="37" spans="1:14" x14ac:dyDescent="0.2">
      <c r="A37" s="1526" t="s">
        <v>1151</v>
      </c>
      <c r="B37" s="615">
        <v>2120</v>
      </c>
      <c r="C37" s="466"/>
      <c r="D37" s="466"/>
      <c r="E37" s="466"/>
      <c r="F37" s="466"/>
      <c r="G37" s="466"/>
      <c r="H37" s="466"/>
      <c r="I37" s="467"/>
      <c r="J37" s="467"/>
      <c r="K37" s="1693">
        <f t="shared" si="2"/>
        <v>0</v>
      </c>
      <c r="L37" s="466">
        <v>21264</v>
      </c>
    </row>
    <row r="38" spans="1:14" x14ac:dyDescent="0.2">
      <c r="A38" s="1526" t="s">
        <v>207</v>
      </c>
      <c r="B38" s="615">
        <v>2130</v>
      </c>
      <c r="C38" s="466"/>
      <c r="D38" s="466"/>
      <c r="E38" s="466"/>
      <c r="F38" s="466"/>
      <c r="G38" s="466"/>
      <c r="H38" s="466"/>
      <c r="I38" s="467"/>
      <c r="J38" s="467"/>
      <c r="K38" s="1693">
        <f t="shared" si="2"/>
        <v>0</v>
      </c>
      <c r="L38" s="466"/>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c r="F40" s="466"/>
      <c r="G40" s="466"/>
      <c r="H40" s="466"/>
      <c r="I40" s="467"/>
      <c r="J40" s="467"/>
      <c r="K40" s="1693">
        <f t="shared" si="2"/>
        <v>0</v>
      </c>
      <c r="L40" s="466"/>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0</v>
      </c>
      <c r="D42" s="1692">
        <f t="shared" ref="D42:L42" si="3">SUM(D36:D41)</f>
        <v>0</v>
      </c>
      <c r="E42" s="1692">
        <f t="shared" si="3"/>
        <v>0</v>
      </c>
      <c r="F42" s="1692">
        <f t="shared" si="3"/>
        <v>0</v>
      </c>
      <c r="G42" s="1692">
        <f t="shared" si="3"/>
        <v>0</v>
      </c>
      <c r="H42" s="1692">
        <f t="shared" si="3"/>
        <v>0</v>
      </c>
      <c r="I42" s="1692">
        <f t="shared" si="3"/>
        <v>0</v>
      </c>
      <c r="J42" s="1692">
        <f t="shared" si="3"/>
        <v>0</v>
      </c>
      <c r="K42" s="1692">
        <f t="shared" si="3"/>
        <v>0</v>
      </c>
      <c r="L42" s="1692">
        <f t="shared" si="3"/>
        <v>21264</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v>11017</v>
      </c>
      <c r="F44" s="481"/>
      <c r="G44" s="481"/>
      <c r="H44" s="481"/>
      <c r="I44" s="467"/>
      <c r="J44" s="467"/>
      <c r="K44" s="1694">
        <f>SUM(C44:J44)</f>
        <v>11017</v>
      </c>
      <c r="L44" s="481">
        <v>7400</v>
      </c>
    </row>
    <row r="45" spans="1:14" x14ac:dyDescent="0.2">
      <c r="A45" s="1526" t="s">
        <v>869</v>
      </c>
      <c r="B45" s="615">
        <v>2220</v>
      </c>
      <c r="C45" s="466"/>
      <c r="D45" s="466"/>
      <c r="E45" s="466"/>
      <c r="F45" s="466"/>
      <c r="G45" s="466"/>
      <c r="H45" s="466"/>
      <c r="I45" s="467"/>
      <c r="J45" s="467"/>
      <c r="K45" s="1694">
        <f>SUM(C45:J45)</f>
        <v>0</v>
      </c>
      <c r="L45" s="466"/>
    </row>
    <row r="46" spans="1:14" x14ac:dyDescent="0.2">
      <c r="A46" s="1526" t="s">
        <v>870</v>
      </c>
      <c r="B46" s="615">
        <v>2230</v>
      </c>
      <c r="C46" s="466"/>
      <c r="D46" s="466"/>
      <c r="E46" s="466"/>
      <c r="F46" s="466"/>
      <c r="G46" s="466"/>
      <c r="H46" s="466"/>
      <c r="I46" s="467"/>
      <c r="J46" s="467"/>
      <c r="K46" s="1694">
        <f>SUM(C46:J46)</f>
        <v>0</v>
      </c>
      <c r="L46" s="466">
        <v>9000</v>
      </c>
    </row>
    <row r="47" spans="1:14" ht="12.75" customHeight="1" thickBot="1" x14ac:dyDescent="0.25">
      <c r="A47" s="1690" t="s">
        <v>582</v>
      </c>
      <c r="B47" s="1691" t="s">
        <v>32</v>
      </c>
      <c r="C47" s="1692">
        <f>SUM(C44:C46)</f>
        <v>0</v>
      </c>
      <c r="D47" s="1692">
        <f t="shared" ref="D47:K47" si="4">SUM(D44:D46)</f>
        <v>0</v>
      </c>
      <c r="E47" s="1692">
        <f t="shared" si="4"/>
        <v>11017</v>
      </c>
      <c r="F47" s="1692">
        <f t="shared" si="4"/>
        <v>0</v>
      </c>
      <c r="G47" s="1692">
        <f t="shared" si="4"/>
        <v>0</v>
      </c>
      <c r="H47" s="1692">
        <f t="shared" si="4"/>
        <v>0</v>
      </c>
      <c r="I47" s="1692">
        <f t="shared" si="4"/>
        <v>0</v>
      </c>
      <c r="J47" s="1692">
        <f t="shared" si="4"/>
        <v>0</v>
      </c>
      <c r="K47" s="1692">
        <f t="shared" si="4"/>
        <v>11017</v>
      </c>
      <c r="L47" s="1692">
        <f>SUM(L44:L46)</f>
        <v>16400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36068</v>
      </c>
      <c r="D49" s="481">
        <v>7675</v>
      </c>
      <c r="E49" s="481">
        <v>14691</v>
      </c>
      <c r="F49" s="481"/>
      <c r="G49" s="481"/>
      <c r="H49" s="481"/>
      <c r="I49" s="467"/>
      <c r="J49" s="467"/>
      <c r="K49" s="1694">
        <f>SUM(C49:J49)</f>
        <v>58434</v>
      </c>
      <c r="L49" s="481">
        <v>53969</v>
      </c>
    </row>
    <row r="50" spans="1:14" x14ac:dyDescent="0.2">
      <c r="A50" s="1526" t="s">
        <v>872</v>
      </c>
      <c r="B50" s="615">
        <v>2320</v>
      </c>
      <c r="C50" s="466"/>
      <c r="D50" s="466"/>
      <c r="E50" s="466"/>
      <c r="F50" s="466"/>
      <c r="G50" s="466"/>
      <c r="H50" s="466"/>
      <c r="I50" s="467"/>
      <c r="J50" s="467"/>
      <c r="K50" s="1694">
        <f>SUM(C50:J50)</f>
        <v>0</v>
      </c>
      <c r="L50" s="466"/>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36068</v>
      </c>
      <c r="D53" s="1692">
        <f t="shared" ref="D53:L53" si="5">SUM(D49:D52)</f>
        <v>7675</v>
      </c>
      <c r="E53" s="1692">
        <f t="shared" si="5"/>
        <v>14691</v>
      </c>
      <c r="F53" s="1692">
        <f t="shared" si="5"/>
        <v>0</v>
      </c>
      <c r="G53" s="1692">
        <f t="shared" si="5"/>
        <v>0</v>
      </c>
      <c r="H53" s="1692">
        <f t="shared" si="5"/>
        <v>0</v>
      </c>
      <c r="I53" s="1692">
        <f t="shared" si="5"/>
        <v>0</v>
      </c>
      <c r="J53" s="1692">
        <f t="shared" si="5"/>
        <v>0</v>
      </c>
      <c r="K53" s="1692">
        <f t="shared" si="5"/>
        <v>58434</v>
      </c>
      <c r="L53" s="1692">
        <f t="shared" si="5"/>
        <v>53969</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c r="D55" s="481"/>
      <c r="E55" s="481"/>
      <c r="F55" s="481"/>
      <c r="G55" s="481"/>
      <c r="H55" s="481"/>
      <c r="I55" s="467"/>
      <c r="J55" s="467"/>
      <c r="K55" s="1694">
        <f>SUM(C55:J55)</f>
        <v>0</v>
      </c>
      <c r="L55" s="481"/>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0</v>
      </c>
      <c r="D57" s="1696">
        <f t="shared" ref="D57:K57" si="6">SUM(D55:D56)</f>
        <v>0</v>
      </c>
      <c r="E57" s="1696">
        <f t="shared" si="6"/>
        <v>0</v>
      </c>
      <c r="F57" s="1696">
        <f t="shared" si="6"/>
        <v>0</v>
      </c>
      <c r="G57" s="1696">
        <f t="shared" si="6"/>
        <v>0</v>
      </c>
      <c r="H57" s="1696">
        <f t="shared" si="6"/>
        <v>0</v>
      </c>
      <c r="I57" s="1696">
        <f t="shared" si="6"/>
        <v>0</v>
      </c>
      <c r="J57" s="1696">
        <f t="shared" si="6"/>
        <v>0</v>
      </c>
      <c r="K57" s="1696">
        <f t="shared" si="6"/>
        <v>0</v>
      </c>
      <c r="L57" s="1692">
        <f>SUM(L55:L56)</f>
        <v>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c r="D60" s="466"/>
      <c r="E60" s="466">
        <v>9290</v>
      </c>
      <c r="F60" s="466"/>
      <c r="G60" s="466"/>
      <c r="H60" s="466"/>
      <c r="I60" s="467"/>
      <c r="J60" s="467"/>
      <c r="K60" s="1694">
        <f t="shared" si="7"/>
        <v>9290</v>
      </c>
      <c r="L60" s="466">
        <v>6700</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c r="D63" s="466"/>
      <c r="E63" s="466"/>
      <c r="F63" s="466"/>
      <c r="G63" s="466"/>
      <c r="H63" s="466"/>
      <c r="I63" s="467"/>
      <c r="J63" s="467"/>
      <c r="K63" s="1694">
        <f t="shared" si="7"/>
        <v>0</v>
      </c>
      <c r="L63" s="466"/>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0</v>
      </c>
      <c r="D65" s="1692">
        <f t="shared" ref="D65:L65" si="8">SUM(D59:D64)</f>
        <v>0</v>
      </c>
      <c r="E65" s="1692">
        <f t="shared" si="8"/>
        <v>9290</v>
      </c>
      <c r="F65" s="1692">
        <f t="shared" si="8"/>
        <v>0</v>
      </c>
      <c r="G65" s="1692">
        <f t="shared" si="8"/>
        <v>0</v>
      </c>
      <c r="H65" s="1692">
        <f t="shared" si="8"/>
        <v>0</v>
      </c>
      <c r="I65" s="1692">
        <f t="shared" si="8"/>
        <v>0</v>
      </c>
      <c r="J65" s="1692">
        <f t="shared" si="8"/>
        <v>0</v>
      </c>
      <c r="K65" s="1692">
        <f t="shared" si="8"/>
        <v>9290</v>
      </c>
      <c r="L65" s="1692">
        <f t="shared" si="8"/>
        <v>6700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36068</v>
      </c>
      <c r="D74" s="1699">
        <f t="shared" ref="D74:K74" si="10">SUM(D42,D47,D53,D57,D65,D72,D73)</f>
        <v>7675</v>
      </c>
      <c r="E74" s="1699">
        <f t="shared" si="10"/>
        <v>34998</v>
      </c>
      <c r="F74" s="1699">
        <f t="shared" si="10"/>
        <v>0</v>
      </c>
      <c r="G74" s="1699">
        <f t="shared" si="10"/>
        <v>0</v>
      </c>
      <c r="H74" s="1699">
        <f t="shared" si="10"/>
        <v>0</v>
      </c>
      <c r="I74" s="1699">
        <f t="shared" si="10"/>
        <v>0</v>
      </c>
      <c r="J74" s="1699">
        <f t="shared" si="10"/>
        <v>0</v>
      </c>
      <c r="K74" s="1699">
        <f t="shared" si="10"/>
        <v>78741</v>
      </c>
      <c r="L74" s="1699">
        <f>SUM(L42,L47,L53,L57,L65,L72,L73)</f>
        <v>98333</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v>381739</v>
      </c>
      <c r="I96" s="477"/>
      <c r="J96" s="477"/>
      <c r="K96" s="1699">
        <f t="shared" si="12"/>
        <v>381739</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381739</v>
      </c>
      <c r="I100" s="477"/>
      <c r="J100" s="477"/>
      <c r="K100" s="1699">
        <f>SUM(K93:K99)</f>
        <v>381739</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381739</v>
      </c>
      <c r="I102" s="477"/>
      <c r="J102" s="477"/>
      <c r="K102" s="1699">
        <f>SUM(K84,K92,K100,K101)</f>
        <v>381739</v>
      </c>
      <c r="L102" s="1699">
        <f>SUM(L84,L92,L100,L101)</f>
        <v>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36068</v>
      </c>
      <c r="D114" s="1692">
        <f t="shared" ref="D114:K114" si="13">SUM(D33,D74,D75,D102,D112,D113)</f>
        <v>7675</v>
      </c>
      <c r="E114" s="1692">
        <f t="shared" si="13"/>
        <v>47151</v>
      </c>
      <c r="F114" s="1692">
        <f t="shared" si="13"/>
        <v>48720</v>
      </c>
      <c r="G114" s="1692">
        <f t="shared" si="13"/>
        <v>44880</v>
      </c>
      <c r="H114" s="1692">
        <f>SUM(H33,H74,H75,H102,H112,H113)</f>
        <v>381739</v>
      </c>
      <c r="I114" s="1692">
        <f t="shared" si="13"/>
        <v>0</v>
      </c>
      <c r="J114" s="1692">
        <f t="shared" si="13"/>
        <v>0</v>
      </c>
      <c r="K114" s="1692">
        <f t="shared" si="13"/>
        <v>566233</v>
      </c>
      <c r="L114" s="1692">
        <f>SUM(L33,L74,L75,L102,L112,L113)</f>
        <v>338000</v>
      </c>
    </row>
    <row r="115" spans="1:14" ht="13.5" thickTop="1" x14ac:dyDescent="0.2">
      <c r="A115" s="2200" t="s">
        <v>1053</v>
      </c>
      <c r="B115" s="2201"/>
      <c r="C115" s="619"/>
      <c r="D115" s="619"/>
      <c r="E115" s="619"/>
      <c r="F115" s="619"/>
      <c r="G115" s="619"/>
      <c r="H115" s="619"/>
      <c r="I115" s="619"/>
      <c r="J115" s="619"/>
      <c r="K115" s="1706">
        <f>'Revenues 9-14'!C275-'Expenditures 15-22'!K114</f>
        <v>22807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c r="D124" s="466"/>
      <c r="E124" s="466"/>
      <c r="F124" s="466"/>
      <c r="G124" s="466"/>
      <c r="H124" s="466"/>
      <c r="I124" s="467"/>
      <c r="J124" s="467"/>
      <c r="K124" s="1692">
        <f>SUM(C124:J124)</f>
        <v>0</v>
      </c>
      <c r="L124" s="466"/>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0</v>
      </c>
      <c r="D127" s="1692">
        <f t="shared" ref="D127:L127" si="14">SUM(D122:D126)</f>
        <v>0</v>
      </c>
      <c r="E127" s="1692">
        <f t="shared" si="14"/>
        <v>0</v>
      </c>
      <c r="F127" s="1692">
        <f t="shared" si="14"/>
        <v>0</v>
      </c>
      <c r="G127" s="1692">
        <f t="shared" si="14"/>
        <v>0</v>
      </c>
      <c r="H127" s="1692">
        <f t="shared" si="14"/>
        <v>0</v>
      </c>
      <c r="I127" s="1692">
        <f t="shared" si="14"/>
        <v>0</v>
      </c>
      <c r="J127" s="1692">
        <f t="shared" si="14"/>
        <v>0</v>
      </c>
      <c r="K127" s="1692">
        <f t="shared" si="14"/>
        <v>0</v>
      </c>
      <c r="L127" s="1692">
        <f t="shared" si="14"/>
        <v>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0</v>
      </c>
      <c r="D129" s="1699">
        <f t="shared" ref="D129:L129" si="15">SUM(D120,D127,D128)</f>
        <v>0</v>
      </c>
      <c r="E129" s="1699">
        <f t="shared" si="15"/>
        <v>0</v>
      </c>
      <c r="F129" s="1699">
        <f t="shared" si="15"/>
        <v>0</v>
      </c>
      <c r="G129" s="1699">
        <f t="shared" si="15"/>
        <v>0</v>
      </c>
      <c r="H129" s="1699">
        <f t="shared" si="15"/>
        <v>0</v>
      </c>
      <c r="I129" s="1699">
        <f t="shared" si="15"/>
        <v>0</v>
      </c>
      <c r="J129" s="1699">
        <f t="shared" si="15"/>
        <v>0</v>
      </c>
      <c r="K129" s="1699">
        <f t="shared" si="15"/>
        <v>0</v>
      </c>
      <c r="L129" s="1699">
        <f t="shared" si="15"/>
        <v>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0" t="s">
        <v>641</v>
      </c>
      <c r="B151" s="2172"/>
      <c r="C151" s="1692">
        <f>SUM(C129,C130,C139,C149,C150)</f>
        <v>0</v>
      </c>
      <c r="D151" s="1692">
        <f t="shared" ref="D151:K151" si="16">SUM(D129,D130,D139,D149,D150)</f>
        <v>0</v>
      </c>
      <c r="E151" s="1692">
        <f t="shared" si="16"/>
        <v>0</v>
      </c>
      <c r="F151" s="1692">
        <f t="shared" si="16"/>
        <v>0</v>
      </c>
      <c r="G151" s="1692">
        <f t="shared" si="16"/>
        <v>0</v>
      </c>
      <c r="H151" s="1692">
        <f t="shared" si="16"/>
        <v>0</v>
      </c>
      <c r="I151" s="1692">
        <f t="shared" si="16"/>
        <v>0</v>
      </c>
      <c r="J151" s="1692">
        <f t="shared" si="16"/>
        <v>0</v>
      </c>
      <c r="K151" s="1692">
        <f t="shared" si="16"/>
        <v>0</v>
      </c>
      <c r="L151" s="1692">
        <f>SUM(L129,L130,L139,L149,L150)</f>
        <v>0</v>
      </c>
    </row>
    <row r="152" spans="1:14" ht="12.75" customHeight="1" thickTop="1" x14ac:dyDescent="0.2">
      <c r="A152" s="2193" t="s">
        <v>1240</v>
      </c>
      <c r="B152" s="2194"/>
      <c r="C152" s="619"/>
      <c r="D152" s="619"/>
      <c r="E152" s="619"/>
      <c r="F152" s="619"/>
      <c r="G152" s="619"/>
      <c r="H152" s="619"/>
      <c r="I152" s="619"/>
      <c r="J152" s="617"/>
      <c r="K152" s="1706">
        <f>'Revenues 9-14'!D275-'Expenditures 15-22'!K151</f>
        <v>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c r="I169" s="617"/>
      <c r="J169" s="617"/>
      <c r="K169" s="1693">
        <f>SUM(C169:H169)</f>
        <v>0</v>
      </c>
      <c r="L169" s="657"/>
    </row>
    <row r="170" spans="1:14" ht="33.75" customHeight="1" x14ac:dyDescent="0.2">
      <c r="A170" s="670" t="s">
        <v>1769</v>
      </c>
      <c r="B170" s="672" t="s">
        <v>31</v>
      </c>
      <c r="C170" s="617"/>
      <c r="D170" s="617"/>
      <c r="E170" s="617"/>
      <c r="F170" s="617"/>
      <c r="G170" s="617"/>
      <c r="H170" s="569"/>
      <c r="I170" s="617"/>
      <c r="J170" s="617"/>
      <c r="K170" s="1693">
        <f>SUM(C170:J170)</f>
        <v>0</v>
      </c>
      <c r="L170" s="569"/>
    </row>
    <row r="171" spans="1:14" ht="15.75" customHeight="1" x14ac:dyDescent="0.2">
      <c r="A171" s="622" t="s">
        <v>790</v>
      </c>
      <c r="B171" s="673" t="s">
        <v>86</v>
      </c>
      <c r="C171" s="617"/>
      <c r="D171" s="617"/>
      <c r="E171" s="466"/>
      <c r="F171" s="617"/>
      <c r="G171" s="617"/>
      <c r="H171" s="569"/>
      <c r="I171" s="477"/>
      <c r="J171" s="617"/>
      <c r="K171" s="1693">
        <f>SUM(C171:J171)</f>
        <v>0</v>
      </c>
      <c r="L171" s="569"/>
    </row>
    <row r="172" spans="1:14" ht="12.75" customHeight="1" thickBot="1" x14ac:dyDescent="0.25">
      <c r="A172" s="1690" t="s">
        <v>659</v>
      </c>
      <c r="B172" s="1691" t="s">
        <v>513</v>
      </c>
      <c r="C172" s="617"/>
      <c r="D172" s="617"/>
      <c r="E172" s="1699">
        <f>SUM(E168,E169,E170,E171)</f>
        <v>0</v>
      </c>
      <c r="F172" s="617"/>
      <c r="G172" s="617"/>
      <c r="H172" s="1699">
        <f>SUM(H168,H169,H170,H171)</f>
        <v>0</v>
      </c>
      <c r="I172" s="639"/>
      <c r="J172" s="617"/>
      <c r="K172" s="1699">
        <f>SUM(K168,K169,K170,K171)</f>
        <v>0</v>
      </c>
      <c r="L172" s="1699">
        <f>SUM(L168,L169,L170,L171)</f>
        <v>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0</v>
      </c>
      <c r="I174" s="639"/>
      <c r="J174" s="617"/>
      <c r="K174" s="1699">
        <f>SUM(K160,K172,K173)</f>
        <v>0</v>
      </c>
      <c r="L174" s="1699">
        <f>SUM(L160,L172,L173)</f>
        <v>0</v>
      </c>
    </row>
    <row r="175" spans="1:14" ht="13.5" thickTop="1" x14ac:dyDescent="0.2">
      <c r="A175" s="2200" t="s">
        <v>1053</v>
      </c>
      <c r="B175" s="2201"/>
      <c r="C175" s="617"/>
      <c r="D175" s="617"/>
      <c r="E175" s="617"/>
      <c r="F175" s="617"/>
      <c r="G175" s="617"/>
      <c r="H175" s="619"/>
      <c r="I175" s="617"/>
      <c r="J175" s="617"/>
      <c r="K175" s="1706">
        <f>'Revenues 9-14'!E275-'Expenditures 15-22'!K174</f>
        <v>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c r="D182" s="466"/>
      <c r="E182" s="466"/>
      <c r="F182" s="466"/>
      <c r="G182" s="466"/>
      <c r="H182" s="466"/>
      <c r="I182" s="467"/>
      <c r="J182" s="467"/>
      <c r="K182" s="1693">
        <f>SUM(C182:J182)</f>
        <v>0</v>
      </c>
      <c r="L182" s="466"/>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0</v>
      </c>
      <c r="D184" s="1699">
        <f t="shared" ref="D184:J184" si="17">SUM(D180,D182,D183)</f>
        <v>0</v>
      </c>
      <c r="E184" s="1699">
        <f t="shared" si="17"/>
        <v>0</v>
      </c>
      <c r="F184" s="1699">
        <f t="shared" si="17"/>
        <v>0</v>
      </c>
      <c r="G184" s="1699">
        <f t="shared" si="17"/>
        <v>0</v>
      </c>
      <c r="H184" s="1699">
        <f t="shared" si="17"/>
        <v>0</v>
      </c>
      <c r="I184" s="1699">
        <f t="shared" si="17"/>
        <v>0</v>
      </c>
      <c r="J184" s="1699">
        <f t="shared" si="17"/>
        <v>0</v>
      </c>
      <c r="K184" s="1699">
        <f>SUM(K180,K182,K183)</f>
        <v>0</v>
      </c>
      <c r="L184" s="1699">
        <f>SUM(L180, L182:L183)</f>
        <v>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0</v>
      </c>
      <c r="D210" s="1692">
        <f>SUM(D184,D185)</f>
        <v>0</v>
      </c>
      <c r="E210" s="1692">
        <f>SUM(E184,E185,E196)</f>
        <v>0</v>
      </c>
      <c r="F210" s="1692">
        <f>SUM(F184,F185)</f>
        <v>0</v>
      </c>
      <c r="G210" s="1692">
        <f>SUM(G184,G185)</f>
        <v>0</v>
      </c>
      <c r="H210" s="1692">
        <f>SUM(H184,H185,H196,H208,H209)</f>
        <v>0</v>
      </c>
      <c r="I210" s="1692">
        <f>SUM(I184,I185)</f>
        <v>0</v>
      </c>
      <c r="J210" s="1692">
        <f>SUM(J184,J185)</f>
        <v>0</v>
      </c>
      <c r="K210" s="1693">
        <f>SUM(K184,K185,K196,K208,K209)</f>
        <v>0</v>
      </c>
      <c r="L210" s="1692">
        <f>SUM(L184,L185,L196,L208,L209)</f>
        <v>0</v>
      </c>
    </row>
    <row r="211" spans="1:14" ht="13.5" thickTop="1" x14ac:dyDescent="0.2">
      <c r="A211" s="2200" t="s">
        <v>1053</v>
      </c>
      <c r="B211" s="2201"/>
      <c r="C211" s="619"/>
      <c r="D211" s="619"/>
      <c r="E211" s="619"/>
      <c r="F211" s="619"/>
      <c r="G211" s="619"/>
      <c r="H211" s="619"/>
      <c r="I211" s="617"/>
      <c r="J211" s="617"/>
      <c r="K211" s="1706">
        <f>'Revenues 9-14'!F275-'Expenditures 15-22'!K210</f>
        <v>0</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c r="E215" s="617"/>
      <c r="F215" s="617"/>
      <c r="G215" s="617"/>
      <c r="H215" s="617"/>
      <c r="I215" s="617"/>
      <c r="J215" s="617"/>
      <c r="K215" s="1693">
        <f>D215</f>
        <v>0</v>
      </c>
      <c r="L215" s="466"/>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c r="E217" s="617"/>
      <c r="F217" s="617"/>
      <c r="G217" s="617"/>
      <c r="H217" s="617"/>
      <c r="I217" s="617"/>
      <c r="J217" s="617"/>
      <c r="K217" s="1693">
        <f t="shared" si="19"/>
        <v>0</v>
      </c>
      <c r="L217" s="466"/>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c r="E223" s="617"/>
      <c r="F223" s="617"/>
      <c r="G223" s="617"/>
      <c r="H223" s="617"/>
      <c r="I223" s="617"/>
      <c r="J223" s="617"/>
      <c r="K223" s="1693">
        <f t="shared" si="19"/>
        <v>0</v>
      </c>
      <c r="L223" s="466"/>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0</v>
      </c>
      <c r="E229" s="617"/>
      <c r="F229" s="617"/>
      <c r="G229" s="617"/>
      <c r="H229" s="617"/>
      <c r="I229" s="617"/>
      <c r="J229" s="617"/>
      <c r="K229" s="1692">
        <f>SUM(K215:K228)</f>
        <v>0</v>
      </c>
      <c r="L229" s="1692">
        <f>SUM(L215:L228)</f>
        <v>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c r="E234" s="617"/>
      <c r="F234" s="617"/>
      <c r="G234" s="617"/>
      <c r="H234" s="617"/>
      <c r="I234" s="617"/>
      <c r="J234" s="617"/>
      <c r="K234" s="1693">
        <f t="shared" si="20"/>
        <v>0</v>
      </c>
      <c r="L234" s="466"/>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0</v>
      </c>
      <c r="E238" s="617"/>
      <c r="F238" s="617"/>
      <c r="G238" s="617"/>
      <c r="H238" s="617"/>
      <c r="I238" s="617"/>
      <c r="J238" s="617"/>
      <c r="K238" s="1692">
        <f>SUM(K232:K237)</f>
        <v>0</v>
      </c>
      <c r="L238" s="1692">
        <f>SUM(L232:L237)</f>
        <v>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row>
    <row r="241" spans="1:12" x14ac:dyDescent="0.2">
      <c r="A241" s="1526" t="s">
        <v>869</v>
      </c>
      <c r="B241" s="615">
        <v>2220</v>
      </c>
      <c r="C241" s="617"/>
      <c r="D241" s="466"/>
      <c r="E241" s="617"/>
      <c r="F241" s="617"/>
      <c r="G241" s="617"/>
      <c r="H241" s="617"/>
      <c r="I241" s="617"/>
      <c r="J241" s="617"/>
      <c r="K241" s="1694">
        <f>D241</f>
        <v>0</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c r="E246" s="617"/>
      <c r="F246" s="617"/>
      <c r="G246" s="617"/>
      <c r="H246" s="617"/>
      <c r="I246" s="617"/>
      <c r="J246" s="617"/>
      <c r="K246" s="1694">
        <f t="shared" ref="K246:K256" si="21">D246</f>
        <v>0</v>
      </c>
      <c r="L246" s="466"/>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0</v>
      </c>
      <c r="E257" s="617"/>
      <c r="F257" s="617"/>
      <c r="G257" s="617"/>
      <c r="H257" s="617"/>
      <c r="I257" s="617"/>
      <c r="J257" s="617"/>
      <c r="K257" s="1692">
        <f>SUM(K245:K256)</f>
        <v>0</v>
      </c>
      <c r="L257" s="1692">
        <f>SUM(L245:L256)</f>
        <v>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c r="E259" s="617"/>
      <c r="F259" s="617"/>
      <c r="G259" s="617"/>
      <c r="H259" s="617"/>
      <c r="I259" s="617"/>
      <c r="J259" s="617"/>
      <c r="K259" s="1694">
        <f>D259</f>
        <v>0</v>
      </c>
      <c r="L259" s="481"/>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0</v>
      </c>
      <c r="E261" s="617"/>
      <c r="F261" s="617"/>
      <c r="G261" s="617"/>
      <c r="H261" s="617"/>
      <c r="I261" s="617"/>
      <c r="J261" s="617"/>
      <c r="K261" s="1692">
        <f>SUM(K259:K260)</f>
        <v>0</v>
      </c>
      <c r="L261" s="1692">
        <f>SUM(L259:L260)</f>
        <v>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c r="E264" s="617"/>
      <c r="F264" s="617"/>
      <c r="G264" s="617"/>
      <c r="H264" s="617"/>
      <c r="I264" s="617"/>
      <c r="J264" s="617"/>
      <c r="K264" s="1694">
        <f t="shared" ref="K264:K269" si="22">D264</f>
        <v>0</v>
      </c>
      <c r="L264" s="466"/>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c r="E266" s="617"/>
      <c r="F266" s="617"/>
      <c r="G266" s="617"/>
      <c r="H266" s="617"/>
      <c r="I266" s="617"/>
      <c r="J266" s="617"/>
      <c r="K266" s="1694">
        <f t="shared" si="22"/>
        <v>0</v>
      </c>
      <c r="L266" s="466"/>
    </row>
    <row r="267" spans="1:14" x14ac:dyDescent="0.2">
      <c r="A267" s="1526" t="s">
        <v>1010</v>
      </c>
      <c r="B267" s="615">
        <v>2550</v>
      </c>
      <c r="C267" s="617"/>
      <c r="D267" s="466"/>
      <c r="E267" s="617"/>
      <c r="F267" s="617"/>
      <c r="G267" s="617"/>
      <c r="H267" s="617"/>
      <c r="I267" s="617"/>
      <c r="J267" s="617"/>
      <c r="K267" s="1694">
        <f t="shared" si="22"/>
        <v>0</v>
      </c>
      <c r="L267" s="466"/>
    </row>
    <row r="268" spans="1:14" x14ac:dyDescent="0.2">
      <c r="A268" s="1526" t="s">
        <v>102</v>
      </c>
      <c r="B268" s="615">
        <v>2560</v>
      </c>
      <c r="C268" s="617"/>
      <c r="D268" s="466"/>
      <c r="E268" s="617"/>
      <c r="F268" s="617"/>
      <c r="G268" s="617"/>
      <c r="H268" s="617"/>
      <c r="I268" s="617"/>
      <c r="J268" s="617"/>
      <c r="K268" s="1694">
        <f t="shared" si="22"/>
        <v>0</v>
      </c>
      <c r="L268" s="466"/>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0</v>
      </c>
      <c r="E270" s="617"/>
      <c r="F270" s="617"/>
      <c r="G270" s="617"/>
      <c r="H270" s="617"/>
      <c r="I270" s="617"/>
      <c r="J270" s="617"/>
      <c r="K270" s="1692">
        <f>SUM(K263:K269)</f>
        <v>0</v>
      </c>
      <c r="L270" s="1692">
        <f>SUM(L263:L269)</f>
        <v>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0</v>
      </c>
      <c r="E279" s="617"/>
      <c r="F279" s="617"/>
      <c r="G279" s="617"/>
      <c r="H279" s="617"/>
      <c r="I279" s="617"/>
      <c r="J279" s="617"/>
      <c r="K279" s="1699">
        <f>SUM(K238,K243,K257,K261,K270,K277,K278)</f>
        <v>0</v>
      </c>
      <c r="L279" s="1699">
        <f>SUM(L238,L243,L257,L261,L270,L277,L278)</f>
        <v>0</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0</v>
      </c>
      <c r="E295" s="617"/>
      <c r="F295" s="617"/>
      <c r="G295" s="617"/>
      <c r="H295" s="1692">
        <f>H293</f>
        <v>0</v>
      </c>
      <c r="I295" s="617"/>
      <c r="J295" s="617"/>
      <c r="K295" s="1692">
        <f>SUM(K229,K279,K280,K285,K293,K294)</f>
        <v>0</v>
      </c>
      <c r="L295" s="1692">
        <f>SUM(L229,L279,L280,L285,L293,L294)</f>
        <v>0</v>
      </c>
    </row>
    <row r="296" spans="1:14" ht="13.5" thickTop="1" x14ac:dyDescent="0.2">
      <c r="A296" s="2200" t="s">
        <v>1053</v>
      </c>
      <c r="B296" s="2201"/>
      <c r="C296" s="617"/>
      <c r="D296" s="619"/>
      <c r="E296" s="617"/>
      <c r="F296" s="617"/>
      <c r="G296" s="617"/>
      <c r="H296" s="688"/>
      <c r="I296" s="617"/>
      <c r="J296" s="617"/>
      <c r="K296" s="1706">
        <f>'Revenues 9-14'!G275-'Expenditures 15-22'!K295</f>
        <v>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0</v>
      </c>
      <c r="F330" s="1692">
        <f t="shared" si="25"/>
        <v>0</v>
      </c>
      <c r="G330" s="1692">
        <f t="shared" si="25"/>
        <v>0</v>
      </c>
      <c r="H330" s="1692">
        <f t="shared" si="25"/>
        <v>0</v>
      </c>
      <c r="I330" s="1692">
        <f t="shared" si="25"/>
        <v>0</v>
      </c>
      <c r="J330" s="1692">
        <f t="shared" si="25"/>
        <v>0</v>
      </c>
      <c r="K330" s="1692">
        <f>SUM(K319:K329)</f>
        <v>0</v>
      </c>
      <c r="L330" s="1692">
        <f>SUM(L319:L329)</f>
        <v>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0</v>
      </c>
      <c r="F342" s="1692">
        <f>SUM(F330)</f>
        <v>0</v>
      </c>
      <c r="G342" s="1692">
        <f>SUM(G330)</f>
        <v>0</v>
      </c>
      <c r="H342" s="1692">
        <f>SUM(H330,H334,H340)</f>
        <v>0</v>
      </c>
      <c r="I342" s="1692">
        <f>SUM(I330)</f>
        <v>0</v>
      </c>
      <c r="J342" s="1692">
        <f>SUM(J330)</f>
        <v>0</v>
      </c>
      <c r="K342" s="1692">
        <f>SUM(K330,K334,K340)</f>
        <v>0</v>
      </c>
      <c r="L342" s="1699">
        <f>SUM(L330,L340,L341)</f>
        <v>0</v>
      </c>
    </row>
    <row r="343" spans="1:14" ht="12.75" customHeight="1" thickTop="1" x14ac:dyDescent="0.2">
      <c r="A343" s="2186" t="s">
        <v>1053</v>
      </c>
      <c r="B343" s="2187"/>
      <c r="C343" s="617"/>
      <c r="D343" s="617"/>
      <c r="E343" s="617"/>
      <c r="F343" s="617"/>
      <c r="G343" s="617"/>
      <c r="H343" s="617"/>
      <c r="I343" s="617"/>
      <c r="J343" s="617"/>
      <c r="K343" s="1706">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200" t="s">
        <v>1053</v>
      </c>
      <c r="B368" s="2201"/>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Width="0"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http://www.w3.org/XML/1998/namespace"/>
    <ds:schemaRef ds:uri="http://schemas.microsoft.com/office/2006/documentManagement/types"/>
    <ds:schemaRef ds:uri="http://schemas.openxmlformats.org/package/2006/metadata/core-properties"/>
    <ds:schemaRef ds:uri="http://purl.org/dc/dcmitype/"/>
    <ds:schemaRef ds:uri="d21dc803-237d-4c68-8692-8d731fd29118"/>
    <ds:schemaRef ds:uri="http://purl.org/dc/elements/1.1/"/>
    <ds:schemaRef ds:uri="http://schemas.microsoft.com/office/2006/metadata/properties"/>
    <ds:schemaRef ds:uri="http://purl.org/dc/terms/"/>
    <ds:schemaRef ds:uri="http://schemas.microsoft.com/sharepoint/v3"/>
    <ds:schemaRef ds:uri="http://schemas.microsoft.com/office/infopath/2007/PartnerControls"/>
    <ds:schemaRef ds:uri="4d435f69-8686-490b-bd6d-b153bf22ab50"/>
    <ds:schemaRef ds:uri="6ce3111e-7420-4802-b50a-75d4e9a0b980"/>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2018-10-18T17:16:51Z</cp:lastPrinted>
  <dcterms:created xsi:type="dcterms:W3CDTF">2003-10-29T19:06:34Z</dcterms:created>
  <dcterms:modified xsi:type="dcterms:W3CDTF">2018-11-26T17:36:40Z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