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65" windowWidth="28845" windowHeight="646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s="1"/>
  <c r="G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0" i="34"/>
  <c r="F127" i="34"/>
  <c r="B5847" i="106"/>
  <c r="D5847" i="106" s="1"/>
  <c r="B5752" i="106"/>
  <c r="D5752" i="106" s="1"/>
  <c r="B5599" i="106"/>
  <c r="D5599" i="106" s="1"/>
  <c r="K274" i="5"/>
  <c r="C172" i="5"/>
  <c r="B5214" i="106" s="1"/>
  <c r="D5214" i="106" s="1"/>
  <c r="D109" i="5"/>
  <c r="B5356" i="106" s="1"/>
  <c r="D5356" i="106" s="1"/>
  <c r="D7" i="7"/>
  <c r="B1763" i="106" s="1"/>
  <c r="D1763" i="106" s="1"/>
  <c r="D4" i="4"/>
  <c r="B2564" i="106" s="1"/>
  <c r="D2564" i="106" s="1"/>
  <c r="B1746" i="106"/>
  <c r="D1746" i="106" s="1"/>
  <c r="D17" i="7"/>
  <c r="B4104" i="106" s="1"/>
  <c r="D4104" i="106" s="1"/>
  <c r="D12" i="7"/>
  <c r="B1769" i="106" s="1"/>
  <c r="D1769" i="106" s="1"/>
  <c r="D11" i="7"/>
  <c r="B1768" i="106" s="1"/>
  <c r="D1768" i="106" s="1"/>
  <c r="D15" i="7"/>
  <c r="B1772" i="106" s="1"/>
  <c r="D1772" i="106" s="1"/>
  <c r="F106" i="34" l="1"/>
  <c r="H109" i="5"/>
  <c r="H173" i="5"/>
  <c r="F111" i="34"/>
  <c r="F131" i="34"/>
  <c r="B5770" i="106"/>
  <c r="D5770" i="106" s="1"/>
  <c r="I173" i="5"/>
  <c r="B4216" i="106" s="1"/>
  <c r="D4216" i="106" s="1"/>
  <c r="F172" i="5"/>
  <c r="B5644" i="106" s="1"/>
  <c r="D5644" i="106" s="1"/>
  <c r="G109" i="5"/>
  <c r="L342" i="29"/>
  <c r="L312" i="29"/>
  <c r="B6191" i="106"/>
  <c r="D6191" i="106" s="1"/>
  <c r="J41" i="3"/>
  <c r="B7235" i="106"/>
  <c r="D7235" i="106" s="1"/>
  <c r="J77" i="4"/>
  <c r="B6262" i="106" s="1"/>
  <c r="D6262" i="106" s="1"/>
  <c r="D6103" i="106"/>
  <c r="B3647" i="106"/>
  <c r="D3647" i="106" s="1"/>
  <c r="G352" i="29"/>
  <c r="B3619" i="106"/>
  <c r="D3619" i="106" s="1"/>
  <c r="C352" i="29"/>
  <c r="B3454" i="106"/>
  <c r="D3454" i="106" s="1"/>
  <c r="L15" i="11"/>
  <c r="B3459" i="106" s="1"/>
  <c r="D3459" i="106" s="1"/>
  <c r="F77" i="4"/>
  <c r="B3255" i="106" s="1"/>
  <c r="D3255" i="106" s="1"/>
  <c r="B3170" i="106"/>
  <c r="D3170" i="106" s="1"/>
  <c r="H76" i="4"/>
  <c r="B3298" i="106" s="1"/>
  <c r="D3298" i="106" s="1"/>
  <c r="B2054" i="106"/>
  <c r="D2054" i="106" s="1"/>
  <c r="L13" i="11"/>
  <c r="B2060" i="106" s="1"/>
  <c r="D2060" i="106" s="1"/>
  <c r="F21" i="8"/>
  <c r="B3689" i="106"/>
  <c r="D3689" i="106" s="1"/>
  <c r="B1126" i="106"/>
  <c r="D1126" i="106" s="1"/>
  <c r="E14" i="145"/>
  <c r="G14" i="145" s="1"/>
  <c r="B1124" i="106"/>
  <c r="D1124" i="106" s="1"/>
  <c r="B3565" i="106"/>
  <c r="D3565" i="106" s="1"/>
  <c r="K41" i="3"/>
  <c r="B1364" i="106"/>
  <c r="D1364" i="106" s="1"/>
  <c r="G210" i="29"/>
  <c r="K285" i="29"/>
  <c r="B1410" i="106"/>
  <c r="D1410" i="106" s="1"/>
  <c r="B1329" i="106"/>
  <c r="D1329" i="106" s="1"/>
  <c r="F61" i="34"/>
  <c r="C173" i="5"/>
  <c r="B5223" i="106" s="1"/>
  <c r="D5223"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D274" i="5"/>
  <c r="B3447" i="106"/>
  <c r="D3447" i="106" s="1"/>
  <c r="D19" i="7"/>
  <c r="B1775" i="106" s="1"/>
  <c r="D1775" i="106" s="1"/>
  <c r="B7270" i="106"/>
  <c r="F73" i="34" l="1"/>
  <c r="G15" i="4"/>
  <c r="B6032" i="106" s="1"/>
  <c r="D6032" i="106" s="1"/>
  <c r="B6025" i="106"/>
  <c r="D6025" i="106" s="1"/>
  <c r="H4" i="4"/>
  <c r="B1365" i="106"/>
  <c r="D1365" i="106" s="1"/>
  <c r="F65" i="34"/>
  <c r="B3568" i="106"/>
  <c r="D3568" i="106" s="1"/>
  <c r="D52" i="36"/>
  <c r="B1879" i="106"/>
  <c r="D1879" i="106" s="1"/>
  <c r="H22" i="37"/>
  <c r="B3621" i="106"/>
  <c r="D3621" i="106" s="1"/>
  <c r="C367" i="29"/>
  <c r="B3622" i="106" s="1"/>
  <c r="D3622" i="106" s="1"/>
  <c r="B3649" i="106"/>
  <c r="D3649" i="106" s="1"/>
  <c r="G367" i="29"/>
  <c r="B3650" i="106" s="1"/>
  <c r="D3650" i="106" s="1"/>
  <c r="H367" i="29"/>
  <c r="B3660" i="106" s="1"/>
  <c r="D3660" i="106" s="1"/>
  <c r="B6024" i="106"/>
  <c r="D6024" i="106" s="1"/>
  <c r="G4" i="4"/>
  <c r="B2603" i="106" s="1"/>
  <c r="D2603" i="106" s="1"/>
  <c r="B5906" i="106"/>
  <c r="D5906" i="106" s="1"/>
  <c r="H6" i="4"/>
  <c r="B2656" i="106" s="1"/>
  <c r="D2656"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2655" i="106" l="1"/>
  <c r="D2655" i="106" s="1"/>
  <c r="H8" i="4"/>
  <c r="B1145" i="106"/>
  <c r="D1145" i="106" s="1"/>
  <c r="E41" i="108"/>
  <c r="G41" i="108"/>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<sst xmlns="http://schemas.openxmlformats.org/spreadsheetml/2006/main" count="5036" uniqueCount="2105">
  <si>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</si>
  <si>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</si>
  <si>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</si>
  <si>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</si>
  <si>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</si>
  <si>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</si>
  <si>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</si>
  <si>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</si>
  <si>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</si>
  <si>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</si>
  <si>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</si>
  <si>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</si>
  <si>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</si>
  <si>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</si>
  <si>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</si>
  <si>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</si>
  <si>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</si>
  <si>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</si>
  <si>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</si>
  <si>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</si>
  <si>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</si>
  <si>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</si>
  <si>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</si>
  <si>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</si>
  <si>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</si>
  <si>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</si>
  <si>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</si>
  <si>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</si>
  <si>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</si>
  <si>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</si>
  <si>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</si>
  <si>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</si>
  <si>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</si>
  <si>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</si>
  <si>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</si>
  <si>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</si>
  <si>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</si>
  <si>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</si>
  <si>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</si>
  <si>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</si>
  <si>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</si>
  <si>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</si>
  <si>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</si>
  <si>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</si>
  <si>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</si>
  <si>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</si>
  <si>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</si>
  <si>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</si>
  <si>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</si>
  <si>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</si>
  <si>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</si>
  <si>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</si>
  <si>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</si>
  <si>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</si>
  <si>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</si>
  <si>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</si>
  <si>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</si>
  <si>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</si>
  <si>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</si>
  <si>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</si>
  <si>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</si>
  <si>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</si>
  <si>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</si>
  <si>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</si>
  <si>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</si>
  <si>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</si>
  <si>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</si>
  <si>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</si>
  <si>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</si>
  <si>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</si>
  <si>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</si>
  <si>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</si>
  <si>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</si>
  <si>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</si>
  <si>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</si>
  <si>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</si>
  <si>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</si>
  <si>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</si>
  <si>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</si>
  <si>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</si>
  <si>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</si>
  <si>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</si>
  <si>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</si>
  <si>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</si>
  <si>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</si>
  <si>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</si>
  <si>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</si>
  <si>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</si>
  <si>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</si>
  <si>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</si>
  <si>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</si>
  <si>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</si>
  <si>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</si>
  <si>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</si>
  <si>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</si>
  <si>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</si>
  <si>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</si>
  <si>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</si>
  <si>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</si>
  <si>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</si>
  <si>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</si>
  <si>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</si>
  <si>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</si>
  <si>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</si>
  <si>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</si>
  <si>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</si>
  <si>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</si>
  <si>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</si>
  <si>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</si>
  <si>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</si>
  <si>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</si>
  <si>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</si>
  <si>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</si>
  <si>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</si>
  <si>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</si>
  <si>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</si>
  <si>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</si>
  <si>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</si>
  <si>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</si>
  <si>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</si>
  <si>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</si>
  <si>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</si>
  <si>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</si>
  <si>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</si>
  <si>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</si>
  <si>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</si>
  <si>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</si>
  <si>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</si>
  <si>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</si>
  <si>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</si>
  <si>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</si>
  <si>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</si>
  <si>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</si>
  <si>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</si>
  <si>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</si>
  <si>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</si>
  <si>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</si>
  <si>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</si>
  <si>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</si>
  <si>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</si>
  <si>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</si>
  <si>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</si>
  <si>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</si>
  <si>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</si>
  <si>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</si>
  <si>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</si>
  <si>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</si>
  <si>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</si>
  <si>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</si>
  <si>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</si>
  <si>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</si>
  <si>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</si>
  <si>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</si>
  <si>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</si>
  <si>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</si>
  <si>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</si>
  <si>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</si>
  <si>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</si>
  <si>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</si>
  <si>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</si>
  <si>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</si>
  <si>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</si>
  <si>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</si>
  <si>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</si>
  <si>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</si>
  <si>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</si>
  <si>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</si>
  <si>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</si>
  <si>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</si>
  <si>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</si>
  <si>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</si>
  <si>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</si>
  <si>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</si>
  <si>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</si>
  <si>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</si>
  <si>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</si>
  <si>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</si>
  <si>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</si>
  <si>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</si>
  <si>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</si>
  <si>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</si>
  <si>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</si>
  <si>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</si>
  <si>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</si>
  <si>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</si>
  <si>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</si>
  <si>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</si>
  <si>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</si>
  <si>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</si>
  <si>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</si>
  <si>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</si>
  <si>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</si>
  <si>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</si>
  <si>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</si>
  <si>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</si>
  <si>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</si>
  <si>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</si>
  <si>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</si>
  <si>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</si>
  <si>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</si>
  <si>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</si>
  <si>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</si>
  <si>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</si>
  <si>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</si>
  <si>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</si>
  <si>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</si>
  <si>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</si>
  <si>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</si>
  <si>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</si>
  <si>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</si>
  <si>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</si>
  <si>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</si>
  <si>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</si>
  <si>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</si>
  <si>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</si>
  <si>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</si>
  <si>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</si>
  <si>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</si>
  <si>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</si>
  <si>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</si>
  <si>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</si>
  <si>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</si>
  <si>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</si>
  <si>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</si>
  <si>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</si>
  <si>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</si>
  <si>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</si>
  <si>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</si>
  <si>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</si>
  <si>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</si>
  <si>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</si>
  <si>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</si>
  <si>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</si>
  <si>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</si>
  <si>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</si>
  <si>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</si>
  <si>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</si>
  <si>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</si>
  <si>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</si>
  <si>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</si>
  <si>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</si>
  <si>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</si>
  <si>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</si>
  <si>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</si>
  <si>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</si>
  <si>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</si>
  <si>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</si>
  <si>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</si>
  <si>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</si>
  <si>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</si>
  <si>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</si>
  <si>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</si>
  <si>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</si>
  <si>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</si>
  <si>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</si>
  <si>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</si>
  <si>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</si>
  <si>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</si>
  <si>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</si>
  <si>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</si>
  <si>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</si>
  <si>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</si>
  <si>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</si>
  <si>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</si>
  <si>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</si>
  <si>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</si>
  <si>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</si>
  <si>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</si>
  <si>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</si>
  <si>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</si>
  <si>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</si>
  <si>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</si>
  <si>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</si>
  <si>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</si>
  <si>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</si>
  <si>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</si>
  <si>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</si>
  <si>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</si>
  <si>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</si>
  <si>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</si>
  <si>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</si>
  <si>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</si>
  <si>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</si>
  <si>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</si>
  <si>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</si>
  <si>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</si>
  <si>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</si>
  <si>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</si>
  <si>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</si>
  <si>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</si>
  <si>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</si>
  <si>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</si>
  <si>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</si>
  <si>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</si>
  <si>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</si>
  <si>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</si>
  <si>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</si>
  <si>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</si>
  <si>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</si>
  <si>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</si>
  <si>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</si>
  <si>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</si>
  <si>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</si>
  <si>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</si>
  <si>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</si>
  <si>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</si>
  <si>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</si>
  <si>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</si>
  <si>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</si>
  <si>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</si>
  <si>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</si>
  <si>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</si>
  <si>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</si>
  <si>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</si>
  <si>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</si>
  <si>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</si>
  <si>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</si>
  <si>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</si>
  <si>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</si>
  <si>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</si>
  <si>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</si>
  <si>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</si>
  <si>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</si>
  <si>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</si>
  <si>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</si>
  <si>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</si>
  <si>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</si>
  <si>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</si>
  <si>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</si>
  <si>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</si>
  <si>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</si>
  <si>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</si>
  <si>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</si>
  <si>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</si>
  <si>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</si>
  <si>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</si>
  <si>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</si>
  <si>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</si>
  <si>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</si>
  <si>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</si>
  <si>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</si>
  <si>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</si>
  <si>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</si>
  <si>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</si>
  <si>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</si>
  <si>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</si>
  <si>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</si>
  <si>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</si>
  <si>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</si>
  <si>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</si>
  <si>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</si>
  <si>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</si>
  <si>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</si>
  <si>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</si>
  <si>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</si>
  <si>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</si>
  <si>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</si>
  <si>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</si>
  <si>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</si>
  <si>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</si>
  <si>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</si>
  <si>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</si>
  <si>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</si>
  <si>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</si>
  <si>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</si>
  <si>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</si>
  <si>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</si>
  <si>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</si>
  <si>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</si>
  <si>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</si>
  <si>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</si>
  <si>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</si>
  <si>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</si>
  <si>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</si>
  <si>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</si>
  <si>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</si>
  <si>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</si>
  <si>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</si>
  <si>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</si>
  <si>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</si>
  <si>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</si>
  <si>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</si>
  <si>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</si>
  <si>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</si>
  <si>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</si>
  <si>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</si>
  <si>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</si>
  <si>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</si>
  <si>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</si>
  <si>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</si>
  <si>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</si>
  <si>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</si>
  <si>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</si>
  <si>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</si>
  <si>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</si>
  <si>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</si>
  <si>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</si>
  <si>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</si>
  <si>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</si>
  <si>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</si>
  <si>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</si>
  <si>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</si>
  <si>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</si>
  <si>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</si>
  <si>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</si>
  <si>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</si>
  <si>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</si>
  <si>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</si>
  <si>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</si>
  <si>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</si>
  <si>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</si>
  <si>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</si>
  <si>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</si>
  <si>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</si>
  <si>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</si>
  <si>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</si>
  <si>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</si>
  <si>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</si>
  <si>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</si>
  <si>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</si>
  <si>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</si>
  <si>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</si>
  <si>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</si>
  <si>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</si>
  <si>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</si>
  <si>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</si>
  <si>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</si>
  <si>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</si>
  <si>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</si>
  <si>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</si>
  <si>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</si>
  <si>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</si>
  <si>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</si>
  <si>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</si>
  <si>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</si>
  <si>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</si>
  <si>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</si>
  <si>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</si>
  <si>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</si>
  <si>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</si>
  <si>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</si>
  <si>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</si>
  <si>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</si>
  <si>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</si>
  <si>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</si>
  <si>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</si>
  <si>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</si>
  <si>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</si>
  <si>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</si>
  <si>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</si>
  <si>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</si>
  <si>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</si>
  <si>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</si>
  <si>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</si>
  <si>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</si>
  <si>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</si>
  <si>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</si>
  <si>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</si>
  <si>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</si>
  <si>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</si>
  <si>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</si>
  <si>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</si>
  <si>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</si>
  <si>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</si>
  <si>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</si>
  <si>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</si>
  <si>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</si>
  <si>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</si>
  <si>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</si>
  <si>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</si>
  <si>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</si>
  <si>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</si>
  <si>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</si>
  <si>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</si>
  <si>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</si>
  <si>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</si>
  <si>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</si>
  <si>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</si>
  <si>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</si>
  <si>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</si>
  <si>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</si>
  <si>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</si>
  <si>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</si>
  <si>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</si>
  <si>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</si>
  <si>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</si>
  <si>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</si>
  <si>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</si>
  <si>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</si>
  <si>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</si>
  <si>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</si>
  <si>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</si>
  <si>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</si>
  <si>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</si>
  <si>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</si>
  <si>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</si>
  <si>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</si>
  <si>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</si>
  <si>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</si>
  <si>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</si>
  <si>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</si>
  <si>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</si>
  <si>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</si>
  <si>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</si>
  <si>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</si>
  <si>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</si>
  <si>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</si>
  <si>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</si>
  <si>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</si>
  <si>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</si>
  <si>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</si>
  <si>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</si>
  <si>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</si>
  <si>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</si>
  <si>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</si>
  <si>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</si>
  <si>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</si>
  <si>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</si>
  <si>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</si>
  <si>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</si>
  <si>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</si>
  <si>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</si>
  <si>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</si>
  <si>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</si>
  <si>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</si>
  <si>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</si>
  <si>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</si>
  <si>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</si>
  <si>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</si>
  <si>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</si>
  <si>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</si>
  <si>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</si>
  <si>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</si>
  <si>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</si>
  <si>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</si>
  <si>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</si>
  <si>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</si>
  <si>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</si>
  <si>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</si>
  <si>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</si>
  <si>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</si>
  <si>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</si>
  <si>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</si>
  <si>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</si>
  <si>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</si>
  <si>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</si>
  <si>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</si>
  <si>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</si>
  <si>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</si>
  <si>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</si>
  <si>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</si>
  <si>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</si>
  <si>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</si>
  <si>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</si>
  <si>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</si>
  <si>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</si>
  <si>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</si>
  <si>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</si>
  <si>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</si>
  <si>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</si>
  <si>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</si>
  <si>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</si>
  <si>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</si>
  <si>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</si>
  <si>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</si>
  <si>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</si>
  <si>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</si>
  <si>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</si>
  <si>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</si>
  <si>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</si>
  <si>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</si>
  <si>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</si>
  <si>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</si>
  <si>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</si>
  <si>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</si>
  <si>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</si>
  <si>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</si>
  <si>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</si>
  <si>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</si>
  <si>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</si>
  <si>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</si>
  <si>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</si>
  <si>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</si>
  <si>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</si>
  <si>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</si>
  <si>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</si>
  <si>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</si>
  <si>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</si>
  <si>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</si>
  <si>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</si>
  <si>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</si>
  <si>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</si>
  <si>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</si>
  <si>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</si>
  <si>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</si>
  <si>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</si>
  <si>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</si>
  <si>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</si>
  <si>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</si>
  <si>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</si>
  <si>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</si>
  <si>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</si>
  <si>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</si>
  <si>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</si>
  <si>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</si>
  <si>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</si>
  <si>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</si>
  <si>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</si>
  <si>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</si>
  <si>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</si>
  <si>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</si>
  <si>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</si>
  <si>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</si>
  <si>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</si>
  <si>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</si>
  <si>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</si>
  <si>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</si>
  <si>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</si>
  <si>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</si>
  <si>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</si>
  <si>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</si>
  <si>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</si>
  <si>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</si>
  <si>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</si>
  <si>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</si>
  <si>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</si>
  <si>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</si>
  <si>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</si>
  <si>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</si>
  <si>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</si>
  <si>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</si>
  <si>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</si>
  <si>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</si>
  <si>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</si>
  <si>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</si>
  <si>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</si>
  <si>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</si>
  <si>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</si>
  <si>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</si>
  <si>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</si>
  <si>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</si>
  <si>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</si>
  <si>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</si>
  <si>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</si>
  <si>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</si>
  <si>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</si>
  <si>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</si>
  <si>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</si>
  <si>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</si>
  <si>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</si>
  <si>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</si>
  <si>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</si>
  <si>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</si>
  <si>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</si>
  <si>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</si>
  <si>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</si>
  <si>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</si>
  <si>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</si>
  <si>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</si>
  <si>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</si>
  <si>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</si>
  <si>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</si>
  <si>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</si>
  <si>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</si>
  <si>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</si>
  <si>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</si>
  <si>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</si>
  <si>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</si>
  <si>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</si>
  <si>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</si>
  <si>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</si>
  <si>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</si>
  <si>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</si>
  <si>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</si>
  <si>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</si>
  <si>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</si>
  <si>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</si>
  <si>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</si>
  <si>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</si>
  <si>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</si>
  <si>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</si>
  <si>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</si>
  <si>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</si>
  <si>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</si>
  <si>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</si>
  <si>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</si>
  <si>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</si>
  <si>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</si>
  <si>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</si>
  <si>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</si>
  <si>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</si>
  <si>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</si>
  <si>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</si>
  <si>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</si>
  <si>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</si>
  <si>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</si>
  <si>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</si>
  <si>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</si>
  <si>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</si>
  <si>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</si>
  <si>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</si>
  <si>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</si>
  <si>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</si>
  <si>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</si>
  <si>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</si>
  <si>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</si>
  <si>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</si>
  <si>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</si>
  <si>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</si>
  <si>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</si>
  <si>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</si>
  <si>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</si>
  <si>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</si>
  <si>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</si>
  <si>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</si>
  <si>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</si>
  <si>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</si>
  <si>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</si>
  <si>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</si>
  <si>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</si>
  <si>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</si>
  <si>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</si>
  <si>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</si>
  <si>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</si>
  <si>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</si>
  <si>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</si>
  <si>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</si>
  <si>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</si>
  <si>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</si>
  <si>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</si>
  <si>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</si>
  <si>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</si>
  <si>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</si>
  <si>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</si>
  <si>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</si>
  <si>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</si>
  <si>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</si>
  <si>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</si>
  <si>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</si>
  <si>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</si>
  <si>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</si>
  <si>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</si>
  <si>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</si>
  <si>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</si>
  <si>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</si>
  <si>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</si>
  <si>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</si>
  <si>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</si>
  <si>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</si>
  <si>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</si>
  <si>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</si>
  <si>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</si>
  <si>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</si>
  <si>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</si>
  <si>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</si>
  <si>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</si>
  <si>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</si>
  <si>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</si>
  <si>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</si>
  <si>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</si>
  <si>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</si>
  <si>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</si>
  <si>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</si>
  <si>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</si>
  <si>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</si>
  <si>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</si>
  <si>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</si>
  <si>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</si>
  <si>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</si>
  <si>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</si>
  <si>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</si>
  <si>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</si>
  <si>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</si>
  <si>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</si>
  <si>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</si>
  <si>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</si>
  <si>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</si>
  <si>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</si>
  <si>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</si>
  <si>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</si>
  <si>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</si>
  <si>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</si>
  <si>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</si>
  <si>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</si>
  <si>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</si>
  <si>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</si>
  <si>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</si>
  <si>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</si>
  <si>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</si>
  <si>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</si>
  <si>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</si>
  <si>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</si>
  <si>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</si>
  <si>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</si>
  <si>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</si>
  <si>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</si>
  <si>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</si>
  <si>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</si>
  <si>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</si>
  <si>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</si>
  <si>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</si>
  <si>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</si>
  <si>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</si>
  <si>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</si>
  <si>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</si>
  <si>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</si>
  <si>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</si>
  <si>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</si>
  <si>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</si>
  <si>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</si>
  <si>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</si>
  <si>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</si>
  <si>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</si>
  <si>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</si>
  <si>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</si>
  <si>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</si>
  <si>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</si>
  <si>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</si>
  <si>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</si>
  <si>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</si>
  <si>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</si>
  <si>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</si>
  <si>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</si>
  <si>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</si>
  <si>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</si>
  <si>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</si>
  <si>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</si>
  <si>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</si>
  <si>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</si>
  <si>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</si>
  <si>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</si>
  <si>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</si>
  <si>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</si>
  <si>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</si>
  <si>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</si>
  <si>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</si>
  <si>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</si>
  <si>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</si>
  <si>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</si>
  <si>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</si>
  <si>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</si>
  <si>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</si>
  <si>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</si>
  <si>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</si>
  <si>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</si>
  <si>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</si>
  <si>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</si>
  <si>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</si>
  <si>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</si>
  <si>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</si>
  <si>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</si>
  <si>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</si>
  <si>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</si>
  <si>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</si>
  <si>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</si>
  <si>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</si>
  <si>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</si>
  <si>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</si>
  <si>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</si>
  <si>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</si>
  <si>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</si>
  <si>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</si>
  <si>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</si>
  <si>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</si>
  <si>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</si>
  <si>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</si>
  <si>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</si>
  <si>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</si>
  <si>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</si>
  <si>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</si>
  <si>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</si>
  <si>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</si>
  <si>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</si>
  <si>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</si>
  <si>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</si>
  <si>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</si>
  <si>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</si>
  <si>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</si>
  <si>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</si>
  <si>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</si>
  <si>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</si>
  <si>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</si>
  <si>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</si>
  <si>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</si>
  <si>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</si>
  <si>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</si>
  <si>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</si>
  <si>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</si>
  <si>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</si>
  <si>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</si>
  <si>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</si>
  <si>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</si>
  <si>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</si>
  <si>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</si>
  <si>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</si>
  <si>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</si>
  <si>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</si>
  <si>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</si>
  <si>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</si>
  <si>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</si>
  <si>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</si>
  <si>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</si>
  <si>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</si>
  <si>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</si>
  <si>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</si>
  <si>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</si>
  <si>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</si>
  <si>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</si>
  <si>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</si>
  <si>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</si>
  <si>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</si>
  <si>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</si>
  <si>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</si>
  <si>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</si>
  <si>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</si>
  <si>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</si>
  <si>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</si>
  <si>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</si>
  <si>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</si>
  <si>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</si>
  <si>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</si>
  <si>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</si>
  <si>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</si>
  <si>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</si>
  <si>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</si>
  <si>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</si>
  <si>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</si>
  <si>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</si>
  <si>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</si>
  <si>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</si>
  <si>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</si>
  <si>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</si>
  <si>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</si>
  <si>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</si>
  <si>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</si>
  <si>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</si>
  <si>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</si>
  <si>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</si>
  <si>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</si>
  <si>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</si>
  <si>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</si>
  <si>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</si>
  <si>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</si>
  <si>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</si>
  <si>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</si>
  <si>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</si>
  <si>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</si>
  <si>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</si>
  <si>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</si>
  <si>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</si>
  <si>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</si>
  <si>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</si>
  <si>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</si>
  <si>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</si>
  <si>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</si>
  <si>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</si>
  <si>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</si>
  <si>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</si>
  <si>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</si>
  <si>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</si>
  <si>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</si>
  <si>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</si>
  <si>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</si>
  <si>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</si>
  <si>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</si>
  <si>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</si>
  <si>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</si>
  <si>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</si>
  <si>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</si>
  <si>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</si>
  <si>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</si>
  <si>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</si>
  <si>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</si>
  <si>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</si>
  <si>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</si>
  <si>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</si>
  <si>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</si>
  <si>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</si>
  <si>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</si>
  <si>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</si>
  <si>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</si>
  <si>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</si>
  <si>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</si>
  <si>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</si>
  <si>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</si>
  <si>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</si>
  <si>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</si>
  <si>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</si>
  <si>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</si>
  <si>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</si>
  <si>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</si>
  <si>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</si>
  <si>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</si>
  <si>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</si>
  <si>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</si>
  <si>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</si>
  <si>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</si>
  <si>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</si>
  <si>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</si>
  <si>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</si>
  <si>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</si>
  <si>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</si>
  <si>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</si>
  <si>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</si>
  <si>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</si>
  <si>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</si>
  <si>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</si>
  <si>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</si>
  <si>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</si>
  <si>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</si>
  <si>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</si>
  <si>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</si>
  <si>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</si>
  <si>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</si>
  <si>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</si>
  <si>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</si>
  <si>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</si>
  <si>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</si>
  <si>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</si>
  <si>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</si>
  <si>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</si>
  <si>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</si>
  <si>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</si>
  <si>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</si>
  <si>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</si>
  <si>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</si>
  <si>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</si>
  <si>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</si>
  <si>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</si>
  <si>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</si>
  <si>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</si>
  <si>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</si>
  <si>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</si>
  <si>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</si>
  <si>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</si>
  <si>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</si>
  <si>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</si>
  <si>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</si>
  <si>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</si>
  <si>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</si>
  <si>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</si>
  <si>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</si>
  <si>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</si>
  <si>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</si>
  <si>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</si>
  <si>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</si>
  <si>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</si>
  <si>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</si>
  <si>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</si>
  <si>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</si>
  <si>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</si>
  <si>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</si>
  <si>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</si>
  <si>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</si>
  <si>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</si>
  <si>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</si>
  <si>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</si>
  <si>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</si>
  <si>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</si>
  <si>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</si>
  <si>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</si>
  <si>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</si>
  <si>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</si>
  <si>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</si>
  <si>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</si>
  <si>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</si>
  <si>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</si>
  <si>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</si>
  <si>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</si>
  <si>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</si>
  <si>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</si>
  <si>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</si>
  <si>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</si>
  <si>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</si>
  <si>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</si>
  <si>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</si>
  <si>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</si>
  <si>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</si>
  <si>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</si>
  <si>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</si>
  <si>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</si>
  <si>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</si>
  <si>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</si>
  <si>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</si>
  <si>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</si>
  <si>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</si>
  <si>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</si>
  <si>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</si>
  <si>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</si>
  <si>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</si>
  <si>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</si>
  <si>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</si>
  <si>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</si>
  <si>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</si>
  <si>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</si>
  <si>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</si>
  <si>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</si>
  <si>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</si>
  <si>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</si>
  <si>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</si>
  <si>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</si>
  <si>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</si>
  <si>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</si>
  <si>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</si>
  <si>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</si>
  <si>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</si>
  <si>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</si>
  <si>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</si>
  <si>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</si>
  <si>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</si>
  <si>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</si>
  <si>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</si>
  <si>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</si>
  <si>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</si>
  <si>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</si>
  <si>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</si>
  <si>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</si>
  <si>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</si>
  <si>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</si>
  <si>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</si>
  <si>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</si>
  <si>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</si>
  <si>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</si>
  <si>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</si>
  <si>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</si>
  <si>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</si>
  <si>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</si>
  <si>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</si>
  <si>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</si>
  <si>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</si>
  <si>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</si>
  <si>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</si>
  <si>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</si>
  <si>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</si>
  <si>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</si>
  <si>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</si>
  <si>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</si>
  <si>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</si>
  <si>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</si>
  <si>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</si>
  <si>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</si>
  <si>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</si>
  <si>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</si>
  <si>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</si>
  <si>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</si>
  <si>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</si>
  <si>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</si>
  <si>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</si>
  <si>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</si>
  <si>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</si>
  <si>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</si>
  <si>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</si>
  <si>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</si>
  <si>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</si>
  <si>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</si>
  <si>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</si>
  <si>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</si>
  <si>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</si>
  <si>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</si>
  <si>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</si>
  <si>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</si>
  <si>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</si>
  <si>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</si>
  <si>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</si>
  <si>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</si>
  <si>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</si>
  <si>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</si>
  <si>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</si>
  <si>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</si>
  <si>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</si>
  <si>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</si>
  <si>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</si>
  <si>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</si>
  <si>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</si>
  <si>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</si>
  <si>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</si>
  <si>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</si>
  <si>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</si>
  <si>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</si>
  <si>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</si>
  <si>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</si>
  <si>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</si>
  <si>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</si>
  <si>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</si>
  <si>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</si>
  <si>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</si>
  <si>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</si>
  <si>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</si>
  <si>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</si>
  <si>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</si>
  <si>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</si>
  <si>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</si>
  <si>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</si>
  <si>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</si>
  <si>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</si>
  <si>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</si>
  <si>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</si>
  <si>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</si>
  <si>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</si>
  <si>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</si>
  <si>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</si>
  <si>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</si>
  <si>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</si>
  <si>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</si>
  <si>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</si>
  <si>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</si>
  <si>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</si>
  <si>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</si>
  <si>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</si>
  <si>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</si>
  <si>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</si>
  <si>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</si>
  <si>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</si>
  <si>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</si>
  <si>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</si>
  <si>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</si>
  <si>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</si>
  <si>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</si>
  <si>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</si>
  <si>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</si>
  <si>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</si>
  <si>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</si>
  <si>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</si>
  <si>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</si>
  <si>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</si>
  <si>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</si>
  <si>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</si>
  <si>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</si>
  <si>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</si>
  <si>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</si>
  <si>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</si>
  <si>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</si>
  <si>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</si>
  <si>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</si>
  <si>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</si>
  <si>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</si>
  <si>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</si>
  <si>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</si>
  <si>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</si>
  <si>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</si>
  <si>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</si>
  <si>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</si>
  <si>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</si>
  <si>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</si>
  <si>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</si>
  <si>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</si>
  <si>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</si>
  <si>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</si>
  <si>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</si>
  <si>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</si>
  <si>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</si>
  <si>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</si>
  <si>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</si>
  <si>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</si>
  <si>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</si>
  <si>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</si>
  <si>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</si>
  <si>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</si>
  <si>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</si>
  <si>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</si>
  <si>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</si>
  <si>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</si>
  <si>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</si>
  <si>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</si>
  <si>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</si>
  <si>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</si>
  <si>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</si>
  <si>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</si>
  <si>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</si>
  <si>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</si>
  <si>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</si>
  <si>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</si>
  <si>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</si>
  <si>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</si>
  <si>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</si>
  <si>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</si>
  <si>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</si>
  <si>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</si>
  <si>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</si>
  <si>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</si>
  <si>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</si>
  <si>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</si>
  <si>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</si>
  <si>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</si>
  <si>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</si>
  <si>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</si>
  <si>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</si>
  <si>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</si>
  <si>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</si>
  <si>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</si>
  <si>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</si>
  <si>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</si>
  <si>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</si>
  <si>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</si>
  <si>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</si>
  <si>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</si>
  <si>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</si>
  <si>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</si>
  <si>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</si>
  <si>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</si>
  <si>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</si>
  <si>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</si>
  <si>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</si>
  <si>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</si>
  <si>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</si>
  <si>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</si>
  <si>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</si>
  <si>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</si>
  <si>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</si>
  <si>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</si>
  <si>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</si>
  <si>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</si>
  <si>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</si>
  <si>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</si>
  <si>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</si>
  <si>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</si>
  <si>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</si>
  <si>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</si>
  <si>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</si>
  <si>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</si>
  <si>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</si>
  <si>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</si>
  <si>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</si>
  <si>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</si>
  <si>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</si>
  <si>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</si>
  <si>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</si>
  <si>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</si>
  <si>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</si>
  <si>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</si>
  <si>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</si>
  <si>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</si>
  <si>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</si>
  <si>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</si>
  <si>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</si>
  <si>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</si>
  <si>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</si>
  <si>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</si>
  <si>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</si>
  <si>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</si>
  <si>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</si>
  <si>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</si>
  <si>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</si>
  <si>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</si>
  <si>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</si>
  <si>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</si>
  <si>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</si>
  <si>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</si>
  <si>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</si>
  <si>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</si>
  <si>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</si>
  <si>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</si>
  <si>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</si>
  <si>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</si>
  <si>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</si>
  <si>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</si>
  <si>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</si>
  <si>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</si>
  <si>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</si>
  <si>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</si>
  <si>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</si>
  <si>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</si>
  <si>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</si>
  <si>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</si>
  <si>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</si>
  <si>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</si>
  <si>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</si>
  <si>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</si>
  <si>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</si>
  <si>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</si>
  <si>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</si>
  <si>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</si>
  <si>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</si>
  <si>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</si>
  <si>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</si>
  <si>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</si>
  <si>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</si>
  <si>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</si>
  <si>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</si>
  <si>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</si>
  <si>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</si>
  <si>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</si>
  <si>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</si>
  <si>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</si>
  <si>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</si>
  <si>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</si>
  <si>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</si>
  <si>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</si>
  <si>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</si>
  <si>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</si>
  <si>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</si>
  <si>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</si>
  <si>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</si>
  <si>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</si>
  <si>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</si>
  <si>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</si>
  <si>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</si>
  <si>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</si>
  <si>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</si>
  <si>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</si>
  <si>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</si>
  <si>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</si>
  <si>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</si>
  <si>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</si>
  <si>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</si>
  <si>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</si>
  <si>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</si>
  <si>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</si>
  <si>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</si>
  <si>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</si>
  <si>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</si>
  <si>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</si>
  <si>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</si>
  <si>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</si>
  <si>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</si>
  <si>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</si>
  <si>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</si>
  <si>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</si>
  <si>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</si>
  <si>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</si>
  <si>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</si>
  <si>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</si>
  <si>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</si>
  <si>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</si>
  <si>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</si>
  <si>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</si>
  <si>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</si>
  <si>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</si>
  <si>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</si>
  <si>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</si>
  <si>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</si>
  <si>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</si>
  <si>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</si>
  <si>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</si>
  <si>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</si>
  <si>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</si>
  <si>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</si>
  <si>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</si>
  <si>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</si>
  <si>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</si>
  <si>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</si>
  <si>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</si>
  <si>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</si>
  <si>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</si>
  <si>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</si>
  <si>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</si>
  <si>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</si>
  <si>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</si>
  <si>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</si>
  <si>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</si>
  <si>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</si>
  <si>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</si>
  <si>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</si>
  <si>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</si>
  <si>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</si>
  <si>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</si>
  <si>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</si>
  <si>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</si>
  <si>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</si>
  <si>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</si>
  <si>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</si>
  <si>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</si>
  <si>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</si>
  <si>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</si>
  <si>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</si>
  <si>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</si>
  <si>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</si>
  <si>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</si>
  <si>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</si>
  <si>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</si>
  <si>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</si>
  <si>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</si>
  <si>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</si>
  <si>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</si>
  <si>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</si>
  <si>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</si>
  <si>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</si>
  <si>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</si>
  <si>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</si>
  <si>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</si>
  <si>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</si>
  <si>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</si>
  <si>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</si>
  <si>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</si>
  <si>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</si>
  <si>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</si>
  <si>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</si>
  <si>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</si>
  <si>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</si>
  <si>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</si>
  <si>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</si>
  <si>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</si>
  <si>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</si>
  <si>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</si>
  <si>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</si>
  <si>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</si>
  <si>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</si>
  <si>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</si>
  <si>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</si>
  <si>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</si>
  <si>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</si>
  <si>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</si>
  <si>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</si>
  <si>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</si>
  <si>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</si>
  <si>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</si>
  <si>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</si>
  <si>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</si>
  <si>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</si>
  <si>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</si>
  <si>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</si>
  <si>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</si>
  <si>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</si>
  <si>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</si>
  <si>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</si>
  <si>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</si>
  <si>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</si>
  <si>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</si>
  <si>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</si>
  <si>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</si>
  <si>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</si>
  <si>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</si>
  <si>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</si>
  <si>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</si>
  <si>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</si>
  <si>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</si>
  <si>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</si>
  <si>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</si>
  <si>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</si>
  <si>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</si>
  <si>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</si>
  <si>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</si>
  <si>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</si>
  <si>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</si>
  <si>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</si>
  <si>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</si>
  <si>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</si>
  <si>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</si>
  <si>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</si>
  <si>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</si>
  <si>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</si>
  <si>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</si>
  <si>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</si>
  <si>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</si>
  <si>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</si>
  <si>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</si>
  <si>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</si>
  <si>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</si>
  <si>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</si>
  <si>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</si>
  <si>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</si>
  <si>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</si>
  <si>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</si>
  <si>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</si>
  <si>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</si>
  <si>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</si>
  <si>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</si>
  <si>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</si>
  <si>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</si>
  <si>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</si>
  <si>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</si>
  <si>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</si>
  <si>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</si>
  <si>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</si>
  <si>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</si>
  <si>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</si>
  <si>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</si>
  <si>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</si>
  <si>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</si>
  <si>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</si>
  <si>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</si>
  <si>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</si>
  <si>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</si>
  <si>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</si>
  <si>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</si>
  <si>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</si>
  <si>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</si>
  <si>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</si>
  <si>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</si>
  <si>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</si>
  <si>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</si>
  <si>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</si>
  <si>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</si>
  <si>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</si>
  <si>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</si>
  <si>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</si>
  <si>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</si>
  <si>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</si>
  <si>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</si>
  <si>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</si>
  <si>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</si>
  <si>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</si>
  <si>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</si>
  <si>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</si>
  <si>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</si>
  <si>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</si>
  <si>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</si>
  <si>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</si>
  <si>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</si>
  <si>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</si>
  <si>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</si>
  <si>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</si>
  <si>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</si>
  <si>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</si>
  <si>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</si>
  <si>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</si>
  <si>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</si>
  <si>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</si>
  <si>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</si>
  <si>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</si>
  <si>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</si>
  <si>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</si>
  <si>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</si>
  <si>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</si>
  <si>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</si>
  <si>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</si>
  <si>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</si>
  <si>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</si>
  <si>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</si>
  <si>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</si>
  <si>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</si>
  <si>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</si>
  <si>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</si>
  <si>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</si>
  <si>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</si>
  <si>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</si>
  <si>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</si>
  <si>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</si>
  <si>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</si>
  <si>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</si>
  <si>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</si>
  <si>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</si>
  <si>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</si>
  <si>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</si>
  <si>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</si>
  <si>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</si>
  <si>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</si>
  <si>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</si>
  <si>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</si>
  <si>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</si>
  <si>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</si>
  <si>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</si>
  <si>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</si>
  <si>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</si>
  <si>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</si>
  <si>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</si>
  <si>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</si>
  <si>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</si>
  <si>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</si>
  <si>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</si>
  <si>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</si>
  <si>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</si>
  <si>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</si>
  <si>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</si>
  <si>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</si>
  <si>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</si>
  <si>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</si>
  <si>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</si>
  <si>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</si>
  <si>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</si>
  <si>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</si>
  <si>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</si>
  <si>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</si>
  <si>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</si>
  <si>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</si>
  <si>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</si>
  <si>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</si>
  <si>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</si>
  <si>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</si>
  <si>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</si>
  <si>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</si>
  <si>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</si>
  <si>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</si>
  <si>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</si>
  <si>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</si>
  <si>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</si>
  <si>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</si>
  <si>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</si>
  <si>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</si>
  <si>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</si>
  <si>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</si>
  <si>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</si>
  <si>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</si>
  <si>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</si>
  <si>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</si>
  <si>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</si>
  <si>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</si>
  <si>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</si>
  <si>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</si>
  <si>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</si>
  <si>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</si>
  <si>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</si>
  <si>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</si>
  <si>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</si>
  <si>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</si>
  <si>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</si>
  <si>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</si>
  <si>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</si>
  <si>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</si>
  <si>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</si>
  <si>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</si>
  <si>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</si>
  <si>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</si>
  <si>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</si>
  <si>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</si>
  <si>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</si>
  <si>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</si>
  <si>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</si>
  <si>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</si>
  <si>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</si>
  <si>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</si>
  <si>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</si>
  <si>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</si>
  <si>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</si>
  <si>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</si>
  <si>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</si>
  <si>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</si>
  <si>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</si>
  <si>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</si>
  <si>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</si>
  <si>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</si>
  <si>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</si>
  <si>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</si>
  <si>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</si>
  <si>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</si>
  <si>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</si>
  <si>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</si>
  <si>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</si>
  <si>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</si>
  <si>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</si>
  <si>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</si>
  <si>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</si>
  <si>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</si>
  <si>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</si>
  <si>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</si>
  <si>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</si>
  <si>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</si>
  <si>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</si>
  <si>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</si>
  <si>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</si>
  <si>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</si>
  <si>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</si>
  <si>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</si>
  <si>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</si>
  <si>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</si>
  <si>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</si>
  <si>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</si>
  <si>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</si>
  <si>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</si>
  <si>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</si>
  <si>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</si>
  <si>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</si>
  <si>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</si>
  <si>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</si>
  <si>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</si>
  <si>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</si>
  <si>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</si>
  <si>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</si>
  <si>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</si>
  <si>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</si>
  <si>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</si>
  <si>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</si>
  <si>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</si>
  <si>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</si>
  <si>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</si>
  <si>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</si>
  <si>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</si>
  <si>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</si>
  <si>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</si>
  <si>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</si>
  <si>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</si>
  <si>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</si>
  <si>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</si>
  <si>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</si>
  <si>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</si>
  <si>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</si>
  <si>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</si>
  <si>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</si>
  <si>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</si>
  <si>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</si>
  <si>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</si>
  <si>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</si>
  <si>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</si>
  <si>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</si>
  <si>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</si>
  <si>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</si>
  <si>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</si>
  <si>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</si>
  <si>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</si>
  <si>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</si>
  <si>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</si>
  <si>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</si>
  <si>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</si>
  <si>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</si>
  <si>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</si>
  <si>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</si>
  <si>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</si>
  <si>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</si>
  <si>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</si>
  <si>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</si>
  <si>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</si>
  <si>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</si>
  <si>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</si>
  <si>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</si>
  <si>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</si>
  <si>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</si>
  <si>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</si>
  <si>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</si>
  <si>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</si>
  <si>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</si>
  <si>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</si>
  <si>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</si>
  <si>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</si>
  <si>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</si>
  <si>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</si>
  <si>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</si>
  <si>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</si>
  <si>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</si>
  <si>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</si>
  <si>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</si>
  <si>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</si>
  <si>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</si>
  <si>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</si>
  <si>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</si>
  <si>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</si>
  <si>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</si>
  <si>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</si>
  <si>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</si>
  <si>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</si>
  <si>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</si>
  <si>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</si>
  <si>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</si>
  <si>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</si>
  <si>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</si>
  <si>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</si>
  <si>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</si>
  <si>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</si>
  <si>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</si>
  <si>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</si>
  <si>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</si>
  <si>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</si>
  <si>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</si>
  <si>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</si>
  <si>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</si>
  <si>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</si>
  <si>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</si>
  <si>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</si>
  <si>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</si>
  <si>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</si>
  <si>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</si>
  <si>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</si>
  <si>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</si>
  <si>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</si>
  <si>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</si>
  <si>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</si>
  <si>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</si>
  <si>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</si>
  <si>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</si>
  <si>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</si>
  <si>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</si>
  <si>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</si>
  <si>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</si>
  <si>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</si>
  <si>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</si>
  <si>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</si>
  <si>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</si>
  <si>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</si>
  <si>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</si>
  <si>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</si>
  <si>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</si>
  <si>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</si>
  <si>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</si>
  <si>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</si>
  <si>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</si>
  <si>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</si>
  <si>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</si>
  <si>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</si>
  <si>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</si>
  <si>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</si>
  <si>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</si>
  <si>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</si>
  <si>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</si>
  <si>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</si>
  <si>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</si>
  <si>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</si>
  <si>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</si>
  <si>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</si>
  <si>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</si>
  <si>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</si>
  <si>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</si>
  <si>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</si>
  <si>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</si>
  <si>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</si>
  <si>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</si>
  <si>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</si>
  <si>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</si>
  <si>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</si>
  <si>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</si>
  <si>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</si>
  <si>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</si>
  <si>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</si>
  <si>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</si>
  <si>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</si>
  <si>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</si>
  <si>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</si>
  <si>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</si>
  <si>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</si>
  <si>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</si>
  <si>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</si>
  <si>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</si>
  <si>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</si>
  <si>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</si>
  <si>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</si>
  <si>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</si>
  <si>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</si>
  <si>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</si>
  <si>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</si>
  <si>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</si>
  <si>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</si>
  <si>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</si>
  <si>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</si>
  <si>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</si>
  <si>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</si>
  <si>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</si>
  <si>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</si>
  <si>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</si>
  <si>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</si>
  <si>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</si>
  <si>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</si>
  <si>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</si>
  <si>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</si>
  <si>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</si>
  <si>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</si>
  <si>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</si>
  <si>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</si>
  <si>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</si>
  <si>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</si>
  <si>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</si>
  <si>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</si>
  <si>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</si>
  <si>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</si>
  <si>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</si>
  <si>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</si>
  <si>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</si>
  <si>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</si>
  <si>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</si>
  <si>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</si>
  <si>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</si>
  <si>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</si>
  <si>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</si>
  <si>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</si>
  <si>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</si>
  <si>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</si>
  <si>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</si>
  <si>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</si>
  <si>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</si>
  <si>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</si>
  <si>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</si>
  <si>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</si>
  <si>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</si>
  <si>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</si>
  <si>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</si>
  <si>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</si>
  <si>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</si>
  <si>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</si>
  <si>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</si>
  <si>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</si>
  <si>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</si>
  <si>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</si>
  <si>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</si>
  <si>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</si>
  <si>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</si>
  <si>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</si>
  <si>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</si>
  <si>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</si>
  <si>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</si>
  <si>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</si>
  <si>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</si>
  <si>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</si>
  <si>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</si>
  <si>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</si>
  <si>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</si>
  <si>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</si>
  <si>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</si>
  <si>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</si>
  <si>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</si>
  <si>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</si>
  <si>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</si>
  <si>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</si>
  <si>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</si>
  <si>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</si>
  <si>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</si>
  <si>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</si>
  <si>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</si>
  <si>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</si>
  <si>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</si>
  <si>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</si>
  <si>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</si>
  <si>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</si>
  <si>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</si>
  <si>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</si>
  <si>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</si>
  <si>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</si>
  <si>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</si>
  <si>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</si>
  <si>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</si>
  <si>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</si>
  <si>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</si>
  <si>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</si>
  <si>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</si>
  <si>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</si>
  <si>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</si>
  <si>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</si>
  <si>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</si>
  <si>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</si>
  <si>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</si>
  <si>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</si>
  <si>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</si>
  <si>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</si>
  <si>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</si>
  <si>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</si>
  <si>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</si>
  <si>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</si>
  <si>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</si>
  <si>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</si>
  <si>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</si>
  <si>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</si>
  <si>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</si>
  <si>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</si>
  <si>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</si>
  <si>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</si>
  <si>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</si>
  <si>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</si>
  <si>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</si>
  <si>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</si>
  <si>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</si>
  <si>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</si>
  <si>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</si>
  <si>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</si>
  <si>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</si>
  <si>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</si>
  <si>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</si>
  <si>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</si>
  <si>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</si>
  <si>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</si>
  <si>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</si>
  <si>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</si>
  <si>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</si>
  <si>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</si>
  <si>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</si>
  <si>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</si>
  <si>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</si>
  <si>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</si>
  <si>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</si>
  <si>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</si>
  <si>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</si>
  <si>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</si>
  <si>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</si>
  <si>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</si>
  <si>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</si>
  <si>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</si>
  <si>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</si>
  <si>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</si>
  <si>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</si>
  <si>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</si>
  <si>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</si>
  <si>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</si>
  <si>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</si>
  <si>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</si>
  <si>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</si>
  <si>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</si>
  <si>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</si>
  <si>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</si>
  <si>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</si>
  <si>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</si>
  <si>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</si>
  <si>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</si>
  <si>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</si>
  <si>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Cook </t>
  </si>
  <si>
    <t>Moraine Area Career System</t>
  </si>
  <si>
    <t>4625 West 107th Street</t>
  </si>
  <si>
    <t>Oak Lawn</t>
  </si>
  <si>
    <t>canna@macspartnership.com</t>
  </si>
  <si>
    <t>Debbie Canna</t>
  </si>
  <si>
    <t>Worth</t>
  </si>
  <si>
    <t>Terry LaBella</t>
  </si>
  <si>
    <t>talabella@sbc.global.net</t>
  </si>
  <si>
    <t>708-952-9340</t>
  </si>
  <si>
    <t>RSM US LLP</t>
  </si>
  <si>
    <t>John George</t>
  </si>
  <si>
    <t>One South Wacker Drive Suite 800</t>
  </si>
  <si>
    <t>Chicago</t>
  </si>
  <si>
    <t>IL</t>
  </si>
  <si>
    <t>312-634-3400</t>
  </si>
  <si>
    <t>006-003346</t>
  </si>
  <si>
    <t>john.george@rsmus.com</t>
  </si>
  <si>
    <t>Dr. Vanessa Kinder</t>
  </si>
  <si>
    <t>vkinder@s-cook.org</t>
  </si>
  <si>
    <t>708-754-6600</t>
  </si>
  <si>
    <t>Worth Township Treasurer</t>
  </si>
  <si>
    <t>Audit Check issues #2 - all information entered properly</t>
  </si>
  <si>
    <t>Audit Check issues #10 - The System does not maintain a fund balance</t>
  </si>
  <si>
    <t>Audit Check issues #11 - The System does not receive on behalf payments</t>
  </si>
  <si>
    <t>Audit Check issues #13 - The System does not have contracts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</si>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</sst>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4" t="s">
        <v>1685</v>
      </c>
      <c r="B3" s="155"/>
      <c r="C3" s="155"/>
      <c r="D3" s="156"/>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3"/>
      <c r="C5" s="26" t="s">
        <v>966</v>
      </c>
      <c r="D5" s="84"/>
      <c r="E5" s="84"/>
      <c r="H5" s="38"/>
      <c r="I5" s="2007" t="s">
        <v>701</v>
      </c>
      <c r="J5" s="2006"/>
      <c r="K5" s="2006"/>
      <c r="L5" s="2006"/>
      <c r="M5" s="2006"/>
      <c r="N5" s="2006"/>
      <c r="O5" s="2006"/>
      <c r="P5" s="2006"/>
      <c r="Q5" s="2006"/>
      <c r="R5" s="2006"/>
      <c r="S5" s="2006"/>
    </row>
    <row r="6" spans="1:28" ht="14.1" customHeight="1" x14ac:dyDescent="0.2">
      <c r="B6" s="103" t="s">
        <v>2077</v>
      </c>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7"/>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8" t="s">
        <v>2077</v>
      </c>
      <c r="P12" s="100" t="s">
        <v>211</v>
      </c>
      <c r="Q12" s="74"/>
      <c r="R12" s="30"/>
      <c r="S12" s="30"/>
      <c r="T12" s="85" t="s">
        <v>283</v>
      </c>
      <c r="U12" s="51"/>
      <c r="V12" s="51"/>
      <c r="W12" s="51"/>
      <c r="X12" s="51"/>
      <c r="Y12" s="45"/>
      <c r="Z12" s="45"/>
      <c r="AA12" s="46"/>
    </row>
    <row r="13" spans="1:28" ht="13.5" customHeight="1" x14ac:dyDescent="0.2">
      <c r="A13" s="2032">
        <v>7016218046</v>
      </c>
      <c r="B13" s="2033"/>
      <c r="C13" s="2033"/>
      <c r="D13" s="2033"/>
      <c r="E13" s="2033"/>
      <c r="F13" s="2033"/>
      <c r="G13" s="2033"/>
      <c r="H13" s="2034"/>
      <c r="I13" s="31"/>
      <c r="J13" s="30"/>
      <c r="K13" s="28"/>
      <c r="L13" s="30"/>
      <c r="M13" s="30"/>
      <c r="N13" s="30"/>
      <c r="O13" s="30"/>
      <c r="P13" s="30"/>
      <c r="Q13" s="30"/>
      <c r="R13" s="30"/>
      <c r="S13" s="30"/>
      <c r="T13" s="2037" t="s">
        <v>2088</v>
      </c>
      <c r="U13" s="2038"/>
      <c r="V13" s="2038"/>
      <c r="W13" s="2038"/>
      <c r="X13" s="2038"/>
      <c r="Y13" s="2039"/>
      <c r="Z13" s="2039"/>
      <c r="AA13" s="2040"/>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1" t="s">
        <v>2078</v>
      </c>
      <c r="B15" s="2035"/>
      <c r="C15" s="2035"/>
      <c r="D15" s="2035"/>
      <c r="E15" s="2035"/>
      <c r="F15" s="2035"/>
      <c r="G15" s="2035"/>
      <c r="H15" s="2036"/>
      <c r="T15" s="2041" t="s">
        <v>2089</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2079</v>
      </c>
      <c r="B17" s="1992"/>
      <c r="C17" s="1992"/>
      <c r="D17" s="1992"/>
      <c r="E17" s="1992"/>
      <c r="F17" s="1992"/>
      <c r="G17" s="1992"/>
      <c r="H17" s="2017"/>
      <c r="T17" s="2048" t="s">
        <v>2090</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8" t="s">
        <v>698</v>
      </c>
      <c r="AA18" s="46"/>
    </row>
    <row r="19" spans="1:27" ht="13.5" customHeight="1" x14ac:dyDescent="0.2">
      <c r="A19" s="2031" t="s">
        <v>2080</v>
      </c>
      <c r="B19" s="1977"/>
      <c r="C19" s="1977"/>
      <c r="D19" s="1977"/>
      <c r="E19" s="1977"/>
      <c r="F19" s="1977"/>
      <c r="G19" s="1977"/>
      <c r="H19" s="1957"/>
      <c r="I19" s="30"/>
      <c r="J19" s="99"/>
      <c r="K19" s="40"/>
      <c r="L19" s="38"/>
      <c r="M19" s="111" t="s">
        <v>333</v>
      </c>
      <c r="P19" s="27"/>
      <c r="Q19" s="27"/>
      <c r="R19" s="27"/>
      <c r="S19" s="31"/>
      <c r="T19" s="2031" t="s">
        <v>2091</v>
      </c>
      <c r="U19" s="1956"/>
      <c r="V19" s="1956"/>
      <c r="W19" s="1957"/>
      <c r="X19" s="2046" t="s">
        <v>2092</v>
      </c>
      <c r="Y19" s="2047"/>
      <c r="Z19" s="2044">
        <v>60606</v>
      </c>
      <c r="AA19" s="2045"/>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5" t="s">
        <v>2081</v>
      </c>
      <c r="B21" s="1956"/>
      <c r="C21" s="1956"/>
      <c r="D21" s="1956"/>
      <c r="E21" s="1956"/>
      <c r="F21" s="1956"/>
      <c r="G21" s="1956"/>
      <c r="H21" s="1957"/>
      <c r="I21" s="2011" t="s">
        <v>699</v>
      </c>
      <c r="J21" s="2006"/>
      <c r="K21" s="2006"/>
      <c r="L21" s="2006"/>
      <c r="M21" s="2006"/>
      <c r="N21" s="2006"/>
      <c r="O21" s="2006"/>
      <c r="P21" s="2006"/>
      <c r="Q21" s="2006"/>
      <c r="R21" s="2006"/>
      <c r="S21" s="2012"/>
      <c r="T21" s="2055" t="s">
        <v>2093</v>
      </c>
      <c r="U21" s="2056"/>
      <c r="V21" s="2056"/>
      <c r="W21" s="2056"/>
      <c r="X21" s="2061"/>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59" t="s">
        <v>1385</v>
      </c>
      <c r="Z22" s="45"/>
      <c r="AA22" s="46"/>
    </row>
    <row r="23" spans="1:27" ht="13.5" customHeight="1" x14ac:dyDescent="0.2">
      <c r="A23" s="2008" t="s">
        <v>2082</v>
      </c>
      <c r="B23" s="2009"/>
      <c r="C23" s="2009"/>
      <c r="D23" s="2009"/>
      <c r="E23" s="2009"/>
      <c r="F23" s="2009"/>
      <c r="G23" s="2009"/>
      <c r="H23" s="2010"/>
      <c r="T23" s="1991" t="s">
        <v>2094</v>
      </c>
      <c r="U23" s="2054"/>
      <c r="V23" s="2054"/>
      <c r="W23" s="2054"/>
      <c r="X23" s="2058"/>
      <c r="Y23" s="2059"/>
      <c r="Z23" s="2059"/>
      <c r="AA23" s="2060"/>
    </row>
    <row r="24" spans="1:27" ht="14.1" customHeight="1" x14ac:dyDescent="0.2">
      <c r="A24" s="88" t="s">
        <v>698</v>
      </c>
      <c r="B24" s="49"/>
      <c r="C24" s="49"/>
      <c r="D24" s="49"/>
      <c r="E24" s="49"/>
      <c r="F24" s="49"/>
      <c r="G24" s="49"/>
      <c r="H24" s="61"/>
      <c r="J24" s="1978" t="str">
        <f>IF(B5="x",IF(AUDITCHECK!D29="AFR form Incomplete.","",IF(AUDITCHECK!D29="Deficit reduction plan is required.","School District must complete a deficit reduction plan in the 2018-2019 Budget",)),"")</f>
        <v/>
      </c>
      <c r="K24" s="1978"/>
      <c r="L24" s="1978"/>
      <c r="M24" s="1978"/>
      <c r="N24" s="1978"/>
      <c r="O24" s="1978"/>
      <c r="P24" s="1978"/>
      <c r="Q24" s="1978"/>
      <c r="R24" s="1978"/>
      <c r="S24" s="1979"/>
      <c r="T24" s="104" t="s">
        <v>552</v>
      </c>
      <c r="U24" s="105"/>
      <c r="V24" s="105"/>
      <c r="W24" s="105"/>
      <c r="X24" s="106"/>
      <c r="Y24" s="106"/>
      <c r="Z24" s="106"/>
      <c r="AA24" s="107"/>
    </row>
    <row r="25" spans="1:27" ht="14.1" customHeight="1" x14ac:dyDescent="0.2">
      <c r="A25" s="1955">
        <v>60453</v>
      </c>
      <c r="B25" s="1956"/>
      <c r="C25" s="1956"/>
      <c r="D25" s="1956"/>
      <c r="E25" s="1956"/>
      <c r="F25" s="1956"/>
      <c r="G25" s="1956"/>
      <c r="H25" s="1957"/>
      <c r="I25" s="112"/>
      <c r="J25" s="1980"/>
      <c r="K25" s="1980"/>
      <c r="L25" s="1980"/>
      <c r="M25" s="1980"/>
      <c r="N25" s="1980"/>
      <c r="O25" s="1980"/>
      <c r="P25" s="1980"/>
      <c r="Q25" s="1980"/>
      <c r="R25" s="1980"/>
      <c r="S25" s="1981"/>
      <c r="T25" s="2051" t="s">
        <v>2095</v>
      </c>
      <c r="U25" s="2052"/>
      <c r="V25" s="2052"/>
      <c r="W25" s="2052"/>
      <c r="X25" s="2052"/>
      <c r="Y25" s="2052"/>
      <c r="Z25" s="2052"/>
      <c r="AA25" s="205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66" t="s">
        <v>1591</v>
      </c>
      <c r="J27" s="1967"/>
      <c r="K27" s="1967"/>
      <c r="L27" s="1967"/>
      <c r="M27" s="1967"/>
      <c r="N27" s="1967"/>
      <c r="O27" s="1967"/>
      <c r="P27" s="1967"/>
      <c r="Q27" s="1967"/>
      <c r="R27" s="1967"/>
      <c r="S27" s="1968"/>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2077</v>
      </c>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t="s">
        <v>2084</v>
      </c>
      <c r="Q35" s="1956"/>
      <c r="R35" s="195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1" t="s">
        <v>2083</v>
      </c>
      <c r="B38" s="1992"/>
      <c r="C38" s="1992"/>
      <c r="D38" s="1992"/>
      <c r="E38" s="1992"/>
      <c r="F38" s="1956"/>
      <c r="G38" s="1956"/>
      <c r="H38" s="1957"/>
      <c r="I38" s="1984" t="s">
        <v>2085</v>
      </c>
      <c r="J38" s="1985"/>
      <c r="K38" s="1985"/>
      <c r="L38" s="1985"/>
      <c r="M38" s="1985"/>
      <c r="N38" s="1985"/>
      <c r="O38" s="1985"/>
      <c r="P38" s="1986"/>
      <c r="Q38" s="1986"/>
      <c r="R38" s="1986"/>
      <c r="S38" s="1987"/>
      <c r="T38" s="2041" t="s">
        <v>2096</v>
      </c>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2082</v>
      </c>
      <c r="B40" s="1970"/>
      <c r="C40" s="1971"/>
      <c r="D40" s="1971"/>
      <c r="E40" s="1971"/>
      <c r="F40" s="1972"/>
      <c r="G40" s="1972"/>
      <c r="H40" s="1973"/>
      <c r="I40" s="1994" t="s">
        <v>2086</v>
      </c>
      <c r="J40" s="1995"/>
      <c r="K40" s="1995"/>
      <c r="L40" s="1995"/>
      <c r="M40" s="1995"/>
      <c r="N40" s="1995"/>
      <c r="O40" s="1995"/>
      <c r="P40" s="1995"/>
      <c r="Q40" s="1995"/>
      <c r="R40" s="1995"/>
      <c r="S40" s="1996"/>
      <c r="T40" s="1994" t="s">
        <v>2097</v>
      </c>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c r="B42" s="1975"/>
      <c r="C42" s="1976"/>
      <c r="D42" s="1974"/>
      <c r="E42" s="1975"/>
      <c r="F42" s="1975"/>
      <c r="G42" s="1975"/>
      <c r="H42" s="1976"/>
      <c r="I42" s="1958" t="s">
        <v>2087</v>
      </c>
      <c r="J42" s="1959"/>
      <c r="K42" s="1959"/>
      <c r="L42" s="1959"/>
      <c r="M42" s="1959"/>
      <c r="N42" s="1959"/>
      <c r="O42" s="1960"/>
      <c r="P42" s="1993"/>
      <c r="Q42" s="1959"/>
      <c r="R42" s="1959"/>
      <c r="S42" s="1960"/>
      <c r="T42" s="1958" t="s">
        <v>2098</v>
      </c>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7" t="s">
        <v>1125</v>
      </c>
      <c r="B35" s="2067"/>
      <c r="C35" s="2067"/>
      <c r="D35" s="2067"/>
      <c r="E35" s="206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9" sqref="D11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8" t="s">
        <v>1230</v>
      </c>
      <c r="B2" s="2068"/>
      <c r="C2" s="2068"/>
      <c r="D2" s="2068"/>
      <c r="E2" s="2068"/>
      <c r="F2" s="2068"/>
      <c r="G2" s="2068"/>
      <c r="H2" s="2068"/>
      <c r="I2" s="2068"/>
      <c r="J2" s="2068"/>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2" t="s">
        <v>1731</v>
      </c>
      <c r="B35" s="2083"/>
      <c r="C35" s="2083"/>
      <c r="D35" s="2083"/>
      <c r="E35" s="2084"/>
      <c r="F35" s="2084"/>
      <c r="G35" s="2084"/>
      <c r="H35" s="2084"/>
      <c r="I35" s="2084"/>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2" t="s">
        <v>331</v>
      </c>
      <c r="B47" s="2085"/>
      <c r="C47" s="2085"/>
      <c r="D47" s="2085"/>
      <c r="E47" s="2086"/>
      <c r="F47" s="2086"/>
      <c r="G47" s="2086"/>
      <c r="H47" s="2086"/>
      <c r="I47" s="2086"/>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9"/>
      <c r="C57" s="2090"/>
      <c r="D57" s="2090"/>
      <c r="E57" s="2090"/>
      <c r="F57" s="2090"/>
      <c r="G57" s="2090"/>
      <c r="H57" s="2090"/>
      <c r="I57" s="2090"/>
      <c r="J57" s="2091"/>
    </row>
    <row r="58" spans="1:10" s="180" customFormat="1" x14ac:dyDescent="0.2">
      <c r="A58" s="252"/>
      <c r="B58" s="2092"/>
      <c r="C58" s="2093"/>
      <c r="D58" s="2093"/>
      <c r="E58" s="2093"/>
      <c r="F58" s="2093"/>
      <c r="G58" s="2093"/>
      <c r="H58" s="2093"/>
      <c r="I58" s="2093"/>
      <c r="J58" s="2094"/>
    </row>
    <row r="59" spans="1:10" s="180" customFormat="1" x14ac:dyDescent="0.2">
      <c r="A59" s="252"/>
      <c r="B59" s="2092"/>
      <c r="C59" s="2093"/>
      <c r="D59" s="2093"/>
      <c r="E59" s="2093"/>
      <c r="F59" s="2093"/>
      <c r="G59" s="2093"/>
      <c r="H59" s="2093"/>
      <c r="I59" s="2093"/>
      <c r="J59" s="2094"/>
    </row>
    <row r="60" spans="1:10" s="180" customFormat="1" x14ac:dyDescent="0.2">
      <c r="A60" s="252"/>
      <c r="B60" s="2092"/>
      <c r="C60" s="2093"/>
      <c r="D60" s="2093"/>
      <c r="E60" s="2093"/>
      <c r="F60" s="2093"/>
      <c r="G60" s="2093"/>
      <c r="H60" s="2093"/>
      <c r="I60" s="2093"/>
      <c r="J60" s="2094"/>
    </row>
    <row r="61" spans="1:10" s="180" customFormat="1" x14ac:dyDescent="0.2">
      <c r="A61" s="252"/>
      <c r="B61" s="2092"/>
      <c r="C61" s="2093"/>
      <c r="D61" s="2093"/>
      <c r="E61" s="2093"/>
      <c r="F61" s="2093"/>
      <c r="G61" s="2093"/>
      <c r="H61" s="2093"/>
      <c r="I61" s="2093"/>
      <c r="J61" s="2094"/>
    </row>
    <row r="62" spans="1:10" s="180" customFormat="1" x14ac:dyDescent="0.2">
      <c r="A62" s="252"/>
      <c r="B62" s="2092"/>
      <c r="C62" s="2093"/>
      <c r="D62" s="2093"/>
      <c r="E62" s="2093"/>
      <c r="F62" s="2093"/>
      <c r="G62" s="2093"/>
      <c r="H62" s="2093"/>
      <c r="I62" s="2093"/>
      <c r="J62" s="2094"/>
    </row>
    <row r="63" spans="1:10" s="180" customFormat="1" x14ac:dyDescent="0.2">
      <c r="A63" s="252"/>
      <c r="B63" s="2092"/>
      <c r="C63" s="2093"/>
      <c r="D63" s="2093"/>
      <c r="E63" s="2093"/>
      <c r="F63" s="2093"/>
      <c r="G63" s="2093"/>
      <c r="H63" s="2093"/>
      <c r="I63" s="2093"/>
      <c r="J63" s="2094"/>
    </row>
    <row r="64" spans="1:10" s="180" customFormat="1" x14ac:dyDescent="0.2">
      <c r="A64" s="252"/>
      <c r="B64" s="2092"/>
      <c r="C64" s="2093"/>
      <c r="D64" s="2093"/>
      <c r="E64" s="2093"/>
      <c r="F64" s="2093"/>
      <c r="G64" s="2093"/>
      <c r="H64" s="2093"/>
      <c r="I64" s="2093"/>
      <c r="J64" s="2094"/>
    </row>
    <row r="65" spans="1:10" s="180" customFormat="1" x14ac:dyDescent="0.2">
      <c r="A65" s="252"/>
      <c r="B65" s="2092"/>
      <c r="C65" s="2093"/>
      <c r="D65" s="2093"/>
      <c r="E65" s="2093"/>
      <c r="F65" s="2093"/>
      <c r="G65" s="2093"/>
      <c r="H65" s="2093"/>
      <c r="I65" s="2093"/>
      <c r="J65" s="2094"/>
    </row>
    <row r="66" spans="1:10" s="180" customFormat="1" x14ac:dyDescent="0.2">
      <c r="A66" s="252"/>
      <c r="B66" s="2092"/>
      <c r="C66" s="2093"/>
      <c r="D66" s="2093"/>
      <c r="E66" s="2093"/>
      <c r="F66" s="2093"/>
      <c r="G66" s="2093"/>
      <c r="H66" s="2093"/>
      <c r="I66" s="2093"/>
      <c r="J66" s="2094"/>
    </row>
    <row r="67" spans="1:10" s="180" customFormat="1" ht="9" customHeight="1" x14ac:dyDescent="0.2">
      <c r="A67" s="253"/>
      <c r="B67" s="2095"/>
      <c r="C67" s="2096"/>
      <c r="D67" s="2096"/>
      <c r="E67" s="2096"/>
      <c r="F67" s="2096"/>
      <c r="G67" s="2096"/>
      <c r="H67" s="2096"/>
      <c r="I67" s="2096"/>
      <c r="J67" s="209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2" t="s">
        <v>1390</v>
      </c>
      <c r="B70" s="2085"/>
      <c r="C70" s="2085"/>
      <c r="D70" s="2085"/>
      <c r="E70" s="2086"/>
      <c r="F70" s="2086"/>
      <c r="G70" s="2086"/>
      <c r="H70" s="2086"/>
      <c r="I70" s="2086"/>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7" t="s">
        <v>1387</v>
      </c>
      <c r="B83" s="2087"/>
      <c r="C83" s="2087"/>
      <c r="D83" s="2088"/>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9"/>
      <c r="C102" s="2070"/>
      <c r="D102" s="2070"/>
      <c r="E102" s="2070"/>
      <c r="F102" s="2070"/>
      <c r="G102" s="2070"/>
      <c r="H102" s="2070"/>
      <c r="I102" s="2071"/>
    </row>
    <row r="103" spans="1:9" s="180" customFormat="1" ht="11.25" customHeight="1" x14ac:dyDescent="0.2">
      <c r="A103" s="315"/>
      <c r="B103" s="2072"/>
      <c r="C103" s="2073"/>
      <c r="D103" s="2073"/>
      <c r="E103" s="2073"/>
      <c r="F103" s="2073"/>
      <c r="G103" s="2073"/>
      <c r="H103" s="2073"/>
      <c r="I103" s="2074"/>
    </row>
    <row r="104" spans="1:9" s="180" customFormat="1" ht="11.25" customHeight="1" x14ac:dyDescent="0.2">
      <c r="A104" s="315"/>
      <c r="B104" s="2072"/>
      <c r="C104" s="2073"/>
      <c r="D104" s="2073"/>
      <c r="E104" s="2073"/>
      <c r="F104" s="2073"/>
      <c r="G104" s="2073"/>
      <c r="H104" s="2073"/>
      <c r="I104" s="2074"/>
    </row>
    <row r="105" spans="1:9" s="180" customFormat="1" x14ac:dyDescent="0.2">
      <c r="A105" s="315"/>
      <c r="B105" s="2072"/>
      <c r="C105" s="2073"/>
      <c r="D105" s="2073"/>
      <c r="E105" s="2073"/>
      <c r="F105" s="2073"/>
      <c r="G105" s="2073"/>
      <c r="H105" s="2073"/>
      <c r="I105" s="2074"/>
    </row>
    <row r="106" spans="1:9" s="180" customFormat="1" ht="11.25" customHeight="1" x14ac:dyDescent="0.2">
      <c r="A106" s="315"/>
      <c r="B106" s="2072"/>
      <c r="C106" s="2073"/>
      <c r="D106" s="2073"/>
      <c r="E106" s="2073"/>
      <c r="F106" s="2073"/>
      <c r="G106" s="2073"/>
      <c r="H106" s="2073"/>
      <c r="I106" s="2074"/>
    </row>
    <row r="107" spans="1:9" s="180" customFormat="1" ht="11.25" customHeight="1" x14ac:dyDescent="0.2">
      <c r="A107" s="315"/>
      <c r="B107" s="2072"/>
      <c r="C107" s="2073"/>
      <c r="D107" s="2073"/>
      <c r="E107" s="2073"/>
      <c r="F107" s="2073"/>
      <c r="G107" s="2073"/>
      <c r="H107" s="2073"/>
      <c r="I107" s="2074"/>
    </row>
    <row r="108" spans="1:9" s="180" customFormat="1" ht="11.25" customHeight="1" x14ac:dyDescent="0.2">
      <c r="A108" s="315"/>
      <c r="B108" s="2072"/>
      <c r="C108" s="2073"/>
      <c r="D108" s="2073"/>
      <c r="E108" s="2073"/>
      <c r="F108" s="2073"/>
      <c r="G108" s="2073"/>
      <c r="H108" s="2073"/>
      <c r="I108" s="2074"/>
    </row>
    <row r="109" spans="1:9" s="180" customFormat="1" ht="11.25" customHeight="1" x14ac:dyDescent="0.2">
      <c r="A109" s="315"/>
      <c r="B109" s="2072"/>
      <c r="C109" s="2073"/>
      <c r="D109" s="2073"/>
      <c r="E109" s="2073"/>
      <c r="F109" s="2073"/>
      <c r="G109" s="2073"/>
      <c r="H109" s="2073"/>
      <c r="I109" s="2074"/>
    </row>
    <row r="110" spans="1:9" s="180" customFormat="1" ht="11.25" customHeight="1" x14ac:dyDescent="0.2">
      <c r="A110" s="315"/>
      <c r="B110" s="2072"/>
      <c r="C110" s="2073"/>
      <c r="D110" s="2073"/>
      <c r="E110" s="2073"/>
      <c r="F110" s="2073"/>
      <c r="G110" s="2073"/>
      <c r="H110" s="2073"/>
      <c r="I110" s="2074"/>
    </row>
    <row r="111" spans="1:9" s="180" customFormat="1" ht="11.25" customHeight="1" x14ac:dyDescent="0.2">
      <c r="A111" s="315"/>
      <c r="B111" s="2072"/>
      <c r="C111" s="2073"/>
      <c r="D111" s="2073"/>
      <c r="E111" s="2073"/>
      <c r="F111" s="2073"/>
      <c r="G111" s="2073"/>
      <c r="H111" s="2073"/>
      <c r="I111" s="2074"/>
    </row>
    <row r="112" spans="1:9" s="180" customFormat="1" ht="11.25" customHeight="1" x14ac:dyDescent="0.2">
      <c r="A112" s="315"/>
      <c r="B112" s="2075"/>
      <c r="C112" s="2076"/>
      <c r="D112" s="2076"/>
      <c r="E112" s="2076"/>
      <c r="F112" s="2076"/>
      <c r="G112" s="2076"/>
      <c r="H112" s="2076"/>
      <c r="I112" s="207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8"/>
      <c r="D114" s="2078"/>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9" t="s">
        <v>1397</v>
      </c>
      <c r="D117" s="2080"/>
      <c r="E117" s="2081"/>
      <c r="F117" s="2081"/>
      <c r="G117" s="2081"/>
      <c r="H117" s="2081"/>
      <c r="I117" s="303"/>
    </row>
    <row r="118" spans="1:9" s="180" customFormat="1" ht="24" customHeight="1" x14ac:dyDescent="0.2">
      <c r="A118" s="315"/>
      <c r="B118" s="315"/>
      <c r="C118" s="315"/>
      <c r="D118" s="322" t="s">
        <v>2088</v>
      </c>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55" sqref="A55"/>
    </sheetView>
  </sheetViews>
  <sheetFormatPr defaultColWidth="9.140625" defaultRowHeight="12" x14ac:dyDescent="0.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x14ac:dyDescent="0.2">
      <c r="A1" s="2098" t="s">
        <v>404</v>
      </c>
      <c r="B1" s="2098"/>
      <c r="C1" s="2098"/>
      <c r="D1" s="2098"/>
      <c r="E1" s="2098"/>
      <c r="F1" s="2098"/>
      <c r="G1" s="2098"/>
      <c r="H1" s="2098"/>
      <c r="I1" s="2098"/>
      <c r="J1" s="2098"/>
      <c r="K1" s="2098"/>
      <c r="L1" s="2098"/>
      <c r="M1" s="2098"/>
      <c r="N1" s="345"/>
    </row>
    <row r="2" spans="1:14" ht="11.1"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c r="E10" s="355" t="s">
        <v>1062</v>
      </c>
      <c r="F10" s="354"/>
      <c r="G10" s="355" t="s">
        <v>1062</v>
      </c>
      <c r="H10" s="354"/>
      <c r="I10" s="355" t="s">
        <v>1063</v>
      </c>
      <c r="J10" s="1753">
        <f>ROUND(D10+F10+H10,5)</f>
        <v>0</v>
      </c>
      <c r="K10" s="221"/>
      <c r="L10" s="354"/>
      <c r="M10" s="221"/>
    </row>
    <row r="11" spans="1:14" ht="7.5" customHeight="1" x14ac:dyDescent="0.2">
      <c r="B11" s="221"/>
      <c r="C11" s="221"/>
      <c r="D11" s="2108" t="str">
        <f>IF(SUM(J10)&lt;=0.0999999,"","Enter the Tax Rates by moving the decimal two places to the left.")</f>
        <v/>
      </c>
      <c r="E11" s="2109"/>
      <c r="F11" s="2109"/>
      <c r="G11" s="2109"/>
      <c r="H11" s="2109"/>
      <c r="I11" s="2109"/>
      <c r="J11" s="210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1761459</v>
      </c>
      <c r="E16" s="355"/>
      <c r="F16" s="1754">
        <f>SUM('Acct Summary 7-8'!C17,'Acct Summary 7-8'!D17,'Acct Summary 7-8'!F17)</f>
        <v>1761459</v>
      </c>
      <c r="G16" s="355"/>
      <c r="H16" s="1754">
        <f>SUM(D16-F16)</f>
        <v>0</v>
      </c>
      <c r="I16" s="221"/>
      <c r="J16" s="1754">
        <f>SUM('Acct Summary 7-8'!C81,'Acct Summary 7-8'!D81,'Acct Summary 7-8'!F81,'Acct Summary 7-8'!I81)</f>
        <v>0</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c r="C31" s="366" t="s">
        <v>607</v>
      </c>
      <c r="D31" s="236" t="s">
        <v>1132</v>
      </c>
      <c r="E31" s="221"/>
      <c r="F31" s="221"/>
      <c r="G31" s="362"/>
      <c r="H31" s="1756" t="str">
        <f>IF(B31="X",(J7*0.069),IF(B32="X",(J7*0.138),"Enter x in a.or b."))</f>
        <v>Enter x in a.or b.</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9"/>
      <c r="C54" s="2100"/>
      <c r="D54" s="2100"/>
      <c r="E54" s="2100"/>
      <c r="F54" s="2100"/>
      <c r="G54" s="2100"/>
      <c r="H54" s="2100"/>
      <c r="I54" s="2100"/>
      <c r="J54" s="2100"/>
      <c r="K54" s="2100"/>
      <c r="L54" s="2101"/>
      <c r="M54" s="379"/>
    </row>
    <row r="55" spans="1:13" ht="12.75" customHeight="1" x14ac:dyDescent="0.2">
      <c r="B55" s="2102"/>
      <c r="C55" s="2103"/>
      <c r="D55" s="2103"/>
      <c r="E55" s="2103"/>
      <c r="F55" s="2103"/>
      <c r="G55" s="2103"/>
      <c r="H55" s="2103"/>
      <c r="I55" s="2103"/>
      <c r="J55" s="2103"/>
      <c r="K55" s="2103"/>
      <c r="L55" s="2104"/>
      <c r="M55" s="379"/>
    </row>
    <row r="56" spans="1:13" ht="12.75" customHeight="1" x14ac:dyDescent="0.2">
      <c r="B56" s="2102"/>
      <c r="C56" s="2103"/>
      <c r="D56" s="2103"/>
      <c r="E56" s="2103"/>
      <c r="F56" s="2103"/>
      <c r="G56" s="2103"/>
      <c r="H56" s="2103"/>
      <c r="I56" s="2103"/>
      <c r="J56" s="2103"/>
      <c r="K56" s="2103"/>
      <c r="L56" s="2104"/>
      <c r="M56" s="221"/>
    </row>
    <row r="57" spans="1:13" ht="12.75" customHeight="1" x14ac:dyDescent="0.2">
      <c r="B57" s="2102"/>
      <c r="C57" s="2103"/>
      <c r="D57" s="2103"/>
      <c r="E57" s="2103"/>
      <c r="F57" s="2103"/>
      <c r="G57" s="2103"/>
      <c r="H57" s="2103"/>
      <c r="I57" s="2103"/>
      <c r="J57" s="2103"/>
      <c r="K57" s="2103"/>
      <c r="L57" s="2104"/>
      <c r="M57" s="221"/>
    </row>
    <row r="58" spans="1:13" x14ac:dyDescent="0.2">
      <c r="B58" s="2105"/>
      <c r="C58" s="2106"/>
      <c r="D58" s="2106"/>
      <c r="E58" s="2106"/>
      <c r="F58" s="2106"/>
      <c r="G58" s="2106"/>
      <c r="H58" s="2106"/>
      <c r="I58" s="2106"/>
      <c r="J58" s="2106"/>
      <c r="K58" s="2106"/>
      <c r="L58" s="210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0"/>
      <c r="D61" s="211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7" zoomScale="110" zoomScaleNormal="110" workbookViewId="0">
      <selection activeCell="D27" sqref="D27"/>
    </sheetView>
  </sheetViews>
  <sheetFormatPr defaultColWidth="9.140625" defaultRowHeight="12" x14ac:dyDescent="0.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x14ac:dyDescent="0.2">
      <c r="A1" s="2113"/>
      <c r="B1" s="2114"/>
      <c r="C1" s="2114"/>
      <c r="D1" s="383"/>
      <c r="E1" s="383"/>
      <c r="F1" s="383"/>
      <c r="G1" s="383"/>
      <c r="H1" s="383"/>
      <c r="I1" s="383"/>
      <c r="J1" s="383"/>
      <c r="K1" s="383"/>
      <c r="L1" s="383"/>
      <c r="M1" s="383"/>
      <c r="N1" s="383"/>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Moraine Area Career System</v>
      </c>
      <c r="E7" s="390"/>
      <c r="G7" s="251"/>
      <c r="H7" s="386"/>
      <c r="I7" s="386"/>
      <c r="J7" s="386"/>
      <c r="K7" s="386"/>
      <c r="L7" s="328"/>
      <c r="M7" s="328"/>
      <c r="N7" s="328"/>
      <c r="O7" s="328"/>
      <c r="P7" s="328"/>
    </row>
    <row r="8" spans="1:18" ht="12.75" x14ac:dyDescent="0.2">
      <c r="A8" s="328"/>
      <c r="B8" s="328"/>
      <c r="C8" s="388" t="s">
        <v>1187</v>
      </c>
      <c r="D8" s="391">
        <f>COVER!A13</f>
        <v>7016218046</v>
      </c>
      <c r="E8" s="392"/>
      <c r="G8" s="328"/>
      <c r="H8" s="328"/>
      <c r="I8" s="328"/>
      <c r="J8" s="328"/>
      <c r="K8" s="328"/>
      <c r="L8" s="328"/>
      <c r="M8" s="328"/>
      <c r="N8" s="328"/>
      <c r="O8" s="328"/>
      <c r="P8" s="328"/>
    </row>
    <row r="9" spans="1:18" ht="12.75" x14ac:dyDescent="0.2">
      <c r="A9" s="328"/>
      <c r="B9" s="328"/>
      <c r="C9" s="388" t="s">
        <v>737</v>
      </c>
      <c r="D9" s="393" t="str">
        <f>COVER!A15</f>
        <v xml:space="preserve">Cook </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2</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0</v>
      </c>
      <c r="I12" s="403"/>
      <c r="J12" s="403"/>
      <c r="K12" s="404">
        <f>TRUNC((H12/H13*100000),5)/100000</f>
        <v>0</v>
      </c>
      <c r="L12" s="405"/>
      <c r="M12" s="359" t="s">
        <v>1206</v>
      </c>
      <c r="N12" s="359"/>
      <c r="O12" s="406">
        <v>0.35</v>
      </c>
      <c r="P12" s="217"/>
      <c r="Q12" s="217"/>
    </row>
    <row r="13" spans="1:18" s="407" customFormat="1" ht="12.75" x14ac:dyDescent="0.2">
      <c r="A13" s="217"/>
      <c r="B13" s="400"/>
      <c r="C13" s="2115" t="s">
        <v>1391</v>
      </c>
      <c r="D13" s="2116"/>
      <c r="E13" s="217"/>
      <c r="F13" s="408" t="s">
        <v>826</v>
      </c>
      <c r="G13" s="401"/>
      <c r="H13" s="402">
        <f>SUM('Acct Summary 7-8'!C8+'Acct Summary 7-8'!D8+'Acct Summary 7-8'!F8+'Acct Summary 7-8'!I8)+H14</f>
        <v>1761459</v>
      </c>
      <c r="I13" s="403"/>
      <c r="J13" s="403"/>
      <c r="K13" s="409"/>
      <c r="L13" s="217"/>
      <c r="M13" s="359" t="s">
        <v>1207</v>
      </c>
      <c r="N13" s="359"/>
      <c r="O13" s="410">
        <f>(O11*O12)</f>
        <v>0.7</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1761459</v>
      </c>
      <c r="I17" s="403"/>
      <c r="J17" s="415"/>
      <c r="K17" s="404">
        <f>TRUNC((H17/H18*100000),5)/100000</f>
        <v>1</v>
      </c>
      <c r="L17" s="405"/>
      <c r="M17" s="416" t="s">
        <v>1233</v>
      </c>
      <c r="O17" s="417" t="str">
        <f>IF(AND(O16="2", J20 &gt; 2),"1",IF(AND(O16 = "1", J20 &gt; 2),"2",IF(AND(O16="1", J20 &gt;1),"1","0")))</f>
        <v>0</v>
      </c>
      <c r="P17" s="217"/>
    </row>
    <row r="18" spans="1:18" s="407" customFormat="1" ht="11.25" x14ac:dyDescent="0.2">
      <c r="A18" s="217"/>
      <c r="B18" s="400"/>
      <c r="C18" s="2115" t="s">
        <v>1384</v>
      </c>
      <c r="D18" s="2116"/>
      <c r="E18" s="217"/>
      <c r="F18" s="418" t="s">
        <v>827</v>
      </c>
      <c r="G18" s="401"/>
      <c r="H18" s="402">
        <f>SUM('Acct Summary 7-8'!C8+'Acct Summary 7-8'!D8+'Acct Summary 7-8'!F8+'Acct Summary 7-8'!I8)+H19</f>
        <v>1761459</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f>IF(K24&gt;=180,"4",IF(K24&gt;=90,"3",IF(K24&gt;=30,"2",1)))</f>
        <v>1</v>
      </c>
      <c r="P23" s="215"/>
      <c r="R23" s="383"/>
    </row>
    <row r="24" spans="1:18" s="407" customFormat="1" ht="11.25" x14ac:dyDescent="0.2">
      <c r="A24" s="217"/>
      <c r="B24" s="400"/>
      <c r="C24" s="2112" t="s">
        <v>1479</v>
      </c>
      <c r="D24" s="2112"/>
      <c r="E24" s="217"/>
      <c r="F24" s="217" t="s">
        <v>465</v>
      </c>
      <c r="G24" s="401"/>
      <c r="H24" s="402">
        <f>SUM('Assets-Liab 5-6'!C4+'Assets-Liab 5-6'!D4+'Assets-Liab 5-6'!F4+'Assets-Liab 5-6'!I4+'Assets-Liab 5-6'!C5+'Assets-Liab 5-6'!D5+'Assets-Liab 5-6'!F5+'Assets-Liab 5-6'!I5)</f>
        <v>132288</v>
      </c>
      <c r="I24" s="421"/>
      <c r="J24" s="421"/>
      <c r="K24" s="422">
        <f>TRUNC(((H24/H25*100000)/100000),2)</f>
        <v>27.03</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4892.9416700000002</v>
      </c>
      <c r="I25" s="424"/>
      <c r="J25" s="424"/>
      <c r="K25" s="409"/>
      <c r="L25" s="217"/>
      <c r="M25" s="359" t="s">
        <v>1207</v>
      </c>
      <c r="N25" s="359"/>
      <c r="O25" s="410">
        <f>O23*O24</f>
        <v>0.1</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x14ac:dyDescent="0.2">
      <c r="A32" s="217"/>
      <c r="B32" s="400"/>
      <c r="C32" s="217" t="s">
        <v>902</v>
      </c>
      <c r="D32" s="217"/>
      <c r="E32" s="217"/>
      <c r="F32" s="217"/>
      <c r="G32" s="401"/>
      <c r="H32" s="402">
        <f>'FP Info 3'!H37</f>
        <v>0</v>
      </c>
      <c r="I32" s="419"/>
      <c r="J32" s="419"/>
      <c r="K32" s="422" t="e">
        <f>TRUNC(100-((((H32/H33*100))*100)/100),2)</f>
        <v>#VALUE!</v>
      </c>
      <c r="L32" s="405"/>
      <c r="M32" s="359" t="s">
        <v>1206</v>
      </c>
      <c r="N32" s="359"/>
      <c r="O32" s="433">
        <v>0.1</v>
      </c>
    </row>
    <row r="33" spans="1:17" s="407" customFormat="1" ht="11.25" x14ac:dyDescent="0.2">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t="e">
        <f>(O13+O20+O25+O29+O33)</f>
        <v>#DIV/0!</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23" activePane="bottomLeft" state="frozen"/>
      <selection activeCell="K114" sqref="K114"/>
      <selection pane="bottomLeft" activeCell="M40" sqref="M40"/>
    </sheetView>
  </sheetViews>
  <sheetFormatPr defaultColWidth="9.140625" defaultRowHeight="12.75" x14ac:dyDescent="0.2"/>
  <cols>
    <col min="1" max="1" width="47.42578125" style="500" customWidth="1"/>
    <col min="2" max="2" width="4.5703125" style="501" customWidth="1"/>
    <col min="3" max="14" width="13.5703125" style="456" customWidth="1"/>
    <col min="15" max="16384" width="9.140625" style="456"/>
  </cols>
  <sheetData>
    <row r="1" spans="1:14" x14ac:dyDescent="0.2">
      <c r="A1" s="2120"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1"/>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2" t="s">
        <v>1030</v>
      </c>
      <c r="B3" s="2123"/>
      <c r="C3" s="1580"/>
      <c r="D3" s="1581"/>
      <c r="E3" s="1581"/>
      <c r="F3" s="1581"/>
      <c r="G3" s="1581"/>
      <c r="H3" s="1581"/>
      <c r="I3" s="1581"/>
      <c r="J3" s="1581"/>
      <c r="K3" s="1581"/>
      <c r="L3" s="1581"/>
      <c r="M3" s="1582"/>
      <c r="N3" s="1583"/>
    </row>
    <row r="4" spans="1:14" ht="13.5" customHeight="1" x14ac:dyDescent="0.2">
      <c r="A4" s="462" t="s">
        <v>1750</v>
      </c>
      <c r="B4" s="463"/>
      <c r="C4" s="464">
        <v>132288</v>
      </c>
      <c r="D4" s="465"/>
      <c r="E4" s="465"/>
      <c r="F4" s="465"/>
      <c r="G4" s="465"/>
      <c r="H4" s="465"/>
      <c r="I4" s="465"/>
      <c r="J4" s="466"/>
      <c r="K4" s="465"/>
      <c r="L4" s="465"/>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v>66193</v>
      </c>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198481</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7"/>
      <c r="N13" s="468"/>
    </row>
    <row r="14" spans="1:14" ht="18" customHeight="1" thickTop="1" x14ac:dyDescent="0.2">
      <c r="A14" s="2124" t="s">
        <v>149</v>
      </c>
      <c r="B14" s="2125"/>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c r="N16" s="483"/>
    </row>
    <row r="17" spans="1:14" s="484" customFormat="1" ht="12.75" customHeight="1" x14ac:dyDescent="0.2">
      <c r="A17" s="481" t="s">
        <v>1470</v>
      </c>
      <c r="B17" s="482">
        <v>230</v>
      </c>
      <c r="C17" s="476"/>
      <c r="D17" s="476"/>
      <c r="E17" s="476"/>
      <c r="F17" s="476"/>
      <c r="G17" s="476"/>
      <c r="H17" s="476"/>
      <c r="I17" s="476"/>
      <c r="J17" s="476"/>
      <c r="K17" s="476"/>
      <c r="L17" s="476"/>
      <c r="M17" s="466"/>
      <c r="N17" s="483"/>
    </row>
    <row r="18" spans="1:14" s="484" customFormat="1" ht="12.75" customHeight="1" x14ac:dyDescent="0.2">
      <c r="A18" s="481" t="s">
        <v>1471</v>
      </c>
      <c r="B18" s="482">
        <v>240</v>
      </c>
      <c r="C18" s="476"/>
      <c r="D18" s="476"/>
      <c r="E18" s="476"/>
      <c r="F18" s="476"/>
      <c r="G18" s="476"/>
      <c r="H18" s="476"/>
      <c r="I18" s="476"/>
      <c r="J18" s="476"/>
      <c r="K18" s="476"/>
      <c r="L18" s="476"/>
      <c r="M18" s="466"/>
      <c r="N18" s="483"/>
    </row>
    <row r="19" spans="1:14" s="484" customFormat="1" ht="12.75" customHeight="1" x14ac:dyDescent="0.2">
      <c r="A19" s="481" t="s">
        <v>1472</v>
      </c>
      <c r="B19" s="482">
        <v>250</v>
      </c>
      <c r="C19" s="476"/>
      <c r="D19" s="476"/>
      <c r="E19" s="476"/>
      <c r="F19" s="476"/>
      <c r="G19" s="476"/>
      <c r="H19" s="476"/>
      <c r="I19" s="476"/>
      <c r="J19" s="476"/>
      <c r="K19" s="476"/>
      <c r="L19" s="476"/>
      <c r="M19" s="466"/>
      <c r="N19" s="483"/>
    </row>
    <row r="20" spans="1:14" s="484" customFormat="1" ht="12.75" customHeight="1" x14ac:dyDescent="0.2">
      <c r="A20" s="481" t="s">
        <v>1473</v>
      </c>
      <c r="B20" s="482">
        <v>260</v>
      </c>
      <c r="C20" s="476"/>
      <c r="D20" s="476"/>
      <c r="E20" s="476"/>
      <c r="F20" s="476"/>
      <c r="G20" s="476"/>
      <c r="H20" s="476"/>
      <c r="I20" s="476"/>
      <c r="J20" s="476"/>
      <c r="K20" s="476"/>
      <c r="L20" s="476"/>
      <c r="M20" s="466"/>
      <c r="N20" s="483"/>
    </row>
    <row r="21" spans="1:14" s="484" customFormat="1" ht="12.75" customHeight="1" x14ac:dyDescent="0.2">
      <c r="A21" s="481" t="s">
        <v>1474</v>
      </c>
      <c r="B21" s="482">
        <v>340</v>
      </c>
      <c r="C21" s="476"/>
      <c r="D21" s="476"/>
      <c r="E21" s="476"/>
      <c r="F21" s="476"/>
      <c r="G21" s="476"/>
      <c r="H21" s="476"/>
      <c r="I21" s="476"/>
      <c r="J21" s="476"/>
      <c r="K21" s="476"/>
      <c r="L21" s="476"/>
      <c r="M21" s="485"/>
      <c r="N21" s="466"/>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7" t="s">
        <v>664</v>
      </c>
      <c r="B23" s="1762"/>
      <c r="C23" s="467"/>
      <c r="D23" s="467"/>
      <c r="E23" s="467"/>
      <c r="F23" s="467"/>
      <c r="G23" s="467"/>
      <c r="H23" s="467"/>
      <c r="I23" s="467"/>
      <c r="J23" s="467"/>
      <c r="K23" s="467"/>
      <c r="L23" s="467"/>
      <c r="M23" s="1709">
        <f>SUM(M15:M22)</f>
        <v>0</v>
      </c>
      <c r="N23" s="1709">
        <f>SUM(N21:N22)</f>
        <v>0</v>
      </c>
    </row>
    <row r="24" spans="1:14" ht="18" customHeight="1" thickTop="1" x14ac:dyDescent="0.2">
      <c r="A24" s="2126" t="s">
        <v>619</v>
      </c>
      <c r="B24" s="2127"/>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v>198481</v>
      </c>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v>0</v>
      </c>
      <c r="D30" s="473"/>
      <c r="E30" s="466"/>
      <c r="F30" s="466"/>
      <c r="G30" s="466"/>
      <c r="H30" s="466"/>
      <c r="I30" s="466"/>
      <c r="J30" s="466"/>
      <c r="K30" s="477"/>
      <c r="L30" s="467"/>
      <c r="M30" s="467"/>
      <c r="N30" s="467"/>
    </row>
    <row r="31" spans="1:14" ht="13.5" customHeight="1" x14ac:dyDescent="0.2">
      <c r="A31" s="472" t="s">
        <v>672</v>
      </c>
      <c r="B31" s="469">
        <v>480</v>
      </c>
      <c r="C31" s="465">
        <v>0</v>
      </c>
      <c r="D31" s="466"/>
      <c r="E31" s="466"/>
      <c r="F31" s="465"/>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v>0</v>
      </c>
      <c r="D33" s="466"/>
      <c r="E33" s="466"/>
      <c r="F33" s="466"/>
      <c r="G33" s="466"/>
      <c r="H33" s="466"/>
      <c r="I33" s="466"/>
      <c r="J33" s="466"/>
      <c r="K33" s="466"/>
      <c r="L33" s="466"/>
      <c r="M33" s="467"/>
      <c r="N33" s="468"/>
    </row>
    <row r="34" spans="1:14" ht="13.5" customHeight="1" thickBot="1" x14ac:dyDescent="0.25">
      <c r="A34" s="1759" t="s">
        <v>675</v>
      </c>
      <c r="B34" s="1760"/>
      <c r="C34" s="1761">
        <f>SUM(C25:C33)</f>
        <v>198481</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7"/>
      <c r="N34" s="479"/>
    </row>
    <row r="35" spans="1:14" ht="18" customHeight="1" thickTop="1" x14ac:dyDescent="0.2">
      <c r="A35" s="2128" t="s">
        <v>550</v>
      </c>
      <c r="B35" s="2129"/>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57" t="s">
        <v>674</v>
      </c>
      <c r="B37" s="1762"/>
      <c r="C37" s="476"/>
      <c r="D37" s="476"/>
      <c r="E37" s="476"/>
      <c r="F37" s="476"/>
      <c r="G37" s="476"/>
      <c r="H37" s="476"/>
      <c r="I37" s="476"/>
      <c r="J37" s="476"/>
      <c r="K37" s="476"/>
      <c r="L37" s="479"/>
      <c r="M37" s="467"/>
      <c r="N37" s="1709">
        <f>SUM(N36:N36)</f>
        <v>0</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0</v>
      </c>
      <c r="D39" s="465">
        <v>0</v>
      </c>
      <c r="E39" s="465">
        <v>0</v>
      </c>
      <c r="F39" s="465">
        <v>0</v>
      </c>
      <c r="G39" s="465">
        <v>0</v>
      </c>
      <c r="H39" s="465">
        <v>0</v>
      </c>
      <c r="I39" s="465">
        <v>0</v>
      </c>
      <c r="J39" s="466">
        <v>0</v>
      </c>
      <c r="K39" s="465">
        <v>0</v>
      </c>
      <c r="L39" s="465">
        <v>0</v>
      </c>
      <c r="M39" s="496"/>
      <c r="N39" s="496"/>
    </row>
    <row r="40" spans="1:14" s="328" customFormat="1" ht="13.5" customHeight="1" x14ac:dyDescent="0.2">
      <c r="A40" s="497" t="s">
        <v>150</v>
      </c>
      <c r="B40" s="498"/>
      <c r="C40" s="499"/>
      <c r="D40" s="499"/>
      <c r="E40" s="499"/>
      <c r="F40" s="499"/>
      <c r="G40" s="499"/>
      <c r="H40" s="499"/>
      <c r="I40" s="499"/>
      <c r="J40" s="499"/>
      <c r="K40" s="499"/>
      <c r="L40" s="499"/>
      <c r="M40" s="466"/>
      <c r="N40" s="496"/>
    </row>
    <row r="41" spans="1:14" ht="13.5" customHeight="1" thickBot="1" x14ac:dyDescent="0.25">
      <c r="A41" s="1757" t="s">
        <v>676</v>
      </c>
      <c r="B41" s="1727"/>
      <c r="C41" s="1709">
        <f>(SUM(C34,C37,C38,C39))</f>
        <v>198481</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0</v>
      </c>
      <c r="N41" s="1709">
        <f>SUM(N37)</f>
        <v>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7" sqref="D7"/>
      <selection pane="bottomLeft" activeCell="C10" sqref="C10"/>
    </sheetView>
  </sheetViews>
  <sheetFormatPr defaultColWidth="9.140625" defaultRowHeight="12.75" x14ac:dyDescent="0.2"/>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x14ac:dyDescent="0.2">
      <c r="A1" s="2138"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39"/>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0" t="s">
        <v>1237</v>
      </c>
      <c r="B3" s="2151"/>
      <c r="C3" s="1594"/>
      <c r="D3" s="1595"/>
      <c r="E3" s="1595"/>
      <c r="F3" s="1595"/>
      <c r="G3" s="1595"/>
      <c r="H3" s="1595"/>
      <c r="I3" s="1595"/>
      <c r="J3" s="1595"/>
      <c r="K3" s="1596"/>
      <c r="L3" s="505"/>
    </row>
    <row r="4" spans="1:13" ht="15.75" customHeight="1" x14ac:dyDescent="0.2">
      <c r="A4" s="1953" t="s">
        <v>1579</v>
      </c>
      <c r="B4" s="1954">
        <v>1000</v>
      </c>
      <c r="C4" s="1763">
        <f>'Revenues 9-14'!C109</f>
        <v>32811</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1026410</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702238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1761459</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6"/>
    </row>
    <row r="9" spans="1:13" ht="15.75" thickTop="1" x14ac:dyDescent="0.2">
      <c r="A9" s="513" t="s">
        <v>1752</v>
      </c>
      <c r="B9" s="514">
        <v>3998</v>
      </c>
      <c r="C9" s="480">
        <v>0</v>
      </c>
      <c r="D9" s="515"/>
      <c r="E9" s="480"/>
      <c r="F9" s="480"/>
      <c r="G9" s="516"/>
      <c r="H9" s="480"/>
      <c r="I9" s="508" t="s">
        <v>1231</v>
      </c>
      <c r="J9" s="477"/>
      <c r="K9" s="480"/>
      <c r="L9" s="346"/>
    </row>
    <row r="10" spans="1:13" s="518" customFormat="1" ht="13.5" thickBot="1" x14ac:dyDescent="0.25">
      <c r="A10" s="1757" t="s">
        <v>1235</v>
      </c>
      <c r="B10" s="1730"/>
      <c r="C10" s="1709">
        <f>SUM(C8:C9)</f>
        <v>1761459</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7"/>
    </row>
    <row r="11" spans="1:13" s="518" customFormat="1" ht="16.7" customHeight="1" thickTop="1" x14ac:dyDescent="0.2">
      <c r="A11" s="2124" t="s">
        <v>1238</v>
      </c>
      <c r="B11" s="2125"/>
      <c r="C11" s="1591"/>
      <c r="D11" s="1592"/>
      <c r="E11" s="1592"/>
      <c r="F11" s="1592"/>
      <c r="G11" s="1592"/>
      <c r="H11" s="1592"/>
      <c r="I11" s="1592"/>
      <c r="J11" s="1592"/>
      <c r="K11" s="1593"/>
      <c r="L11" s="517"/>
    </row>
    <row r="12" spans="1:13" ht="15.75" customHeight="1" x14ac:dyDescent="0.2">
      <c r="A12" s="1597" t="s">
        <v>476</v>
      </c>
      <c r="B12" s="1599">
        <v>1000</v>
      </c>
      <c r="C12" s="1763">
        <f>'Expenditures 15-22'!K33</f>
        <v>0</v>
      </c>
      <c r="D12" s="519" t="s">
        <v>1231</v>
      </c>
      <c r="E12" s="467" t="s">
        <v>1231</v>
      </c>
      <c r="F12" s="467" t="s">
        <v>1231</v>
      </c>
      <c r="G12" s="1763">
        <f>'Expenditures 15-22'!K229</f>
        <v>0</v>
      </c>
      <c r="H12" s="520"/>
      <c r="I12" s="467" t="s">
        <v>1231</v>
      </c>
      <c r="J12" s="467" t="s">
        <v>1231</v>
      </c>
      <c r="K12" s="520" t="s">
        <v>1231</v>
      </c>
      <c r="L12" s="346"/>
    </row>
    <row r="13" spans="1:13" ht="15.75" customHeight="1" x14ac:dyDescent="0.2">
      <c r="A13" s="1597" t="s">
        <v>477</v>
      </c>
      <c r="B13" s="1599">
        <v>2000</v>
      </c>
      <c r="C13" s="1764">
        <f>'Expenditures 15-22'!K74</f>
        <v>277858</v>
      </c>
      <c r="D13" s="1764">
        <f>'Expenditures 15-22'!K129</f>
        <v>0</v>
      </c>
      <c r="E13" s="468" t="s">
        <v>1231</v>
      </c>
      <c r="F13" s="1764">
        <f>'Expenditures 15-22'!K184</f>
        <v>0</v>
      </c>
      <c r="G13" s="1764">
        <f>'Expenditures 15-22'!K279</f>
        <v>0</v>
      </c>
      <c r="H13" s="1764">
        <f>'Expenditures 15-22'!K303</f>
        <v>0</v>
      </c>
      <c r="I13" s="467" t="s">
        <v>1231</v>
      </c>
      <c r="J13" s="1764">
        <f>'Expenditures 15-22'!K330</f>
        <v>0</v>
      </c>
      <c r="K13" s="1768">
        <f>'Expenditures 15-22'!K352</f>
        <v>0</v>
      </c>
      <c r="L13" s="346"/>
    </row>
    <row r="14" spans="1:13" ht="15.75" customHeight="1" x14ac:dyDescent="0.2">
      <c r="A14" s="1597" t="s">
        <v>469</v>
      </c>
      <c r="B14" s="1599">
        <v>3000</v>
      </c>
      <c r="C14" s="1764">
        <f>'Expenditures 15-22'!K75</f>
        <v>0</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x14ac:dyDescent="0.2">
      <c r="A15" s="1597" t="s">
        <v>109</v>
      </c>
      <c r="B15" s="1599">
        <v>4000</v>
      </c>
      <c r="C15" s="1764">
        <f>'Expenditures 15-22'!K102</f>
        <v>1483601</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1761459</v>
      </c>
      <c r="D17" s="1709">
        <f t="shared" si="2"/>
        <v>0</v>
      </c>
      <c r="E17" s="1709">
        <f t="shared" si="2"/>
        <v>0</v>
      </c>
      <c r="F17" s="1709">
        <f t="shared" si="2"/>
        <v>0</v>
      </c>
      <c r="G17" s="1709">
        <f t="shared" si="2"/>
        <v>0</v>
      </c>
      <c r="H17" s="1709">
        <f t="shared" si="2"/>
        <v>0</v>
      </c>
      <c r="I17" s="467"/>
      <c r="J17" s="1709">
        <f>SUM(J12:J16)</f>
        <v>0</v>
      </c>
      <c r="K17" s="1709">
        <f>SUM(K12:K16)</f>
        <v>0</v>
      </c>
      <c r="L17" s="346"/>
    </row>
    <row r="18" spans="1:12" ht="15" customHeight="1" thickTop="1" x14ac:dyDescent="0.2">
      <c r="A18" s="1765" t="s">
        <v>1753</v>
      </c>
      <c r="B18" s="1766">
        <v>4180</v>
      </c>
      <c r="C18" s="1763">
        <f t="shared" ref="C18:H18" si="3">C9</f>
        <v>0</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1761459</v>
      </c>
      <c r="D19" s="1709">
        <f t="shared" si="4"/>
        <v>0</v>
      </c>
      <c r="E19" s="1709">
        <f t="shared" si="4"/>
        <v>0</v>
      </c>
      <c r="F19" s="1709">
        <f t="shared" si="4"/>
        <v>0</v>
      </c>
      <c r="G19" s="1709">
        <f t="shared" si="4"/>
        <v>0</v>
      </c>
      <c r="H19" s="1709">
        <f t="shared" si="4"/>
        <v>0</v>
      </c>
      <c r="I19" s="467"/>
      <c r="J19" s="1709">
        <f>SUM(J17:J18)</f>
        <v>0</v>
      </c>
      <c r="K19" s="1709">
        <f>SUM(K17:K18)</f>
        <v>0</v>
      </c>
      <c r="L19" s="346"/>
    </row>
    <row r="20" spans="1:12" ht="16.5" thickTop="1" thickBot="1" x14ac:dyDescent="0.25">
      <c r="A20" s="2140" t="s">
        <v>1754</v>
      </c>
      <c r="B20" s="2141"/>
      <c r="C20" s="1767">
        <f>C8-C17</f>
        <v>0</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6"/>
    </row>
    <row r="21" spans="1:12" ht="16.7" customHeight="1" thickTop="1" x14ac:dyDescent="0.2">
      <c r="A21" s="2152" t="s">
        <v>616</v>
      </c>
      <c r="B21" s="2153"/>
      <c r="C21" s="1591"/>
      <c r="D21" s="1592"/>
      <c r="E21" s="1592"/>
      <c r="F21" s="1592"/>
      <c r="G21" s="1592"/>
      <c r="H21" s="1592"/>
      <c r="I21" s="1592"/>
      <c r="J21" s="1592"/>
      <c r="K21" s="1593"/>
      <c r="L21" s="523"/>
    </row>
    <row r="22" spans="1:12" ht="15.75" customHeight="1" collapsed="1" x14ac:dyDescent="0.2">
      <c r="A22" s="2148" t="s">
        <v>617</v>
      </c>
      <c r="B22" s="2149"/>
      <c r="C22" s="476"/>
      <c r="D22" s="476"/>
      <c r="E22" s="476"/>
      <c r="F22" s="476"/>
      <c r="G22" s="476"/>
      <c r="H22" s="476"/>
      <c r="I22" s="476"/>
      <c r="J22" s="476"/>
      <c r="K22" s="476"/>
      <c r="L22" s="346"/>
    </row>
    <row r="23" spans="1:12" s="484" customFormat="1" ht="15.75" customHeight="1" x14ac:dyDescent="0.2">
      <c r="A23" s="2144" t="s">
        <v>311</v>
      </c>
      <c r="B23" s="2145"/>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46" t="s">
        <v>1038</v>
      </c>
      <c r="B32" s="2147"/>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0</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54" t="s">
        <v>392</v>
      </c>
      <c r="B44" s="2155"/>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48" t="s">
        <v>110</v>
      </c>
      <c r="B45" s="2149"/>
      <c r="C45" s="527"/>
      <c r="D45" s="527"/>
      <c r="E45" s="527"/>
      <c r="F45" s="527"/>
      <c r="G45" s="527"/>
      <c r="H45" s="527"/>
      <c r="I45" s="527"/>
      <c r="J45" s="527"/>
      <c r="K45" s="527"/>
      <c r="L45" s="346"/>
    </row>
    <row r="46" spans="1:12" s="484" customFormat="1" ht="15.75" customHeight="1" x14ac:dyDescent="0.2">
      <c r="A46" s="2156" t="s">
        <v>111</v>
      </c>
      <c r="B46" s="2157"/>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0" t="s">
        <v>460</v>
      </c>
      <c r="B76" s="2131"/>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3"/>
    </row>
    <row r="77" spans="1:12" ht="14.25" thickTop="1" thickBot="1" x14ac:dyDescent="0.25">
      <c r="A77" s="2132" t="s">
        <v>1239</v>
      </c>
      <c r="B77" s="2133"/>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6"/>
    </row>
    <row r="78" spans="1:12" ht="21.75" customHeight="1" thickTop="1" thickBot="1" x14ac:dyDescent="0.25">
      <c r="A78" s="2136" t="s">
        <v>618</v>
      </c>
      <c r="B78" s="2137"/>
      <c r="C78" s="1723">
        <f t="shared" ref="C78:K78" si="9">C20+C77</f>
        <v>0</v>
      </c>
      <c r="D78" s="1723">
        <f t="shared" si="9"/>
        <v>0</v>
      </c>
      <c r="E78" s="1723">
        <f t="shared" si="9"/>
        <v>0</v>
      </c>
      <c r="F78" s="1723">
        <f t="shared" si="9"/>
        <v>0</v>
      </c>
      <c r="G78" s="1723">
        <f t="shared" si="9"/>
        <v>0</v>
      </c>
      <c r="H78" s="1723">
        <f t="shared" si="9"/>
        <v>0</v>
      </c>
      <c r="I78" s="1723">
        <f t="shared" si="9"/>
        <v>0</v>
      </c>
      <c r="J78" s="1723">
        <f t="shared" si="9"/>
        <v>0</v>
      </c>
      <c r="K78" s="1723">
        <f t="shared" si="9"/>
        <v>0</v>
      </c>
      <c r="L78" s="532"/>
    </row>
    <row r="79" spans="1:12" ht="13.5" thickTop="1" x14ac:dyDescent="0.2">
      <c r="A79" s="1515" t="s">
        <v>2073</v>
      </c>
      <c r="B79" s="533"/>
      <c r="C79" s="477"/>
      <c r="D79" s="534"/>
      <c r="E79" s="534"/>
      <c r="F79" s="534"/>
      <c r="G79" s="534"/>
      <c r="H79" s="534"/>
      <c r="I79" s="534"/>
      <c r="J79" s="534"/>
      <c r="K79" s="534"/>
      <c r="L79" s="346"/>
    </row>
    <row r="80" spans="1:12" x14ac:dyDescent="0.2">
      <c r="A80" s="2142" t="s">
        <v>1898</v>
      </c>
      <c r="B80" s="2143"/>
      <c r="C80" s="466"/>
      <c r="D80" s="466"/>
      <c r="E80" s="466"/>
      <c r="F80" s="466"/>
      <c r="G80" s="466"/>
      <c r="H80" s="466"/>
      <c r="I80" s="466"/>
      <c r="J80" s="466"/>
      <c r="K80" s="466"/>
      <c r="L80" s="346"/>
    </row>
    <row r="81" spans="1:12" ht="13.5" thickBot="1" x14ac:dyDescent="0.25">
      <c r="A81" s="2134" t="s">
        <v>2074</v>
      </c>
      <c r="B81" s="2135"/>
      <c r="C81" s="1709">
        <f>(SUM(C78:C80))</f>
        <v>0</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6"/>
    </row>
    <row r="82" spans="1:12" ht="0.75" customHeight="1" thickTop="1" thickBot="1" x14ac:dyDescent="0.25">
      <c r="A82" s="535" t="s">
        <v>361</v>
      </c>
      <c r="B82" s="536"/>
      <c r="C82" s="537">
        <f>(C81-C79)</f>
        <v>0</v>
      </c>
      <c r="D82" s="537">
        <f t="shared" ref="D82:K82" si="11">(D81-D79)</f>
        <v>0</v>
      </c>
      <c r="E82" s="537">
        <f t="shared" si="11"/>
        <v>0</v>
      </c>
      <c r="F82" s="537">
        <f t="shared" si="11"/>
        <v>0</v>
      </c>
      <c r="G82" s="537">
        <f t="shared" si="11"/>
        <v>0</v>
      </c>
      <c r="H82" s="537">
        <f t="shared" si="11"/>
        <v>0</v>
      </c>
      <c r="I82" s="537">
        <f t="shared" si="11"/>
        <v>0</v>
      </c>
      <c r="J82" s="537">
        <f t="shared" si="11"/>
        <v>0</v>
      </c>
      <c r="K82" s="537">
        <f t="shared" si="11"/>
        <v>0</v>
      </c>
    </row>
    <row r="83" spans="1:12" ht="14.25" hidden="1" thickTop="1" thickBot="1" x14ac:dyDescent="0.25">
      <c r="A83" s="538" t="s">
        <v>362</v>
      </c>
      <c r="B83" s="463"/>
      <c r="C83" s="539" t="e">
        <f>C82/C81</f>
        <v>#DIV/0!</v>
      </c>
      <c r="D83" s="539" t="e">
        <f t="shared" ref="D83:K83" si="12">D82/D81</f>
        <v>#DIV/0!</v>
      </c>
      <c r="E83" s="539" t="e">
        <f t="shared" si="12"/>
        <v>#DIV/0!</v>
      </c>
      <c r="F83" s="539" t="e">
        <f t="shared" si="12"/>
        <v>#DIV/0!</v>
      </c>
      <c r="G83" s="539" t="e">
        <f t="shared" si="12"/>
        <v>#DIV/0!</v>
      </c>
      <c r="H83" s="539" t="e">
        <f t="shared" si="12"/>
        <v>#DIV/0!</v>
      </c>
      <c r="I83" s="539" t="e">
        <f t="shared" si="12"/>
        <v>#DIV/0!</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K114" sqref="K114"/>
      <selection pane="bottomLeft" activeCell="A3" sqref="A3"/>
    </sheetView>
  </sheetViews>
  <sheetFormatPr defaultColWidth="9.140625" defaultRowHeight="12.75" x14ac:dyDescent="0.2"/>
  <cols>
    <col min="1" max="1" width="54.140625" style="594" customWidth="1"/>
    <col min="2" max="2" width="4.5703125" style="595" customWidth="1"/>
    <col min="3" max="11" width="13.5703125" style="383" customWidth="1"/>
    <col min="12" max="16384" width="9.140625" style="383"/>
  </cols>
  <sheetData>
    <row r="1" spans="1:12" x14ac:dyDescent="0.2">
      <c r="A1" s="2138" t="s">
        <v>1905</v>
      </c>
      <c r="B1" s="451"/>
      <c r="C1" s="452" t="s">
        <v>445</v>
      </c>
      <c r="D1" s="452" t="s">
        <v>446</v>
      </c>
      <c r="E1" s="452" t="s">
        <v>447</v>
      </c>
      <c r="F1" s="452" t="s">
        <v>448</v>
      </c>
      <c r="G1" s="452" t="s">
        <v>449</v>
      </c>
      <c r="H1" s="452" t="s">
        <v>450</v>
      </c>
      <c r="I1" s="452" t="s">
        <v>451</v>
      </c>
      <c r="J1" s="452" t="s">
        <v>452</v>
      </c>
      <c r="K1" s="452" t="s">
        <v>780</v>
      </c>
    </row>
    <row r="2" spans="1:12" ht="36" x14ac:dyDescent="0.2">
      <c r="A2" s="2139"/>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c r="D5" s="480"/>
      <c r="E5" s="465"/>
      <c r="F5" s="547"/>
      <c r="G5" s="465"/>
      <c r="H5" s="465"/>
      <c r="I5" s="465"/>
      <c r="J5" s="466"/>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c r="D7" s="465"/>
      <c r="E7" s="467"/>
      <c r="F7" s="466"/>
      <c r="G7" s="466"/>
      <c r="H7" s="466"/>
      <c r="I7" s="467"/>
      <c r="J7" s="467"/>
      <c r="K7" s="467"/>
    </row>
    <row r="8" spans="1:12" x14ac:dyDescent="0.2">
      <c r="A8" s="462" t="s">
        <v>433</v>
      </c>
      <c r="B8" s="469">
        <v>1150</v>
      </c>
      <c r="C8" s="474"/>
      <c r="D8" s="474"/>
      <c r="E8" s="476"/>
      <c r="F8" s="476"/>
      <c r="G8" s="480"/>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c r="D16" s="465"/>
      <c r="E16" s="465"/>
      <c r="F16" s="465"/>
      <c r="G16" s="465"/>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0</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3327</v>
      </c>
      <c r="D65" s="465"/>
      <c r="E65" s="465"/>
      <c r="F65" s="466"/>
      <c r="G65" s="465"/>
      <c r="H65" s="465"/>
      <c r="I65" s="465"/>
      <c r="J65" s="466"/>
      <c r="K65" s="465"/>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3327</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0</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v>29484</v>
      </c>
      <c r="D98" s="465"/>
      <c r="E98" s="511"/>
      <c r="F98" s="465"/>
      <c r="G98" s="511"/>
      <c r="H98" s="511"/>
      <c r="I98" s="509"/>
      <c r="J98" s="511"/>
      <c r="K98" s="511"/>
    </row>
    <row r="99" spans="1:12" ht="12.75" customHeight="1" x14ac:dyDescent="0.2">
      <c r="A99" s="462" t="s">
        <v>875</v>
      </c>
      <c r="B99" s="469">
        <v>1950</v>
      </c>
      <c r="C99" s="488">
        <v>0</v>
      </c>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0</v>
      </c>
      <c r="D107" s="465"/>
      <c r="E107" s="465"/>
      <c r="F107" s="465"/>
      <c r="G107" s="465"/>
      <c r="H107" s="465"/>
      <c r="I107" s="465"/>
      <c r="J107" s="466"/>
      <c r="K107" s="465"/>
    </row>
    <row r="108" spans="1:12" ht="12.75" customHeight="1" thickBot="1" x14ac:dyDescent="0.25">
      <c r="A108" s="1729" t="s">
        <v>508</v>
      </c>
      <c r="B108" s="1733"/>
      <c r="C108" s="1728">
        <f>SUM(C95:C107)</f>
        <v>29484</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32811</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c r="D117" s="480"/>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0</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c r="D124" s="560"/>
      <c r="E124" s="467"/>
      <c r="F124" s="547"/>
      <c r="G124" s="467"/>
      <c r="H124" s="467"/>
      <c r="I124" s="467"/>
      <c r="J124" s="467"/>
      <c r="K124" s="467"/>
    </row>
    <row r="125" spans="1:11" ht="12.75" customHeight="1" x14ac:dyDescent="0.2">
      <c r="A125" s="462" t="s">
        <v>1521</v>
      </c>
      <c r="B125" s="561">
        <v>3105</v>
      </c>
      <c r="C125" s="465"/>
      <c r="D125" s="560"/>
      <c r="E125" s="467"/>
      <c r="F125" s="465"/>
      <c r="G125" s="467"/>
      <c r="H125" s="467"/>
      <c r="I125" s="467"/>
      <c r="J125" s="467"/>
      <c r="K125" s="467"/>
    </row>
    <row r="126" spans="1:11" ht="12.75" customHeight="1" x14ac:dyDescent="0.2">
      <c r="A126" s="462" t="s">
        <v>922</v>
      </c>
      <c r="B126" s="561">
        <v>3110</v>
      </c>
      <c r="C126" s="550"/>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0</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v>1026410</v>
      </c>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1026410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0</v>
      </c>
      <c r="D144" s="467"/>
      <c r="E144" s="508"/>
      <c r="F144" s="467"/>
      <c r="G144" s="1742">
        <f>SUM(G142:G143)</f>
        <v>0</v>
      </c>
      <c r="H144" s="467"/>
      <c r="I144" s="467"/>
      <c r="J144" s="467"/>
      <c r="K144" s="467"/>
    </row>
    <row r="145" spans="1:11" s="201" customFormat="1" ht="12.75" customHeight="1" thickTop="1" x14ac:dyDescent="0.2">
      <c r="A145" s="1519" t="s">
        <v>1116</v>
      </c>
      <c r="B145" s="567">
        <v>3360</v>
      </c>
      <c r="C145" s="568"/>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c r="G151" s="466"/>
      <c r="H151" s="467"/>
      <c r="I151" s="467"/>
      <c r="J151" s="467"/>
      <c r="K151" s="467"/>
    </row>
    <row r="152" spans="1:11" ht="12.75" customHeight="1" x14ac:dyDescent="0.2">
      <c r="A152" s="462" t="s">
        <v>1117</v>
      </c>
      <c r="B152" s="561">
        <v>3510</v>
      </c>
      <c r="C152" s="550"/>
      <c r="D152" s="465"/>
      <c r="E152" s="560"/>
      <c r="F152" s="465"/>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0</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c r="D171" s="579"/>
      <c r="E171" s="579"/>
      <c r="F171" s="579"/>
      <c r="G171" s="580"/>
      <c r="H171" s="581"/>
      <c r="I171" s="580"/>
      <c r="J171" s="580"/>
      <c r="K171" s="581"/>
    </row>
    <row r="172" spans="1:11" ht="12.75" customHeight="1" thickTop="1" thickBot="1" x14ac:dyDescent="0.25">
      <c r="A172" s="2158" t="s">
        <v>418</v>
      </c>
      <c r="B172" s="2159"/>
      <c r="C172" s="1743">
        <f t="shared" ref="C172:K172" si="6">SUM(C131,C140,C144,C145:C149,C154,C155:C170,C171)</f>
        <v>1026410</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1026410</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0" t="s">
        <v>1572</v>
      </c>
      <c r="B175" s="2161"/>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4" t="s">
        <v>1764</v>
      </c>
      <c r="B178" s="216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68" t="s">
        <v>1763</v>
      </c>
      <c r="B179" s="2169"/>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66" t="s">
        <v>818</v>
      </c>
      <c r="B184" s="2167"/>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2" t="s">
        <v>1906</v>
      </c>
      <c r="B185" s="2163"/>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0</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0</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0</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v>702238</v>
      </c>
      <c r="D227" s="465"/>
      <c r="E227" s="467"/>
      <c r="F227" s="467"/>
      <c r="G227" s="465"/>
      <c r="H227" s="467"/>
      <c r="I227" s="467"/>
      <c r="J227" s="467"/>
      <c r="K227" s="467"/>
    </row>
    <row r="228" spans="1:11" ht="12.75" customHeight="1" thickBot="1" x14ac:dyDescent="0.25">
      <c r="A228" s="1744" t="s">
        <v>1145</v>
      </c>
      <c r="B228" s="1745"/>
      <c r="C228" s="1728">
        <f>SUM(C226:C227)</f>
        <v>702238</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702238</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702238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1761459</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F1" colorId="8" zoomScale="110" zoomScaleNormal="110" workbookViewId="0">
      <pane ySplit="2" topLeftCell="A103" activePane="bottomLeft" state="frozen"/>
      <selection activeCell="A47" sqref="A47"/>
      <selection pane="bottomLeft" activeCell="H117" sqref="H117"/>
    </sheetView>
  </sheetViews>
  <sheetFormatPr defaultColWidth="9.140625" defaultRowHeight="12.75" x14ac:dyDescent="0.2"/>
  <cols>
    <col min="1" max="1" width="48.5703125" style="709" customWidth="1"/>
    <col min="2" max="2" width="5" style="710" customWidth="1"/>
    <col min="3" max="8" width="13.42578125" style="609" customWidth="1"/>
    <col min="9" max="10" width="13.42578125" style="342" customWidth="1"/>
    <col min="11" max="11" width="13.42578125" style="711" customWidth="1"/>
    <col min="12" max="12" width="11.85546875" style="342" customWidth="1"/>
    <col min="13" max="13" width="1.5703125" style="209" customWidth="1"/>
    <col min="14" max="14" width="9.140625" style="209"/>
    <col min="15" max="16384" width="9.140625" style="328"/>
  </cols>
  <sheetData>
    <row r="1" spans="1:14" x14ac:dyDescent="0.2">
      <c r="A1" s="2138"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2"/>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78" t="s">
        <v>315</v>
      </c>
      <c r="B3" s="2179"/>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c r="D5" s="465"/>
      <c r="E5" s="465"/>
      <c r="F5" s="465"/>
      <c r="G5" s="465"/>
      <c r="H5" s="465"/>
      <c r="I5" s="466"/>
      <c r="J5" s="466"/>
      <c r="K5" s="1692">
        <f>SUM(C5:J5)</f>
        <v>0</v>
      </c>
      <c r="L5" s="465"/>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c r="D7" s="466"/>
      <c r="E7" s="466"/>
      <c r="F7" s="466"/>
      <c r="G7" s="466"/>
      <c r="H7" s="466"/>
      <c r="I7" s="466"/>
      <c r="J7" s="466"/>
      <c r="K7" s="1692">
        <f t="shared" ref="K7:K32" si="0">SUM(C7:J7)</f>
        <v>0</v>
      </c>
      <c r="L7" s="465"/>
    </row>
    <row r="8" spans="1:14" x14ac:dyDescent="0.2">
      <c r="A8" s="1525" t="s">
        <v>166</v>
      </c>
      <c r="B8" s="614">
        <v>1200</v>
      </c>
      <c r="C8" s="465"/>
      <c r="D8" s="465"/>
      <c r="E8" s="465"/>
      <c r="F8" s="465"/>
      <c r="G8" s="465"/>
      <c r="H8" s="465"/>
      <c r="I8" s="466"/>
      <c r="J8" s="466"/>
      <c r="K8" s="1692">
        <f t="shared" si="0"/>
        <v>0</v>
      </c>
      <c r="L8" s="465"/>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c r="D10" s="465"/>
      <c r="E10" s="465"/>
      <c r="F10" s="465"/>
      <c r="G10" s="465"/>
      <c r="H10" s="465"/>
      <c r="I10" s="466"/>
      <c r="J10" s="466"/>
      <c r="K10" s="1692">
        <f t="shared" si="0"/>
        <v>0</v>
      </c>
      <c r="L10" s="465"/>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c r="D14" s="465"/>
      <c r="E14" s="465"/>
      <c r="F14" s="465"/>
      <c r="G14" s="465"/>
      <c r="H14" s="465"/>
      <c r="I14" s="466"/>
      <c r="J14" s="466"/>
      <c r="K14" s="1692">
        <f t="shared" si="0"/>
        <v>0</v>
      </c>
      <c r="L14" s="465"/>
    </row>
    <row r="15" spans="1:14" x14ac:dyDescent="0.2">
      <c r="A15" s="1525" t="s">
        <v>1021</v>
      </c>
      <c r="B15" s="614">
        <v>1600</v>
      </c>
      <c r="C15" s="465"/>
      <c r="D15" s="465"/>
      <c r="E15" s="465"/>
      <c r="F15" s="465"/>
      <c r="G15" s="465"/>
      <c r="H15" s="465"/>
      <c r="I15" s="466"/>
      <c r="J15" s="466"/>
      <c r="K15" s="1692">
        <f t="shared" si="0"/>
        <v>0</v>
      </c>
      <c r="L15" s="465"/>
    </row>
    <row r="16" spans="1:14" x14ac:dyDescent="0.2">
      <c r="A16" s="1525" t="s">
        <v>1044</v>
      </c>
      <c r="B16" s="614" t="s">
        <v>444</v>
      </c>
      <c r="C16" s="465"/>
      <c r="D16" s="465"/>
      <c r="E16" s="465"/>
      <c r="F16" s="465"/>
      <c r="G16" s="465"/>
      <c r="H16" s="465"/>
      <c r="I16" s="466"/>
      <c r="J16" s="466"/>
      <c r="K16" s="1692">
        <f t="shared" si="0"/>
        <v>0</v>
      </c>
      <c r="L16" s="465"/>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c r="D18" s="465"/>
      <c r="E18" s="465"/>
      <c r="F18" s="465"/>
      <c r="G18" s="465"/>
      <c r="H18" s="465"/>
      <c r="I18" s="466"/>
      <c r="J18" s="466"/>
      <c r="K18" s="1692">
        <f t="shared" si="0"/>
        <v>0</v>
      </c>
      <c r="L18" s="465"/>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0</v>
      </c>
      <c r="D33" s="1691">
        <f t="shared" ref="D33:L33" si="1">SUM(D5:D32)</f>
        <v>0</v>
      </c>
      <c r="E33" s="1691">
        <f t="shared" si="1"/>
        <v>0</v>
      </c>
      <c r="F33" s="1691">
        <f t="shared" si="1"/>
        <v>0</v>
      </c>
      <c r="G33" s="1691">
        <f t="shared" si="1"/>
        <v>0</v>
      </c>
      <c r="H33" s="1691">
        <f t="shared" si="1"/>
        <v>0</v>
      </c>
      <c r="I33" s="1691">
        <f t="shared" si="1"/>
        <v>0</v>
      </c>
      <c r="J33" s="1691">
        <f t="shared" si="1"/>
        <v>0</v>
      </c>
      <c r="K33" s="1691">
        <f t="shared" si="1"/>
        <v>0</v>
      </c>
      <c r="L33" s="1691">
        <f t="shared" si="1"/>
        <v>0</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c r="D36" s="480"/>
      <c r="E36" s="480"/>
      <c r="F36" s="480"/>
      <c r="G36" s="480"/>
      <c r="H36" s="480"/>
      <c r="I36" s="466"/>
      <c r="J36" s="466"/>
      <c r="K36" s="1692">
        <f t="shared" ref="K36:K41" si="2">SUM(C36:J36)</f>
        <v>0</v>
      </c>
      <c r="L36" s="465"/>
    </row>
    <row r="37" spans="1:14" x14ac:dyDescent="0.2">
      <c r="A37" s="1525" t="s">
        <v>1151</v>
      </c>
      <c r="B37" s="614">
        <v>2120</v>
      </c>
      <c r="C37" s="465"/>
      <c r="D37" s="465"/>
      <c r="E37" s="465"/>
      <c r="F37" s="465"/>
      <c r="G37" s="465"/>
      <c r="H37" s="465"/>
      <c r="I37" s="466"/>
      <c r="J37" s="466"/>
      <c r="K37" s="1692">
        <f t="shared" si="2"/>
        <v>0</v>
      </c>
      <c r="L37" s="465"/>
    </row>
    <row r="38" spans="1:14" x14ac:dyDescent="0.2">
      <c r="A38" s="1525" t="s">
        <v>207</v>
      </c>
      <c r="B38" s="614">
        <v>2130</v>
      </c>
      <c r="C38" s="465"/>
      <c r="D38" s="465"/>
      <c r="E38" s="465"/>
      <c r="F38" s="465"/>
      <c r="G38" s="465"/>
      <c r="H38" s="465"/>
      <c r="I38" s="466"/>
      <c r="J38" s="466"/>
      <c r="K38" s="1692">
        <f t="shared" si="2"/>
        <v>0</v>
      </c>
      <c r="L38" s="465"/>
    </row>
    <row r="39" spans="1:14" x14ac:dyDescent="0.2">
      <c r="A39" s="1525" t="s">
        <v>208</v>
      </c>
      <c r="B39" s="614">
        <v>2140</v>
      </c>
      <c r="C39" s="465"/>
      <c r="D39" s="465"/>
      <c r="E39" s="465"/>
      <c r="F39" s="465"/>
      <c r="G39" s="465"/>
      <c r="H39" s="465"/>
      <c r="I39" s="466"/>
      <c r="J39" s="466"/>
      <c r="K39" s="1692">
        <f t="shared" si="2"/>
        <v>0</v>
      </c>
      <c r="L39" s="465"/>
    </row>
    <row r="40" spans="1:14" x14ac:dyDescent="0.2">
      <c r="A40" s="1525" t="s">
        <v>209</v>
      </c>
      <c r="B40" s="614">
        <v>2150</v>
      </c>
      <c r="C40" s="465"/>
      <c r="D40" s="465"/>
      <c r="E40" s="465"/>
      <c r="F40" s="465"/>
      <c r="G40" s="465"/>
      <c r="H40" s="465"/>
      <c r="I40" s="466"/>
      <c r="J40" s="466"/>
      <c r="K40" s="1692">
        <f t="shared" si="2"/>
        <v>0</v>
      </c>
      <c r="L40" s="465"/>
    </row>
    <row r="41" spans="1:14" x14ac:dyDescent="0.2">
      <c r="A41" s="1525" t="s">
        <v>1768</v>
      </c>
      <c r="B41" s="614">
        <v>2190</v>
      </c>
      <c r="C41" s="465"/>
      <c r="D41" s="465"/>
      <c r="E41" s="465"/>
      <c r="F41" s="465"/>
      <c r="G41" s="465"/>
      <c r="H41" s="465"/>
      <c r="I41" s="466"/>
      <c r="J41" s="466"/>
      <c r="K41" s="1692">
        <f t="shared" si="2"/>
        <v>0</v>
      </c>
      <c r="L41" s="465"/>
    </row>
    <row r="42" spans="1:14" ht="12.75" customHeight="1" thickBot="1" x14ac:dyDescent="0.25">
      <c r="A42" s="1689" t="s">
        <v>581</v>
      </c>
      <c r="B42" s="1690" t="s">
        <v>740</v>
      </c>
      <c r="C42" s="1691">
        <f>SUM(C36:C41)</f>
        <v>0</v>
      </c>
      <c r="D42" s="1691">
        <f t="shared" ref="D42:L42" si="3">SUM(D36:D41)</f>
        <v>0</v>
      </c>
      <c r="E42" s="1691">
        <f t="shared" si="3"/>
        <v>0</v>
      </c>
      <c r="F42" s="1691">
        <f t="shared" si="3"/>
        <v>0</v>
      </c>
      <c r="G42" s="1691">
        <f t="shared" si="3"/>
        <v>0</v>
      </c>
      <c r="H42" s="1691">
        <f t="shared" si="3"/>
        <v>0</v>
      </c>
      <c r="I42" s="1691">
        <f t="shared" si="3"/>
        <v>0</v>
      </c>
      <c r="J42" s="1691">
        <f t="shared" si="3"/>
        <v>0</v>
      </c>
      <c r="K42" s="1691">
        <f t="shared" si="3"/>
        <v>0</v>
      </c>
      <c r="L42" s="1691">
        <f t="shared" si="3"/>
        <v>0</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118233</v>
      </c>
      <c r="D44" s="480">
        <v>12384</v>
      </c>
      <c r="E44" s="480">
        <v>14735</v>
      </c>
      <c r="F44" s="480">
        <v>0</v>
      </c>
      <c r="G44" s="480"/>
      <c r="H44" s="480"/>
      <c r="I44" s="466"/>
      <c r="J44" s="466"/>
      <c r="K44" s="1693">
        <f>SUM(C44:J44)</f>
        <v>145352</v>
      </c>
      <c r="L44" s="480">
        <v>145217</v>
      </c>
    </row>
    <row r="45" spans="1:14" x14ac:dyDescent="0.2">
      <c r="A45" s="1525" t="s">
        <v>869</v>
      </c>
      <c r="B45" s="614">
        <v>2220</v>
      </c>
      <c r="C45" s="465"/>
      <c r="D45" s="465"/>
      <c r="E45" s="465"/>
      <c r="F45" s="465"/>
      <c r="G45" s="465"/>
      <c r="H45" s="465"/>
      <c r="I45" s="466"/>
      <c r="J45" s="466"/>
      <c r="K45" s="1693">
        <f>SUM(C45:J45)</f>
        <v>0</v>
      </c>
      <c r="L45" s="465"/>
    </row>
    <row r="46" spans="1:14" x14ac:dyDescent="0.2">
      <c r="A46" s="1525" t="s">
        <v>870</v>
      </c>
      <c r="B46" s="614">
        <v>2230</v>
      </c>
      <c r="C46" s="465"/>
      <c r="D46" s="465"/>
      <c r="E46" s="465"/>
      <c r="F46" s="465"/>
      <c r="G46" s="465"/>
      <c r="H46" s="465"/>
      <c r="I46" s="466"/>
      <c r="J46" s="466"/>
      <c r="K46" s="1693">
        <f>SUM(C46:J46)</f>
        <v>0</v>
      </c>
      <c r="L46" s="465"/>
    </row>
    <row r="47" spans="1:14" ht="12.75" customHeight="1" thickBot="1" x14ac:dyDescent="0.25">
      <c r="A47" s="1689" t="s">
        <v>582</v>
      </c>
      <c r="B47" s="1690" t="s">
        <v>32</v>
      </c>
      <c r="C47" s="1691">
        <f>SUM(C44:C46)</f>
        <v>118233</v>
      </c>
      <c r="D47" s="1691">
        <f t="shared" ref="D47:K47" si="4">SUM(D44:D46)</f>
        <v>12384</v>
      </c>
      <c r="E47" s="1691">
        <f t="shared" si="4"/>
        <v>14735</v>
      </c>
      <c r="F47" s="1691">
        <f t="shared" si="4"/>
        <v>0</v>
      </c>
      <c r="G47" s="1691">
        <f t="shared" si="4"/>
        <v>0</v>
      </c>
      <c r="H47" s="1691">
        <f t="shared" si="4"/>
        <v>0</v>
      </c>
      <c r="I47" s="1691">
        <f t="shared" si="4"/>
        <v>0</v>
      </c>
      <c r="J47" s="1691">
        <f t="shared" si="4"/>
        <v>0</v>
      </c>
      <c r="K47" s="1691">
        <f t="shared" si="4"/>
        <v>145352</v>
      </c>
      <c r="L47" s="1691">
        <f>SUM(L44:L46)</f>
        <v>145217</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c r="D49" s="480"/>
      <c r="E49" s="480"/>
      <c r="F49" s="480"/>
      <c r="G49" s="480"/>
      <c r="H49" s="480"/>
      <c r="I49" s="466"/>
      <c r="J49" s="466"/>
      <c r="K49" s="1693">
        <f>SUM(C49:J49)</f>
        <v>0</v>
      </c>
      <c r="L49" s="480"/>
    </row>
    <row r="50" spans="1:14" x14ac:dyDescent="0.2">
      <c r="A50" s="1525" t="s">
        <v>872</v>
      </c>
      <c r="B50" s="614">
        <v>2320</v>
      </c>
      <c r="C50" s="465">
        <v>75563</v>
      </c>
      <c r="D50" s="465">
        <v>29578</v>
      </c>
      <c r="E50" s="465">
        <v>25435</v>
      </c>
      <c r="F50" s="465">
        <v>1600</v>
      </c>
      <c r="G50" s="465">
        <v>0</v>
      </c>
      <c r="H50" s="465">
        <v>330</v>
      </c>
      <c r="I50" s="466"/>
      <c r="J50" s="466"/>
      <c r="K50" s="1693">
        <f>SUM(C50:J50)</f>
        <v>132506</v>
      </c>
      <c r="L50" s="465">
        <v>134940</v>
      </c>
    </row>
    <row r="51" spans="1:14" x14ac:dyDescent="0.2">
      <c r="A51" s="1525" t="s">
        <v>44</v>
      </c>
      <c r="B51" s="614">
        <v>2330</v>
      </c>
      <c r="C51" s="465"/>
      <c r="D51" s="465"/>
      <c r="E51" s="465"/>
      <c r="F51" s="465"/>
      <c r="G51" s="465"/>
      <c r="H51" s="465"/>
      <c r="I51" s="466"/>
      <c r="J51" s="466"/>
      <c r="K51" s="1693">
        <f>SUM(C51:J51)</f>
        <v>0</v>
      </c>
      <c r="L51" s="465"/>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75563</v>
      </c>
      <c r="D53" s="1691">
        <f t="shared" ref="D53:L53" si="5">SUM(D49:D52)</f>
        <v>29578</v>
      </c>
      <c r="E53" s="1691">
        <f t="shared" si="5"/>
        <v>25435</v>
      </c>
      <c r="F53" s="1691">
        <f t="shared" si="5"/>
        <v>1600</v>
      </c>
      <c r="G53" s="1691">
        <f t="shared" si="5"/>
        <v>0</v>
      </c>
      <c r="H53" s="1691">
        <f t="shared" si="5"/>
        <v>330</v>
      </c>
      <c r="I53" s="1691">
        <f t="shared" si="5"/>
        <v>0</v>
      </c>
      <c r="J53" s="1691">
        <f t="shared" si="5"/>
        <v>0</v>
      </c>
      <c r="K53" s="1691">
        <f t="shared" si="5"/>
        <v>132506</v>
      </c>
      <c r="L53" s="1691">
        <f t="shared" si="5"/>
        <v>134940</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c r="D55" s="480"/>
      <c r="E55" s="480"/>
      <c r="F55" s="480"/>
      <c r="G55" s="480"/>
      <c r="H55" s="480"/>
      <c r="I55" s="466"/>
      <c r="J55" s="466"/>
      <c r="K55" s="1693">
        <f>SUM(C55:J55)</f>
        <v>0</v>
      </c>
      <c r="L55" s="480"/>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c r="M59" s="609"/>
      <c r="N59" s="609"/>
    </row>
    <row r="60" spans="1:14" s="342" customFormat="1" x14ac:dyDescent="0.2">
      <c r="A60" s="1525" t="s">
        <v>483</v>
      </c>
      <c r="B60" s="614">
        <v>2520</v>
      </c>
      <c r="C60" s="465"/>
      <c r="D60" s="465"/>
      <c r="E60" s="465"/>
      <c r="F60" s="465"/>
      <c r="G60" s="465"/>
      <c r="H60" s="465"/>
      <c r="I60" s="466"/>
      <c r="J60" s="466"/>
      <c r="K60" s="1693">
        <f t="shared" si="7"/>
        <v>0</v>
      </c>
      <c r="L60" s="465"/>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c r="D63" s="465"/>
      <c r="E63" s="465"/>
      <c r="F63" s="465"/>
      <c r="G63" s="465"/>
      <c r="H63" s="465"/>
      <c r="I63" s="466"/>
      <c r="J63" s="466"/>
      <c r="K63" s="1693">
        <f t="shared" si="7"/>
        <v>0</v>
      </c>
      <c r="L63" s="465"/>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743</v>
      </c>
      <c r="B65" s="1690" t="s">
        <v>35</v>
      </c>
      <c r="C65" s="1691">
        <f>SUM(C59:C64)</f>
        <v>0</v>
      </c>
      <c r="D65" s="1691">
        <f t="shared" ref="D65:L65" si="8">SUM(D59:D64)</f>
        <v>0</v>
      </c>
      <c r="E65" s="1691">
        <f t="shared" si="8"/>
        <v>0</v>
      </c>
      <c r="F65" s="1691">
        <f t="shared" si="8"/>
        <v>0</v>
      </c>
      <c r="G65" s="1691">
        <f t="shared" si="8"/>
        <v>0</v>
      </c>
      <c r="H65" s="1691">
        <f t="shared" si="8"/>
        <v>0</v>
      </c>
      <c r="I65" s="1691">
        <f t="shared" si="8"/>
        <v>0</v>
      </c>
      <c r="J65" s="1691">
        <f t="shared" si="8"/>
        <v>0</v>
      </c>
      <c r="K65" s="1691">
        <f t="shared" si="8"/>
        <v>0</v>
      </c>
      <c r="L65" s="1691">
        <f t="shared" si="8"/>
        <v>0</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c r="D71" s="465"/>
      <c r="E71" s="465"/>
      <c r="F71" s="465"/>
      <c r="G71" s="465"/>
      <c r="H71" s="465"/>
      <c r="I71" s="466"/>
      <c r="J71" s="466"/>
      <c r="K71" s="1693">
        <f>SUM(C71:J71)</f>
        <v>0</v>
      </c>
      <c r="L71" s="465"/>
      <c r="M71" s="609"/>
      <c r="N71" s="609"/>
    </row>
    <row r="72" spans="1:14" s="342"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c r="M73" s="609"/>
      <c r="N73" s="609"/>
    </row>
    <row r="74" spans="1:14" ht="12.75" customHeight="1" thickTop="1" thickBot="1" x14ac:dyDescent="0.25">
      <c r="A74" s="1689" t="s">
        <v>865</v>
      </c>
      <c r="B74" s="1697">
        <v>2000</v>
      </c>
      <c r="C74" s="1698">
        <f>SUM(C42,C47,C53,C57,C65,C72,C73)</f>
        <v>193796</v>
      </c>
      <c r="D74" s="1698">
        <f t="shared" ref="D74:K74" si="10">SUM(D42,D47,D53,D57,D65,D72,D73)</f>
        <v>41962</v>
      </c>
      <c r="E74" s="1698">
        <f t="shared" si="10"/>
        <v>40170</v>
      </c>
      <c r="F74" s="1698">
        <f t="shared" si="10"/>
        <v>1600</v>
      </c>
      <c r="G74" s="1698">
        <f t="shared" si="10"/>
        <v>0</v>
      </c>
      <c r="H74" s="1698">
        <f t="shared" si="10"/>
        <v>330</v>
      </c>
      <c r="I74" s="1698">
        <f t="shared" si="10"/>
        <v>0</v>
      </c>
      <c r="J74" s="1698">
        <f t="shared" si="10"/>
        <v>0</v>
      </c>
      <c r="K74" s="1698">
        <f t="shared" si="10"/>
        <v>277858</v>
      </c>
      <c r="L74" s="1698">
        <f>SUM(L42,L47,L53,L57,L65,L72,L73)</f>
        <v>280157</v>
      </c>
    </row>
    <row r="75" spans="1:14" s="258" customFormat="1" ht="15.75" customHeight="1" thickTop="1" thickBot="1" x14ac:dyDescent="0.25">
      <c r="A75" s="1631" t="s">
        <v>49</v>
      </c>
      <c r="B75" s="1632" t="s">
        <v>596</v>
      </c>
      <c r="C75" s="572"/>
      <c r="D75" s="572"/>
      <c r="E75" s="572"/>
      <c r="F75" s="572"/>
      <c r="G75" s="572"/>
      <c r="H75" s="572"/>
      <c r="I75" s="530"/>
      <c r="J75" s="530"/>
      <c r="K75" s="1691">
        <f>SUM(C75:J75)</f>
        <v>0</v>
      </c>
      <c r="L75" s="575"/>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c r="F79" s="616"/>
      <c r="G79" s="616"/>
      <c r="H79" s="465"/>
      <c r="I79" s="476"/>
      <c r="J79" s="476"/>
      <c r="K79" s="1692">
        <f t="shared" si="11"/>
        <v>0</v>
      </c>
      <c r="L79" s="465"/>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0</v>
      </c>
      <c r="F84" s="616"/>
      <c r="G84" s="616"/>
      <c r="H84" s="1691">
        <f>SUM(H78:H83)</f>
        <v>0</v>
      </c>
      <c r="I84" s="476"/>
      <c r="J84" s="476"/>
      <c r="K84" s="1691">
        <f>SUM(K78:K83)</f>
        <v>0</v>
      </c>
      <c r="L84" s="1691">
        <f>SUM(L78:L83)</f>
        <v>0</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v>1483601</v>
      </c>
      <c r="I96" s="476"/>
      <c r="J96" s="476"/>
      <c r="K96" s="1698">
        <f t="shared" si="12"/>
        <v>1483601</v>
      </c>
      <c r="L96" s="529">
        <v>1404711</v>
      </c>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1483601</v>
      </c>
      <c r="I100" s="476"/>
      <c r="J100" s="476"/>
      <c r="K100" s="1698">
        <f>SUM(K93:K99)</f>
        <v>1483601</v>
      </c>
      <c r="L100" s="1698">
        <f>SUM(L93:L99)</f>
        <v>1404711</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0</v>
      </c>
      <c r="F102" s="616"/>
      <c r="G102" s="616"/>
      <c r="H102" s="1698">
        <f>SUM(H84,H92,H100,H101)</f>
        <v>1483601</v>
      </c>
      <c r="I102" s="476"/>
      <c r="J102" s="476"/>
      <c r="K102" s="1698">
        <f>SUM(K84,K92,K100,K101)</f>
        <v>1483601</v>
      </c>
      <c r="L102" s="1698">
        <f>SUM(L84,L92,L100,L101)</f>
        <v>1404711</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193796</v>
      </c>
      <c r="D114" s="1691">
        <f t="shared" ref="D114:K114" si="13">SUM(D33,D74,D75,D102,D112,D113)</f>
        <v>41962</v>
      </c>
      <c r="E114" s="1691">
        <f t="shared" si="13"/>
        <v>40170</v>
      </c>
      <c r="F114" s="1691">
        <f t="shared" si="13"/>
        <v>1600</v>
      </c>
      <c r="G114" s="1691">
        <f t="shared" si="13"/>
        <v>0</v>
      </c>
      <c r="H114" s="1691">
        <f>SUM(H33,H74,H75,H102,H112,H113)</f>
        <v>1483931</v>
      </c>
      <c r="I114" s="1691">
        <f t="shared" si="13"/>
        <v>0</v>
      </c>
      <c r="J114" s="1691">
        <f t="shared" si="13"/>
        <v>0</v>
      </c>
      <c r="K114" s="1691">
        <f t="shared" si="13"/>
        <v>1761459</v>
      </c>
      <c r="L114" s="1691">
        <f>SUM(L33,L74,L75,L102,L112,L113)</f>
        <v>1684868</v>
      </c>
    </row>
    <row r="115" spans="1:14" ht="13.5" thickTop="1" x14ac:dyDescent="0.2">
      <c r="A115" s="2170" t="s">
        <v>1053</v>
      </c>
      <c r="B115" s="2171"/>
      <c r="C115" s="618"/>
      <c r="D115" s="618"/>
      <c r="E115" s="618"/>
      <c r="F115" s="618"/>
      <c r="G115" s="618"/>
      <c r="H115" s="618"/>
      <c r="I115" s="618"/>
      <c r="J115" s="618"/>
      <c r="K115" s="1705">
        <f>'Revenues 9-14'!C275-'Expenditures 15-22'!K114</f>
        <v>0</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5" t="s">
        <v>314</v>
      </c>
      <c r="B117" s="2176"/>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c r="D124" s="465"/>
      <c r="E124" s="465"/>
      <c r="F124" s="465"/>
      <c r="G124" s="465"/>
      <c r="H124" s="465"/>
      <c r="I124" s="466"/>
      <c r="J124" s="466"/>
      <c r="K124" s="1691">
        <f>SUM(C124:J124)</f>
        <v>0</v>
      </c>
      <c r="L124" s="465"/>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187" t="s">
        <v>641</v>
      </c>
      <c r="B151" s="2167"/>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90" t="s">
        <v>1240</v>
      </c>
      <c r="B152" s="2191"/>
      <c r="C152" s="618"/>
      <c r="D152" s="618"/>
      <c r="E152" s="618"/>
      <c r="F152" s="618"/>
      <c r="G152" s="618"/>
      <c r="H152" s="618"/>
      <c r="I152" s="618"/>
      <c r="J152" s="616"/>
      <c r="K152" s="1705">
        <f>'Revenues 9-14'!D275-'Expenditures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642</v>
      </c>
      <c r="B154" s="2177"/>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1959</v>
      </c>
      <c r="C158" s="616"/>
      <c r="D158" s="616"/>
      <c r="E158" s="616"/>
      <c r="F158" s="616"/>
      <c r="G158" s="616"/>
      <c r="H158" s="466"/>
      <c r="I158" s="616"/>
      <c r="J158" s="616"/>
      <c r="K158" s="1692">
        <f>H158</f>
        <v>0</v>
      </c>
      <c r="L158" s="466"/>
      <c r="M158" s="619"/>
      <c r="N158" s="619"/>
    </row>
    <row r="159" spans="1:14" s="620" customFormat="1" ht="12" x14ac:dyDescent="0.2">
      <c r="A159" s="1848" t="s">
        <v>1960</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c r="I169" s="616"/>
      <c r="J169" s="616"/>
      <c r="K169" s="1692">
        <f>SUM(C169:H169)</f>
        <v>0</v>
      </c>
      <c r="L169" s="656"/>
    </row>
    <row r="170" spans="1:14" ht="33.75" customHeight="1" x14ac:dyDescent="0.2">
      <c r="A170" s="669" t="s">
        <v>1769</v>
      </c>
      <c r="B170" s="671" t="s">
        <v>31</v>
      </c>
      <c r="C170" s="616"/>
      <c r="D170" s="616"/>
      <c r="E170" s="616"/>
      <c r="F170" s="616"/>
      <c r="G170" s="616"/>
      <c r="H170" s="568"/>
      <c r="I170" s="616"/>
      <c r="J170" s="616"/>
      <c r="K170" s="1692">
        <f>SUM(C170:J170)</f>
        <v>0</v>
      </c>
      <c r="L170" s="568"/>
    </row>
    <row r="171" spans="1:14" ht="15.75" customHeight="1" x14ac:dyDescent="0.2">
      <c r="A171" s="621" t="s">
        <v>790</v>
      </c>
      <c r="B171" s="672" t="s">
        <v>86</v>
      </c>
      <c r="C171" s="616"/>
      <c r="D171" s="616"/>
      <c r="E171" s="465"/>
      <c r="F171" s="616"/>
      <c r="G171" s="616"/>
      <c r="H171" s="568"/>
      <c r="I171" s="476"/>
      <c r="J171" s="616"/>
      <c r="K171" s="1692">
        <f>SUM(C171:J171)</f>
        <v>0</v>
      </c>
      <c r="L171" s="568"/>
    </row>
    <row r="172" spans="1:14" ht="12.75" customHeight="1" thickBot="1" x14ac:dyDescent="0.25">
      <c r="A172" s="1689" t="s">
        <v>659</v>
      </c>
      <c r="B172" s="1690" t="s">
        <v>513</v>
      </c>
      <c r="C172" s="616"/>
      <c r="D172" s="616"/>
      <c r="E172" s="1698">
        <f>SUM(E168,E169,E170,E171)</f>
        <v>0</v>
      </c>
      <c r="F172" s="616"/>
      <c r="G172" s="616"/>
      <c r="H172" s="1698">
        <f>SUM(H168,H169,H170,H171)</f>
        <v>0</v>
      </c>
      <c r="I172" s="638"/>
      <c r="J172" s="616"/>
      <c r="K172" s="1698">
        <f>SUM(K168,K169,K170,K171)</f>
        <v>0</v>
      </c>
      <c r="L172" s="1698">
        <f>SUM(L168,L169,L170,L171)</f>
        <v>0</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0</v>
      </c>
      <c r="I174" s="638"/>
      <c r="J174" s="616"/>
      <c r="K174" s="1698">
        <f>SUM(K160,K172,K173)</f>
        <v>0</v>
      </c>
      <c r="L174" s="1698">
        <f>SUM(L160,L172,L173)</f>
        <v>0</v>
      </c>
    </row>
    <row r="175" spans="1:14" ht="13.5" thickTop="1" x14ac:dyDescent="0.2">
      <c r="A175" s="2170" t="s">
        <v>1053</v>
      </c>
      <c r="B175" s="2171"/>
      <c r="C175" s="616"/>
      <c r="D175" s="616"/>
      <c r="E175" s="616"/>
      <c r="F175" s="616"/>
      <c r="G175" s="616"/>
      <c r="H175" s="618"/>
      <c r="I175" s="616"/>
      <c r="J175" s="616"/>
      <c r="K175" s="1705">
        <f>'Revenues 9-14'!E275-'Expenditures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c r="D182" s="465"/>
      <c r="E182" s="465"/>
      <c r="F182" s="465"/>
      <c r="G182" s="465"/>
      <c r="H182" s="465"/>
      <c r="I182" s="466"/>
      <c r="J182" s="466"/>
      <c r="K182" s="1692">
        <f>SUM(C182:J182)</f>
        <v>0</v>
      </c>
      <c r="L182" s="465"/>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1770</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70" t="s">
        <v>1053</v>
      </c>
      <c r="B211" s="2171"/>
      <c r="C211" s="618"/>
      <c r="D211" s="618"/>
      <c r="E211" s="618"/>
      <c r="F211" s="618"/>
      <c r="G211" s="618"/>
      <c r="H211" s="618"/>
      <c r="I211" s="616"/>
      <c r="J211" s="616"/>
      <c r="K211" s="1705">
        <f>'Revenues 9-14'!F275-'Expenditures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2" t="s">
        <v>1022</v>
      </c>
      <c r="B213" s="2193"/>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c r="E215" s="616"/>
      <c r="F215" s="616"/>
      <c r="G215" s="616"/>
      <c r="H215" s="616"/>
      <c r="I215" s="616"/>
      <c r="J215" s="616"/>
      <c r="K215" s="1692">
        <f>D215</f>
        <v>0</v>
      </c>
      <c r="L215" s="465"/>
    </row>
    <row r="216" spans="1:14" x14ac:dyDescent="0.2">
      <c r="A216" s="1525" t="s">
        <v>165</v>
      </c>
      <c r="B216" s="614" t="s">
        <v>1024</v>
      </c>
      <c r="C216" s="616"/>
      <c r="D216" s="466"/>
      <c r="E216" s="616"/>
      <c r="F216" s="616"/>
      <c r="G216" s="616"/>
      <c r="H216" s="616"/>
      <c r="I216" s="616"/>
      <c r="J216" s="616"/>
      <c r="K216" s="1692">
        <f t="shared" ref="K216:K228" si="19">D216</f>
        <v>0</v>
      </c>
      <c r="L216" s="465"/>
    </row>
    <row r="217" spans="1:14" x14ac:dyDescent="0.2">
      <c r="A217" s="1525" t="s">
        <v>166</v>
      </c>
      <c r="B217" s="614">
        <v>1200</v>
      </c>
      <c r="C217" s="616"/>
      <c r="D217" s="465"/>
      <c r="E217" s="616"/>
      <c r="F217" s="616"/>
      <c r="G217" s="616"/>
      <c r="H217" s="616"/>
      <c r="I217" s="616"/>
      <c r="J217" s="616"/>
      <c r="K217" s="1692">
        <f t="shared" si="19"/>
        <v>0</v>
      </c>
      <c r="L217" s="465"/>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c r="E219" s="616"/>
      <c r="F219" s="616"/>
      <c r="G219" s="616"/>
      <c r="H219" s="616"/>
      <c r="I219" s="616"/>
      <c r="J219" s="616"/>
      <c r="K219" s="1692">
        <f t="shared" si="19"/>
        <v>0</v>
      </c>
      <c r="L219" s="465"/>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c r="E223" s="616"/>
      <c r="F223" s="616"/>
      <c r="G223" s="616"/>
      <c r="H223" s="616"/>
      <c r="I223" s="616"/>
      <c r="J223" s="616"/>
      <c r="K223" s="1692">
        <f t="shared" si="19"/>
        <v>0</v>
      </c>
      <c r="L223" s="465"/>
    </row>
    <row r="224" spans="1:14" x14ac:dyDescent="0.2">
      <c r="A224" s="1525" t="s">
        <v>1021</v>
      </c>
      <c r="B224" s="614">
        <v>1600</v>
      </c>
      <c r="C224" s="616"/>
      <c r="D224" s="465"/>
      <c r="E224" s="616"/>
      <c r="F224" s="616"/>
      <c r="G224" s="616"/>
      <c r="H224" s="616"/>
      <c r="I224" s="616"/>
      <c r="J224" s="616"/>
      <c r="K224" s="1692">
        <f t="shared" si="19"/>
        <v>0</v>
      </c>
      <c r="L224" s="465"/>
    </row>
    <row r="225" spans="1:12" x14ac:dyDescent="0.2">
      <c r="A225" s="1525" t="s">
        <v>1044</v>
      </c>
      <c r="B225" s="614">
        <v>1650</v>
      </c>
      <c r="C225" s="616"/>
      <c r="D225" s="465"/>
      <c r="E225" s="616"/>
      <c r="F225" s="616"/>
      <c r="G225" s="616"/>
      <c r="H225" s="616"/>
      <c r="I225" s="616"/>
      <c r="J225" s="616"/>
      <c r="K225" s="1692">
        <f t="shared" si="19"/>
        <v>0</v>
      </c>
      <c r="L225" s="465"/>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c r="E227" s="616"/>
      <c r="F227" s="616"/>
      <c r="G227" s="616"/>
      <c r="H227" s="616"/>
      <c r="I227" s="616"/>
      <c r="J227" s="616"/>
      <c r="K227" s="1692">
        <f t="shared" si="19"/>
        <v>0</v>
      </c>
      <c r="L227" s="465"/>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0</v>
      </c>
      <c r="E229" s="616"/>
      <c r="F229" s="616"/>
      <c r="G229" s="616"/>
      <c r="H229" s="616"/>
      <c r="I229" s="616"/>
      <c r="J229" s="616"/>
      <c r="K229" s="1691">
        <f>SUM(K215:K228)</f>
        <v>0</v>
      </c>
      <c r="L229" s="1691">
        <f>SUM(L215:L228)</f>
        <v>0</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c r="E232" s="616"/>
      <c r="F232" s="616"/>
      <c r="G232" s="616"/>
      <c r="H232" s="616"/>
      <c r="I232" s="616"/>
      <c r="J232" s="616"/>
      <c r="K232" s="1692">
        <f t="shared" ref="K232:K237" si="20">D232</f>
        <v>0</v>
      </c>
      <c r="L232" s="465"/>
    </row>
    <row r="233" spans="1:12" x14ac:dyDescent="0.2">
      <c r="A233" s="1525" t="s">
        <v>1151</v>
      </c>
      <c r="B233" s="614">
        <v>2120</v>
      </c>
      <c r="C233" s="616"/>
      <c r="D233" s="465"/>
      <c r="E233" s="616"/>
      <c r="F233" s="616"/>
      <c r="G233" s="616"/>
      <c r="H233" s="616"/>
      <c r="I233" s="616"/>
      <c r="J233" s="616"/>
      <c r="K233" s="1692">
        <f t="shared" si="20"/>
        <v>0</v>
      </c>
      <c r="L233" s="465"/>
    </row>
    <row r="234" spans="1:12" x14ac:dyDescent="0.2">
      <c r="A234" s="1525" t="s">
        <v>207</v>
      </c>
      <c r="B234" s="614">
        <v>2130</v>
      </c>
      <c r="C234" s="616"/>
      <c r="D234" s="465"/>
      <c r="E234" s="616"/>
      <c r="F234" s="616"/>
      <c r="G234" s="616"/>
      <c r="H234" s="616"/>
      <c r="I234" s="616"/>
      <c r="J234" s="616"/>
      <c r="K234" s="1692">
        <f t="shared" si="20"/>
        <v>0</v>
      </c>
      <c r="L234" s="465"/>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c r="E236" s="616"/>
      <c r="F236" s="616"/>
      <c r="G236" s="616"/>
      <c r="H236" s="616"/>
      <c r="I236" s="616"/>
      <c r="J236" s="616"/>
      <c r="K236" s="1692">
        <f t="shared" si="20"/>
        <v>0</v>
      </c>
      <c r="L236" s="465"/>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0</v>
      </c>
      <c r="E238" s="616"/>
      <c r="F238" s="616"/>
      <c r="G238" s="616"/>
      <c r="H238" s="616"/>
      <c r="I238" s="616"/>
      <c r="J238" s="616"/>
      <c r="K238" s="1691">
        <f>SUM(K232:K237)</f>
        <v>0</v>
      </c>
      <c r="L238" s="1691">
        <f>SUM(L232:L237)</f>
        <v>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c r="E240" s="616"/>
      <c r="F240" s="616"/>
      <c r="G240" s="616"/>
      <c r="H240" s="616"/>
      <c r="I240" s="616"/>
      <c r="J240" s="616"/>
      <c r="K240" s="1693">
        <f>D240</f>
        <v>0</v>
      </c>
      <c r="L240" s="480"/>
    </row>
    <row r="241" spans="1:12" x14ac:dyDescent="0.2">
      <c r="A241" s="1525" t="s">
        <v>869</v>
      </c>
      <c r="B241" s="614">
        <v>2220</v>
      </c>
      <c r="C241" s="616"/>
      <c r="D241" s="465"/>
      <c r="E241" s="616"/>
      <c r="F241" s="616"/>
      <c r="G241" s="616"/>
      <c r="H241" s="616"/>
      <c r="I241" s="616"/>
      <c r="J241" s="616"/>
      <c r="K241" s="1693">
        <f>D241</f>
        <v>0</v>
      </c>
      <c r="L241" s="465"/>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0</v>
      </c>
      <c r="E243" s="616"/>
      <c r="F243" s="616"/>
      <c r="G243" s="616"/>
      <c r="H243" s="616"/>
      <c r="I243" s="616"/>
      <c r="J243" s="616"/>
      <c r="K243" s="1691">
        <f>SUM(K240:K242)</f>
        <v>0</v>
      </c>
      <c r="L243" s="1691">
        <f>SUM(L240:L242)</f>
        <v>0</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c r="E245" s="616"/>
      <c r="F245" s="616"/>
      <c r="G245" s="616"/>
      <c r="H245" s="616"/>
      <c r="I245" s="616"/>
      <c r="J245" s="616"/>
      <c r="K245" s="1693">
        <f>D245</f>
        <v>0</v>
      </c>
      <c r="L245" s="480"/>
    </row>
    <row r="246" spans="1:12" x14ac:dyDescent="0.2">
      <c r="A246" s="1525" t="s">
        <v>872</v>
      </c>
      <c r="B246" s="614">
        <v>2320</v>
      </c>
      <c r="C246" s="616"/>
      <c r="D246" s="465"/>
      <c r="E246" s="616"/>
      <c r="F246" s="616"/>
      <c r="G246" s="616"/>
      <c r="H246" s="616"/>
      <c r="I246" s="616"/>
      <c r="J246" s="616"/>
      <c r="K246" s="1693">
        <f t="shared" ref="K246:K256" si="21">D246</f>
        <v>0</v>
      </c>
      <c r="L246" s="465"/>
    </row>
    <row r="247" spans="1:12" x14ac:dyDescent="0.2">
      <c r="A247" s="1525" t="s">
        <v>873</v>
      </c>
      <c r="B247" s="614">
        <v>2330</v>
      </c>
      <c r="C247" s="616"/>
      <c r="D247" s="465"/>
      <c r="E247" s="616"/>
      <c r="F247" s="616"/>
      <c r="G247" s="616"/>
      <c r="H247" s="616"/>
      <c r="I247" s="616"/>
      <c r="J247" s="616"/>
      <c r="K247" s="1693">
        <f t="shared" si="21"/>
        <v>0</v>
      </c>
      <c r="L247" s="465"/>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1908</v>
      </c>
      <c r="B249" s="683" t="s">
        <v>300</v>
      </c>
      <c r="C249" s="616"/>
      <c r="D249" s="473"/>
      <c r="E249" s="616"/>
      <c r="F249" s="616"/>
      <c r="G249" s="616"/>
      <c r="H249" s="616"/>
      <c r="I249" s="616"/>
      <c r="J249" s="616"/>
      <c r="K249" s="1693">
        <f t="shared" si="21"/>
        <v>0</v>
      </c>
      <c r="L249" s="465"/>
    </row>
    <row r="250" spans="1:12" x14ac:dyDescent="0.2">
      <c r="A250" s="1526" t="s">
        <v>1909</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0</v>
      </c>
      <c r="E257" s="616"/>
      <c r="F257" s="616"/>
      <c r="G257" s="616"/>
      <c r="H257" s="616"/>
      <c r="I257" s="616"/>
      <c r="J257" s="616"/>
      <c r="K257" s="1691">
        <f>SUM(K245:K256)</f>
        <v>0</v>
      </c>
      <c r="L257" s="1691">
        <f>SUM(L245:L256)</f>
        <v>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c r="E259" s="616"/>
      <c r="F259" s="616"/>
      <c r="G259" s="616"/>
      <c r="H259" s="616"/>
      <c r="I259" s="616"/>
      <c r="J259" s="616"/>
      <c r="K259" s="1693">
        <f>D259</f>
        <v>0</v>
      </c>
      <c r="L259" s="480"/>
    </row>
    <row r="260" spans="1:14" s="597" customFormat="1" x14ac:dyDescent="0.2">
      <c r="A260" s="1543" t="s">
        <v>1907</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0</v>
      </c>
      <c r="E261" s="616"/>
      <c r="F261" s="616"/>
      <c r="G261" s="616"/>
      <c r="H261" s="616"/>
      <c r="I261" s="616"/>
      <c r="J261" s="616"/>
      <c r="K261" s="1691">
        <f>SUM(K259:K260)</f>
        <v>0</v>
      </c>
      <c r="L261" s="1691">
        <f>SUM(L259:L260)</f>
        <v>0</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c r="E263" s="616"/>
      <c r="F263" s="616"/>
      <c r="G263" s="616"/>
      <c r="H263" s="616"/>
      <c r="I263" s="616"/>
      <c r="J263" s="616"/>
      <c r="K263" s="1693">
        <f>D263</f>
        <v>0</v>
      </c>
      <c r="L263" s="480"/>
    </row>
    <row r="264" spans="1:14" x14ac:dyDescent="0.2">
      <c r="A264" s="1525" t="s">
        <v>483</v>
      </c>
      <c r="B264" s="685">
        <v>2520</v>
      </c>
      <c r="C264" s="616"/>
      <c r="D264" s="465"/>
      <c r="E264" s="616"/>
      <c r="F264" s="616"/>
      <c r="G264" s="616"/>
      <c r="H264" s="616"/>
      <c r="I264" s="616"/>
      <c r="J264" s="616"/>
      <c r="K264" s="1693">
        <f t="shared" ref="K264:K269" si="22">D264</f>
        <v>0</v>
      </c>
      <c r="L264" s="465"/>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c r="E266" s="616"/>
      <c r="F266" s="616"/>
      <c r="G266" s="616"/>
      <c r="H266" s="616"/>
      <c r="I266" s="616"/>
      <c r="J266" s="616"/>
      <c r="K266" s="1693">
        <f t="shared" si="22"/>
        <v>0</v>
      </c>
      <c r="L266" s="465"/>
    </row>
    <row r="267" spans="1:14" x14ac:dyDescent="0.2">
      <c r="A267" s="1525" t="s">
        <v>1010</v>
      </c>
      <c r="B267" s="614">
        <v>2550</v>
      </c>
      <c r="C267" s="616"/>
      <c r="D267" s="465"/>
      <c r="E267" s="616"/>
      <c r="F267" s="616"/>
      <c r="G267" s="616"/>
      <c r="H267" s="616"/>
      <c r="I267" s="616"/>
      <c r="J267" s="616"/>
      <c r="K267" s="1693">
        <f t="shared" si="22"/>
        <v>0</v>
      </c>
      <c r="L267" s="465"/>
    </row>
    <row r="268" spans="1:14" x14ac:dyDescent="0.2">
      <c r="A268" s="1525" t="s">
        <v>102</v>
      </c>
      <c r="B268" s="614">
        <v>2560</v>
      </c>
      <c r="C268" s="616"/>
      <c r="D268" s="465"/>
      <c r="E268" s="616"/>
      <c r="F268" s="616"/>
      <c r="G268" s="616"/>
      <c r="H268" s="616"/>
      <c r="I268" s="616"/>
      <c r="J268" s="616"/>
      <c r="K268" s="1693">
        <f t="shared" si="22"/>
        <v>0</v>
      </c>
      <c r="L268" s="465"/>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0</v>
      </c>
      <c r="E270" s="616"/>
      <c r="F270" s="616"/>
      <c r="G270" s="616"/>
      <c r="H270" s="616"/>
      <c r="I270" s="616"/>
      <c r="J270" s="616"/>
      <c r="K270" s="1691">
        <f>SUM(K263:K269)</f>
        <v>0</v>
      </c>
      <c r="L270" s="1691">
        <f>SUM(L263:L269)</f>
        <v>0</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c r="E276" s="616"/>
      <c r="F276" s="616"/>
      <c r="G276" s="616"/>
      <c r="H276" s="616"/>
      <c r="I276" s="616"/>
      <c r="J276" s="616"/>
      <c r="K276" s="1693">
        <f>D276</f>
        <v>0</v>
      </c>
      <c r="L276" s="465"/>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0</v>
      </c>
      <c r="E279" s="616"/>
      <c r="F279" s="616"/>
      <c r="G279" s="616"/>
      <c r="H279" s="616"/>
      <c r="I279" s="616"/>
      <c r="J279" s="616"/>
      <c r="K279" s="1698">
        <f>SUM(K238,K243,K257,K261,K270,K277,K278)</f>
        <v>0</v>
      </c>
      <c r="L279" s="1698">
        <f>SUM(L238,L243,L257,L261,L270,L277,L278)</f>
        <v>0</v>
      </c>
    </row>
    <row r="280" spans="1:12" ht="15.75" customHeight="1" thickTop="1" thickBot="1" x14ac:dyDescent="0.25">
      <c r="A280" s="1645" t="s">
        <v>930</v>
      </c>
      <c r="B280" s="1634">
        <v>3000</v>
      </c>
      <c r="C280" s="616"/>
      <c r="D280" s="575"/>
      <c r="E280" s="616"/>
      <c r="F280" s="616"/>
      <c r="G280" s="616"/>
      <c r="H280" s="616"/>
      <c r="I280" s="616"/>
      <c r="J280" s="616"/>
      <c r="K280" s="1700">
        <f>D280</f>
        <v>0</v>
      </c>
      <c r="L280" s="575"/>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88" t="s">
        <v>526</v>
      </c>
      <c r="B295" s="2189"/>
      <c r="C295" s="616"/>
      <c r="D295" s="1691">
        <f>SUM(D229,D279,D280,D285)</f>
        <v>0</v>
      </c>
      <c r="E295" s="616"/>
      <c r="F295" s="616"/>
      <c r="G295" s="616"/>
      <c r="H295" s="1691">
        <f>H293</f>
        <v>0</v>
      </c>
      <c r="I295" s="616"/>
      <c r="J295" s="616"/>
      <c r="K295" s="1691">
        <f>SUM(K229,K279,K280,K285,K293,K294)</f>
        <v>0</v>
      </c>
      <c r="L295" s="1691">
        <f>SUM(L229,L279,L280,L285,L293,L294)</f>
        <v>0</v>
      </c>
    </row>
    <row r="296" spans="1:14" ht="13.5" thickTop="1" x14ac:dyDescent="0.2">
      <c r="A296" s="2170" t="s">
        <v>1053</v>
      </c>
      <c r="B296" s="2171"/>
      <c r="C296" s="616"/>
      <c r="D296" s="618"/>
      <c r="E296" s="616"/>
      <c r="F296" s="616"/>
      <c r="G296" s="616"/>
      <c r="H296" s="687"/>
      <c r="I296" s="616"/>
      <c r="J296" s="616"/>
      <c r="K296" s="1705">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85" t="s">
        <v>295</v>
      </c>
      <c r="B312" s="218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1" t="s">
        <v>1053</v>
      </c>
      <c r="B313" s="2182"/>
      <c r="C313" s="626"/>
      <c r="D313" s="626"/>
      <c r="E313" s="626"/>
      <c r="F313" s="626"/>
      <c r="G313" s="626"/>
      <c r="H313" s="626"/>
      <c r="I313" s="626"/>
      <c r="J313" s="626"/>
      <c r="K313" s="1706">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954</v>
      </c>
      <c r="B317" s="2195"/>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1908</v>
      </c>
      <c r="B320" s="698" t="s">
        <v>300</v>
      </c>
      <c r="C320" s="466"/>
      <c r="D320" s="466"/>
      <c r="E320" s="466"/>
      <c r="F320" s="466"/>
      <c r="G320" s="466"/>
      <c r="H320" s="466"/>
      <c r="I320" s="466"/>
      <c r="J320" s="466"/>
      <c r="K320" s="1692">
        <f t="shared" ref="K320:K327" si="24">SUM(C320:J320)</f>
        <v>0</v>
      </c>
      <c r="L320" s="466"/>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302</v>
      </c>
      <c r="C322" s="466"/>
      <c r="D322" s="466"/>
      <c r="E322" s="466"/>
      <c r="F322" s="466"/>
      <c r="G322" s="466"/>
      <c r="H322" s="466"/>
      <c r="I322" s="466"/>
      <c r="J322" s="466"/>
      <c r="K322" s="1692">
        <f t="shared" si="24"/>
        <v>0</v>
      </c>
      <c r="L322" s="466"/>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1959</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3" t="s">
        <v>1053</v>
      </c>
      <c r="B343" s="2184"/>
      <c r="C343" s="616"/>
      <c r="D343" s="616"/>
      <c r="E343" s="616"/>
      <c r="F343" s="616"/>
      <c r="G343" s="616"/>
      <c r="H343" s="616"/>
      <c r="I343" s="616"/>
      <c r="J343" s="616"/>
      <c r="K343" s="1705">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1023</v>
      </c>
      <c r="B345" s="2174"/>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c r="I354" s="701"/>
      <c r="J354" s="616"/>
      <c r="K354" s="1720">
        <f>H354</f>
        <v>0</v>
      </c>
      <c r="L354" s="470"/>
    </row>
    <row r="355" spans="1:14" ht="12.75" customHeight="1" x14ac:dyDescent="0.2">
      <c r="A355" s="1534" t="s">
        <v>1966</v>
      </c>
      <c r="B355" s="690" t="s">
        <v>1959</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0" t="s">
        <v>1053</v>
      </c>
      <c r="B368" s="2171"/>
      <c r="C368" s="654"/>
      <c r="D368" s="654"/>
      <c r="E368" s="626"/>
      <c r="F368" s="626"/>
      <c r="G368" s="626"/>
      <c r="H368" s="626"/>
      <c r="I368" s="626"/>
      <c r="J368" s="623"/>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1" colorId="8" zoomScale="110" zoomScaleNormal="110" workbookViewId="0">
      <selection activeCell="F23" sqref="F23"/>
    </sheetView>
  </sheetViews>
  <sheetFormatPr defaultColWidth="9.140625" defaultRowHeight="12.75" x14ac:dyDescent="0.2"/>
  <cols>
    <col min="1" max="1" width="41.42578125" style="251" customWidth="1"/>
    <col min="2" max="3" width="17.5703125" style="712" customWidth="1"/>
    <col min="4" max="5" width="17.5703125" style="713" customWidth="1"/>
    <col min="6" max="6" width="17.5703125" style="328" customWidth="1"/>
    <col min="7" max="7" width="4.42578125" style="328" customWidth="1"/>
    <col min="8" max="8" width="33.42578125" style="328" customWidth="1"/>
    <col min="9" max="16384" width="9.140625" style="328"/>
  </cols>
  <sheetData>
    <row r="1" spans="1:6" ht="33.75" customHeight="1" x14ac:dyDescent="0.2">
      <c r="A1" s="1907" t="s">
        <v>106</v>
      </c>
    </row>
    <row r="2" spans="1:6" ht="39.75" customHeight="1" x14ac:dyDescent="0.2">
      <c r="A2" s="2197" t="s">
        <v>1905</v>
      </c>
      <c r="B2" s="1549" t="s">
        <v>2037</v>
      </c>
      <c r="C2" s="714" t="s">
        <v>1910</v>
      </c>
      <c r="D2" s="714" t="s">
        <v>1911</v>
      </c>
      <c r="E2" s="714" t="s">
        <v>1912</v>
      </c>
      <c r="F2" s="714" t="s">
        <v>1913</v>
      </c>
    </row>
    <row r="3" spans="1:6" ht="12" customHeight="1" x14ac:dyDescent="0.2">
      <c r="A3" s="2198"/>
      <c r="B3" s="1546"/>
      <c r="C3" s="1547"/>
      <c r="D3" s="1548" t="s">
        <v>274</v>
      </c>
      <c r="E3" s="1547"/>
      <c r="F3" s="1548" t="s">
        <v>275</v>
      </c>
    </row>
    <row r="4" spans="1:6" ht="13.7" customHeight="1" x14ac:dyDescent="0.2">
      <c r="A4" s="715" t="s">
        <v>1217</v>
      </c>
      <c r="B4" s="1770">
        <f>'Revenues 9-14'!C5</f>
        <v>0</v>
      </c>
      <c r="C4" s="1545"/>
      <c r="D4" s="1773">
        <f>B4-C4</f>
        <v>0</v>
      </c>
      <c r="E4" s="1545"/>
      <c r="F4" s="1773">
        <f>E4-C4</f>
        <v>0</v>
      </c>
    </row>
    <row r="5" spans="1:6" ht="13.7" customHeight="1" x14ac:dyDescent="0.2">
      <c r="A5" s="715" t="s">
        <v>925</v>
      </c>
      <c r="B5" s="1771">
        <f>'Revenues 9-14'!D5</f>
        <v>0</v>
      </c>
      <c r="C5" s="584"/>
      <c r="D5" s="1774">
        <f t="shared" ref="D5:D18" si="0">B5-C5</f>
        <v>0</v>
      </c>
      <c r="E5" s="584"/>
      <c r="F5" s="1774">
        <f>E5-C5</f>
        <v>0</v>
      </c>
    </row>
    <row r="6" spans="1:6" ht="13.7" customHeight="1" x14ac:dyDescent="0.2">
      <c r="A6" s="715" t="s">
        <v>431</v>
      </c>
      <c r="B6" s="1771">
        <f>'Revenues 9-14'!E5</f>
        <v>0</v>
      </c>
      <c r="C6" s="584"/>
      <c r="D6" s="1774">
        <f t="shared" si="0"/>
        <v>0</v>
      </c>
      <c r="E6" s="584"/>
      <c r="F6" s="1774">
        <f t="shared" ref="F6:F18" si="1">E6-C6</f>
        <v>0</v>
      </c>
    </row>
    <row r="7" spans="1:6" ht="13.7" customHeight="1" x14ac:dyDescent="0.2">
      <c r="A7" s="715" t="s">
        <v>157</v>
      </c>
      <c r="B7" s="1771">
        <f>'Revenues 9-14'!F5</f>
        <v>0</v>
      </c>
      <c r="C7" s="584"/>
      <c r="D7" s="1774">
        <f t="shared" si="0"/>
        <v>0</v>
      </c>
      <c r="E7" s="584"/>
      <c r="F7" s="1774">
        <f t="shared" si="1"/>
        <v>0</v>
      </c>
    </row>
    <row r="8" spans="1:6" ht="13.7" customHeight="1" x14ac:dyDescent="0.2">
      <c r="A8" s="715" t="s">
        <v>1241</v>
      </c>
      <c r="B8" s="1771">
        <f>'Revenues 9-14'!G5</f>
        <v>0</v>
      </c>
      <c r="C8" s="584"/>
      <c r="D8" s="1774">
        <f t="shared" si="0"/>
        <v>0</v>
      </c>
      <c r="E8" s="584"/>
      <c r="F8" s="1774">
        <f t="shared" si="1"/>
        <v>0</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0</v>
      </c>
      <c r="C10" s="584"/>
      <c r="D10" s="1774">
        <f t="shared" si="0"/>
        <v>0</v>
      </c>
      <c r="E10" s="584"/>
      <c r="F10" s="1774">
        <f t="shared" si="1"/>
        <v>0</v>
      </c>
    </row>
    <row r="11" spans="1:6" x14ac:dyDescent="0.2">
      <c r="A11" s="715" t="s">
        <v>429</v>
      </c>
      <c r="B11" s="1771">
        <f>'Revenues 9-14'!J5</f>
        <v>0</v>
      </c>
      <c r="C11" s="584"/>
      <c r="D11" s="1774">
        <f t="shared" si="0"/>
        <v>0</v>
      </c>
      <c r="E11" s="584"/>
      <c r="F11" s="1774">
        <f t="shared" si="1"/>
        <v>0</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0</v>
      </c>
      <c r="C14" s="584"/>
      <c r="D14" s="1774">
        <f t="shared" si="0"/>
        <v>0</v>
      </c>
      <c r="E14" s="584"/>
      <c r="F14" s="1774">
        <f t="shared" si="1"/>
        <v>0</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0</v>
      </c>
      <c r="C16" s="584"/>
      <c r="D16" s="1774">
        <f t="shared" si="0"/>
        <v>0</v>
      </c>
      <c r="E16" s="584"/>
      <c r="F16" s="1774">
        <f t="shared" si="1"/>
        <v>0</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7" colorId="8" zoomScale="110" zoomScaleNormal="110" workbookViewId="0">
      <selection activeCell="A27" sqref="A27:B27"/>
    </sheetView>
  </sheetViews>
  <sheetFormatPr defaultColWidth="9.140625" defaultRowHeight="12.75" x14ac:dyDescent="0.2"/>
  <cols>
    <col min="1" max="1" width="44" style="400" customWidth="1"/>
    <col min="2" max="2" width="12.140625" style="722" customWidth="1"/>
    <col min="3" max="5" width="16.5703125" style="722" customWidth="1"/>
    <col min="6" max="6" width="13.42578125" style="383" customWidth="1"/>
    <col min="7" max="7" width="14.5703125" style="383" customWidth="1"/>
    <col min="8" max="10" width="16.5703125" style="383" customWidth="1"/>
    <col min="11" max="16384" width="9.140625" style="383"/>
  </cols>
  <sheetData>
    <row r="1" spans="1:7" ht="27" customHeight="1" x14ac:dyDescent="0.2">
      <c r="A1" s="2219" t="s">
        <v>650</v>
      </c>
      <c r="B1" s="2217"/>
      <c r="C1" s="721"/>
    </row>
    <row r="2" spans="1:7" ht="33.75" x14ac:dyDescent="0.2">
      <c r="A2" s="2224" t="s">
        <v>1905</v>
      </c>
      <c r="B2" s="2225"/>
      <c r="C2" s="1908" t="s">
        <v>2038</v>
      </c>
      <c r="D2" s="723" t="s">
        <v>2045</v>
      </c>
      <c r="E2" s="723" t="s">
        <v>2046</v>
      </c>
      <c r="F2" s="1908" t="s">
        <v>2039</v>
      </c>
    </row>
    <row r="3" spans="1:7" ht="15.75" customHeight="1" x14ac:dyDescent="0.2">
      <c r="A3" s="2226" t="s">
        <v>1176</v>
      </c>
      <c r="B3" s="2227"/>
      <c r="C3" s="2220"/>
      <c r="D3" s="2221"/>
      <c r="E3" s="2221"/>
      <c r="F3" s="2222"/>
    </row>
    <row r="4" spans="1:7" ht="12.75" customHeight="1" thickBot="1" x14ac:dyDescent="0.25">
      <c r="A4" s="2214" t="s">
        <v>651</v>
      </c>
      <c r="B4" s="2215"/>
      <c r="C4" s="580"/>
      <c r="D4" s="580"/>
      <c r="E4" s="580"/>
      <c r="F4" s="1776">
        <f>SUM(C4+D4)-E4</f>
        <v>0</v>
      </c>
    </row>
    <row r="5" spans="1:7" ht="15.75" customHeight="1" thickTop="1" x14ac:dyDescent="0.2">
      <c r="A5" s="2218" t="s">
        <v>1172</v>
      </c>
      <c r="B5" s="2213"/>
      <c r="C5" s="2207"/>
      <c r="D5" s="2208"/>
      <c r="E5" s="2208"/>
      <c r="F5" s="2209"/>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10" t="s">
        <v>652</v>
      </c>
      <c r="B15" s="2211"/>
      <c r="C15" s="1776">
        <f>SUM(C6:C14)</f>
        <v>0</v>
      </c>
      <c r="D15" s="1776">
        <f>SUM(D6:D14)</f>
        <v>0</v>
      </c>
      <c r="E15" s="1776">
        <f>SUM(E6:E14)</f>
        <v>0</v>
      </c>
      <c r="F15" s="1776">
        <f>SUM(F6:F14)</f>
        <v>0</v>
      </c>
      <c r="G15" s="551"/>
    </row>
    <row r="16" spans="1:7" s="201" customFormat="1" ht="15.75" customHeight="1" thickTop="1" x14ac:dyDescent="0.2">
      <c r="A16" s="2223" t="s">
        <v>1173</v>
      </c>
      <c r="B16" s="2213"/>
      <c r="C16" s="2207"/>
      <c r="D16" s="2208"/>
      <c r="E16" s="2208"/>
      <c r="F16" s="2209"/>
    </row>
    <row r="17" spans="1:11" ht="12.75" customHeight="1" thickBot="1" x14ac:dyDescent="0.25">
      <c r="A17" s="2205" t="s">
        <v>66</v>
      </c>
      <c r="B17" s="2206"/>
      <c r="C17" s="726"/>
      <c r="D17" s="584"/>
      <c r="E17" s="726"/>
      <c r="F17" s="1776">
        <f>SUM(C17+D17)-E17</f>
        <v>0</v>
      </c>
    </row>
    <row r="18" spans="1:11" ht="12.75" customHeight="1" thickTop="1" thickBot="1" x14ac:dyDescent="0.25">
      <c r="A18" s="2205" t="s">
        <v>6</v>
      </c>
      <c r="B18" s="2206"/>
      <c r="C18" s="726"/>
      <c r="D18" s="584"/>
      <c r="E18" s="726"/>
      <c r="F18" s="1776">
        <f>SUM(C18+D18)-E18</f>
        <v>0</v>
      </c>
    </row>
    <row r="19" spans="1:11" ht="12.75" customHeight="1" thickTop="1" thickBot="1" x14ac:dyDescent="0.25">
      <c r="A19" s="2205" t="s">
        <v>406</v>
      </c>
      <c r="B19" s="2206"/>
      <c r="C19" s="726"/>
      <c r="D19" s="584"/>
      <c r="E19" s="726"/>
      <c r="F19" s="1776">
        <f>SUM(C19+D19)-E19</f>
        <v>0</v>
      </c>
    </row>
    <row r="20" spans="1:11" ht="12.75" customHeight="1" thickTop="1" thickBot="1" x14ac:dyDescent="0.25">
      <c r="A20" s="2205" t="s">
        <v>468</v>
      </c>
      <c r="B20" s="2206"/>
      <c r="C20" s="726"/>
      <c r="D20" s="584"/>
      <c r="E20" s="726"/>
      <c r="F20" s="1776">
        <f>SUM(C20+D20)-E20</f>
        <v>0</v>
      </c>
    </row>
    <row r="21" spans="1:11" ht="14.25" thickTop="1" thickBot="1" x14ac:dyDescent="0.25">
      <c r="A21" s="2210" t="s">
        <v>653</v>
      </c>
      <c r="B21" s="2211"/>
      <c r="C21" s="1776">
        <f>SUM(C17:C20)</f>
        <v>0</v>
      </c>
      <c r="D21" s="1776">
        <f>SUM(D17:D20)</f>
        <v>0</v>
      </c>
      <c r="E21" s="1776">
        <f>SUM(E17:E20)</f>
        <v>0</v>
      </c>
      <c r="F21" s="1776">
        <f>SUM(F17:F20)</f>
        <v>0</v>
      </c>
      <c r="G21" s="551"/>
    </row>
    <row r="22" spans="1:11" ht="15.75" customHeight="1" thickTop="1" x14ac:dyDescent="0.2">
      <c r="A22" s="2212" t="s">
        <v>1174</v>
      </c>
      <c r="B22" s="2213"/>
      <c r="C22" s="2207"/>
      <c r="D22" s="2208"/>
      <c r="E22" s="2208"/>
      <c r="F22" s="2209"/>
    </row>
    <row r="23" spans="1:11" ht="13.5" thickBot="1" x14ac:dyDescent="0.25">
      <c r="A23" s="2214" t="s">
        <v>654</v>
      </c>
      <c r="B23" s="2215"/>
      <c r="C23" s="580"/>
      <c r="D23" s="580"/>
      <c r="E23" s="580"/>
      <c r="F23" s="1776">
        <f>SUM(C23+D23)-E23</f>
        <v>0</v>
      </c>
      <c r="G23" s="551"/>
    </row>
    <row r="24" spans="1:11" ht="15.75" customHeight="1" thickTop="1" x14ac:dyDescent="0.2">
      <c r="A24" s="2212" t="s">
        <v>1175</v>
      </c>
      <c r="B24" s="2213"/>
      <c r="C24" s="2207"/>
      <c r="D24" s="2208"/>
      <c r="E24" s="2208"/>
      <c r="F24" s="2209"/>
    </row>
    <row r="25" spans="1:11" ht="13.5" thickBot="1" x14ac:dyDescent="0.25">
      <c r="A25" s="2214" t="s">
        <v>655</v>
      </c>
      <c r="B25" s="2215"/>
      <c r="C25" s="580"/>
      <c r="D25" s="580"/>
      <c r="E25" s="580"/>
      <c r="F25" s="1776">
        <f>SUM(C25+D25)-E25</f>
        <v>0</v>
      </c>
      <c r="G25" s="551"/>
    </row>
    <row r="26" spans="1:11" ht="15.75" customHeight="1" thickTop="1" x14ac:dyDescent="0.2">
      <c r="A26" s="2218" t="s">
        <v>678</v>
      </c>
      <c r="B26" s="2213"/>
      <c r="C26" s="727"/>
      <c r="D26" s="727"/>
      <c r="E26" s="727"/>
      <c r="F26" s="728"/>
    </row>
    <row r="27" spans="1:11" ht="13.5" thickBot="1" x14ac:dyDescent="0.25">
      <c r="A27" s="2210" t="s">
        <v>1130</v>
      </c>
      <c r="B27" s="2211"/>
      <c r="C27" s="584"/>
      <c r="D27" s="584"/>
      <c r="E27" s="584"/>
      <c r="F27" s="1776">
        <f>SUM(C27+D27)-E27</f>
        <v>0</v>
      </c>
      <c r="G27" s="551"/>
    </row>
    <row r="28" spans="1:11" ht="7.5" customHeight="1" thickTop="1" x14ac:dyDescent="0.2">
      <c r="A28" s="593"/>
    </row>
    <row r="29" spans="1:11" ht="23.25" customHeight="1" x14ac:dyDescent="0.2">
      <c r="A29" s="2216" t="s">
        <v>603</v>
      </c>
      <c r="B29" s="2217"/>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c r="B31" s="733"/>
      <c r="C31" s="734"/>
      <c r="D31" s="735"/>
      <c r="E31" s="734"/>
      <c r="F31" s="734"/>
      <c r="G31" s="734"/>
      <c r="H31" s="734"/>
      <c r="I31" s="1777">
        <f>((E31+F31)-H31)+G31</f>
        <v>0</v>
      </c>
      <c r="J31" s="734"/>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9" t="s">
        <v>605</v>
      </c>
      <c r="C52" s="2200"/>
      <c r="D52" s="2200"/>
      <c r="E52" s="749" t="s">
        <v>900</v>
      </c>
      <c r="F52" s="2201"/>
      <c r="G52" s="2202"/>
      <c r="H52" s="736"/>
      <c r="I52" s="736"/>
      <c r="J52" s="746"/>
    </row>
    <row r="53" spans="1:11" ht="11.25" customHeight="1" x14ac:dyDescent="0.2">
      <c r="A53" s="750" t="s">
        <v>969</v>
      </c>
      <c r="B53" s="751" t="s">
        <v>1008</v>
      </c>
      <c r="C53" s="746"/>
      <c r="D53" s="737"/>
      <c r="E53" s="749" t="s">
        <v>518</v>
      </c>
      <c r="F53" s="2203"/>
      <c r="G53" s="2204"/>
      <c r="H53" s="736"/>
      <c r="I53" s="736"/>
      <c r="J53" s="746"/>
    </row>
    <row r="54" spans="1:11" ht="11.25" customHeight="1" x14ac:dyDescent="0.2">
      <c r="A54" s="752" t="s">
        <v>970</v>
      </c>
      <c r="B54" s="747" t="s">
        <v>1009</v>
      </c>
      <c r="C54" s="746"/>
      <c r="D54" s="737"/>
      <c r="E54" s="749" t="s">
        <v>519</v>
      </c>
      <c r="F54" s="2203"/>
      <c r="G54" s="220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2" colorId="8" zoomScale="110" zoomScaleNormal="110" workbookViewId="0">
      <selection activeCell="J40" sqref="J40"/>
    </sheetView>
  </sheetViews>
  <sheetFormatPr defaultColWidth="9.140625" defaultRowHeight="12.75" x14ac:dyDescent="0.2"/>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x14ac:dyDescent="0.2">
      <c r="A1" s="2228" t="s">
        <v>911</v>
      </c>
      <c r="B1" s="2229"/>
      <c r="C1" s="2229"/>
      <c r="D1" s="2229"/>
      <c r="E1" s="2229"/>
      <c r="F1" s="2229"/>
      <c r="G1" s="2230"/>
      <c r="H1" s="1551"/>
      <c r="I1" s="760"/>
      <c r="J1" s="432"/>
    </row>
    <row r="2" spans="1:11" ht="26.25" x14ac:dyDescent="0.2">
      <c r="A2" s="2247" t="s">
        <v>1776</v>
      </c>
      <c r="B2" s="2248"/>
      <c r="C2" s="2248"/>
      <c r="D2" s="2248"/>
      <c r="E2" s="2249"/>
      <c r="F2" s="761" t="s">
        <v>960</v>
      </c>
      <c r="G2" s="762" t="s">
        <v>1773</v>
      </c>
      <c r="H2" s="762" t="s">
        <v>430</v>
      </c>
      <c r="I2" s="762" t="s">
        <v>1220</v>
      </c>
      <c r="J2" s="762" t="s">
        <v>1919</v>
      </c>
      <c r="K2" s="762" t="s">
        <v>140</v>
      </c>
    </row>
    <row r="3" spans="1:11" x14ac:dyDescent="0.2">
      <c r="A3" s="2250" t="s">
        <v>1698</v>
      </c>
      <c r="B3" s="2251"/>
      <c r="C3" s="2251"/>
      <c r="D3" s="2251"/>
      <c r="E3" s="2252"/>
      <c r="F3" s="763"/>
      <c r="G3" s="764"/>
      <c r="H3" s="764"/>
      <c r="I3" s="764"/>
      <c r="J3" s="765"/>
      <c r="K3" s="765"/>
    </row>
    <row r="4" spans="1:11" x14ac:dyDescent="0.2">
      <c r="A4" s="2253" t="s">
        <v>387</v>
      </c>
      <c r="B4" s="2254"/>
      <c r="C4" s="2254"/>
      <c r="D4" s="2254"/>
      <c r="E4" s="2200"/>
      <c r="F4" s="766"/>
      <c r="G4" s="767"/>
      <c r="H4" s="768"/>
      <c r="I4" s="767"/>
      <c r="J4" s="769"/>
      <c r="K4" s="769"/>
    </row>
    <row r="5" spans="1:11" x14ac:dyDescent="0.2">
      <c r="A5" s="2231" t="s">
        <v>1129</v>
      </c>
      <c r="B5" s="2232"/>
      <c r="C5" s="2232"/>
      <c r="D5" s="2232"/>
      <c r="E5" s="2233"/>
      <c r="F5" s="770" t="s">
        <v>903</v>
      </c>
      <c r="G5" s="771"/>
      <c r="H5" s="764"/>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1" t="s">
        <v>1920</v>
      </c>
      <c r="B10" s="2232"/>
      <c r="C10" s="2232"/>
      <c r="D10" s="2232"/>
      <c r="E10" s="2234"/>
      <c r="F10" s="783" t="s">
        <v>917</v>
      </c>
      <c r="G10" s="782"/>
      <c r="H10" s="784"/>
      <c r="I10" s="764"/>
      <c r="J10" s="765"/>
      <c r="K10" s="765"/>
    </row>
    <row r="11" spans="1:11" x14ac:dyDescent="0.2">
      <c r="A11" s="2231" t="s">
        <v>162</v>
      </c>
      <c r="B11" s="2232"/>
      <c r="C11" s="2232"/>
      <c r="D11" s="2232"/>
      <c r="E11" s="2233"/>
      <c r="F11" s="770" t="s">
        <v>907</v>
      </c>
      <c r="G11" s="771"/>
      <c r="H11" s="764"/>
      <c r="I11" s="764"/>
      <c r="J11" s="765"/>
      <c r="K11" s="773"/>
    </row>
    <row r="12" spans="1:11" ht="13.5" thickBot="1" x14ac:dyDescent="0.25">
      <c r="A12" s="2258" t="s">
        <v>961</v>
      </c>
      <c r="B12" s="2259"/>
      <c r="C12" s="2259"/>
      <c r="D12" s="2259"/>
      <c r="E12" s="2260"/>
      <c r="F12" s="1778"/>
      <c r="G12" s="1779">
        <f>SUM(G5:G11)</f>
        <v>0</v>
      </c>
      <c r="H12" s="1779">
        <f>SUM(H5:H11)</f>
        <v>0</v>
      </c>
      <c r="I12" s="1779">
        <f>SUM(I5:I11)</f>
        <v>0</v>
      </c>
      <c r="J12" s="1779">
        <f>SUM(J5:J11)</f>
        <v>0</v>
      </c>
      <c r="K12" s="1779">
        <f>SUM(K5:K11)</f>
        <v>0</v>
      </c>
    </row>
    <row r="13" spans="1:11" ht="13.5" thickTop="1" x14ac:dyDescent="0.2">
      <c r="A13" s="2255" t="s">
        <v>388</v>
      </c>
      <c r="B13" s="2256"/>
      <c r="C13" s="2256"/>
      <c r="D13" s="2256"/>
      <c r="E13" s="2257"/>
      <c r="F13" s="785"/>
      <c r="G13" s="786"/>
      <c r="H13" s="787"/>
      <c r="I13" s="788"/>
      <c r="J13" s="788"/>
      <c r="K13" s="788"/>
    </row>
    <row r="14" spans="1:11" x14ac:dyDescent="0.2">
      <c r="A14" s="2238" t="s">
        <v>476</v>
      </c>
      <c r="B14" s="2238"/>
      <c r="C14" s="2238"/>
      <c r="D14" s="2238"/>
      <c r="E14" s="2239"/>
      <c r="F14" s="789" t="s">
        <v>909</v>
      </c>
      <c r="G14" s="782"/>
      <c r="H14" s="764"/>
      <c r="I14" s="771"/>
      <c r="J14" s="773"/>
      <c r="K14" s="765"/>
    </row>
    <row r="15" spans="1:11" x14ac:dyDescent="0.2">
      <c r="A15" s="2232" t="s">
        <v>4</v>
      </c>
      <c r="B15" s="2232"/>
      <c r="C15" s="2232"/>
      <c r="D15" s="2232"/>
      <c r="E15" s="2233"/>
      <c r="F15" s="789" t="s">
        <v>910</v>
      </c>
      <c r="G15" s="771"/>
      <c r="H15" s="764"/>
      <c r="I15" s="764"/>
      <c r="J15" s="765"/>
      <c r="K15" s="765"/>
    </row>
    <row r="16" spans="1:11" x14ac:dyDescent="0.2">
      <c r="A16" s="2232" t="s">
        <v>316</v>
      </c>
      <c r="B16" s="2232"/>
      <c r="C16" s="2232"/>
      <c r="D16" s="2232"/>
      <c r="E16" s="2233"/>
      <c r="F16" s="789" t="s">
        <v>980</v>
      </c>
      <c r="G16" s="772"/>
      <c r="H16" s="767"/>
      <c r="I16" s="767"/>
      <c r="J16" s="769"/>
      <c r="K16" s="769"/>
    </row>
    <row r="17" spans="1:11" x14ac:dyDescent="0.2">
      <c r="A17" s="2263" t="s">
        <v>992</v>
      </c>
      <c r="B17" s="2263"/>
      <c r="C17" s="2263"/>
      <c r="D17" s="2263"/>
      <c r="E17" s="2264"/>
      <c r="F17" s="790"/>
      <c r="G17" s="791"/>
      <c r="H17" s="792"/>
      <c r="I17" s="792"/>
      <c r="J17" s="793"/>
      <c r="K17" s="794"/>
    </row>
    <row r="18" spans="1:11" x14ac:dyDescent="0.2">
      <c r="A18" s="2242" t="s">
        <v>386</v>
      </c>
      <c r="B18" s="2243"/>
      <c r="C18" s="2243"/>
      <c r="D18" s="2243"/>
      <c r="E18" s="2244"/>
      <c r="F18" s="789" t="s">
        <v>989</v>
      </c>
      <c r="G18" s="782"/>
      <c r="H18" s="782"/>
      <c r="I18" s="782"/>
      <c r="J18" s="765"/>
      <c r="K18" s="795"/>
    </row>
    <row r="19" spans="1:11" ht="21.75" customHeight="1" x14ac:dyDescent="0.2">
      <c r="A19" s="2240" t="s">
        <v>1916</v>
      </c>
      <c r="B19" s="2240"/>
      <c r="C19" s="2240"/>
      <c r="D19" s="2240"/>
      <c r="E19" s="2241"/>
      <c r="F19" s="789" t="s">
        <v>990</v>
      </c>
      <c r="G19" s="782"/>
      <c r="H19" s="782"/>
      <c r="I19" s="782"/>
      <c r="J19" s="765"/>
      <c r="K19" s="795"/>
    </row>
    <row r="20" spans="1:11" x14ac:dyDescent="0.2">
      <c r="A20" s="2242" t="s">
        <v>1921</v>
      </c>
      <c r="B20" s="2243"/>
      <c r="C20" s="2243"/>
      <c r="D20" s="2243"/>
      <c r="E20" s="2244"/>
      <c r="F20" s="789" t="s">
        <v>991</v>
      </c>
      <c r="G20" s="782"/>
      <c r="H20" s="782"/>
      <c r="I20" s="782"/>
      <c r="J20" s="765"/>
      <c r="K20" s="795"/>
    </row>
    <row r="21" spans="1:11" ht="13.5" thickBot="1" x14ac:dyDescent="0.25">
      <c r="A21" s="2261" t="s">
        <v>659</v>
      </c>
      <c r="B21" s="2261"/>
      <c r="C21" s="2261"/>
      <c r="D21" s="2261"/>
      <c r="E21" s="2261"/>
      <c r="F21" s="1780"/>
      <c r="G21" s="792"/>
      <c r="H21" s="796"/>
      <c r="I21" s="796"/>
      <c r="J21" s="1781">
        <f>SUM(J18:J20)</f>
        <v>0</v>
      </c>
      <c r="K21" s="793"/>
    </row>
    <row r="22" spans="1:11" ht="13.5" thickTop="1" x14ac:dyDescent="0.2">
      <c r="A22" s="2232" t="s">
        <v>1922</v>
      </c>
      <c r="B22" s="2232"/>
      <c r="C22" s="2232"/>
      <c r="D22" s="2232"/>
      <c r="E22" s="2233"/>
      <c r="F22" s="789" t="s">
        <v>917</v>
      </c>
      <c r="G22" s="782"/>
      <c r="H22" s="764"/>
      <c r="I22" s="764"/>
      <c r="J22" s="797"/>
      <c r="K22" s="765"/>
    </row>
    <row r="23" spans="1:11" ht="13.5" thickBot="1" x14ac:dyDescent="0.25">
      <c r="A23" s="2262" t="s">
        <v>962</v>
      </c>
      <c r="B23" s="2261"/>
      <c r="C23" s="2261"/>
      <c r="D23" s="2261"/>
      <c r="E23" s="2261"/>
      <c r="F23" s="1782"/>
      <c r="G23" s="1779">
        <f>SUM(G14:G16,G21,G22)</f>
        <v>0</v>
      </c>
      <c r="H23" s="1779">
        <f>SUM(H14:H16,H21,H22)</f>
        <v>0</v>
      </c>
      <c r="I23" s="1779">
        <f>SUM(I14:I16,I21,I22)</f>
        <v>0</v>
      </c>
      <c r="J23" s="1779">
        <f>SUM(J14:J16,J21,J22)</f>
        <v>0</v>
      </c>
      <c r="K23" s="1779">
        <f>SUM(K14:K16,K21,K22)</f>
        <v>0</v>
      </c>
    </row>
    <row r="24" spans="1:11" ht="14.25" thickTop="1" thickBot="1" x14ac:dyDescent="0.25">
      <c r="A24" s="2262" t="s">
        <v>2026</v>
      </c>
      <c r="B24" s="2261"/>
      <c r="C24" s="2261"/>
      <c r="D24" s="2261"/>
      <c r="E24" s="2261"/>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2036</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35"/>
      <c r="I31" s="2236"/>
      <c r="J31" s="2236"/>
      <c r="K31" s="2236"/>
    </row>
    <row r="32" spans="1:11" x14ac:dyDescent="0.2">
      <c r="A32" s="809"/>
      <c r="B32" s="236"/>
      <c r="C32" s="236"/>
      <c r="D32" s="236"/>
      <c r="E32" s="805"/>
      <c r="F32" s="811" t="s">
        <v>561</v>
      </c>
      <c r="G32" s="764"/>
      <c r="H32" s="2237"/>
      <c r="I32" s="2236"/>
      <c r="J32" s="2236"/>
      <c r="K32" s="2236"/>
    </row>
    <row r="33" spans="1:11" ht="1.5" customHeight="1" x14ac:dyDescent="0.2">
      <c r="A33" s="812" t="s">
        <v>1231</v>
      </c>
      <c r="B33" s="363"/>
      <c r="C33" s="363"/>
      <c r="D33" s="363"/>
      <c r="E33" s="363"/>
      <c r="F33" s="363"/>
      <c r="G33" s="813"/>
      <c r="H33" s="2237"/>
      <c r="I33" s="2236"/>
      <c r="J33" s="2236"/>
      <c r="K33" s="2236"/>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2" t="s">
        <v>562</v>
      </c>
      <c r="B41" s="2245"/>
      <c r="C41" s="2245"/>
      <c r="D41" s="2245"/>
      <c r="E41" s="2245"/>
      <c r="F41" s="224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7" colorId="8" zoomScale="110" zoomScaleNormal="110" workbookViewId="0">
      <selection activeCell="J19" sqref="J19"/>
    </sheetView>
  </sheetViews>
  <sheetFormatPr defaultColWidth="9.140625" defaultRowHeight="12.75" x14ac:dyDescent="0.2"/>
  <cols>
    <col min="1" max="1" width="28.85546875" style="808"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7" t="s">
        <v>2035</v>
      </c>
      <c r="B1" s="2268"/>
      <c r="C1" s="2269"/>
      <c r="D1" s="826"/>
      <c r="E1" s="827"/>
      <c r="F1" s="827"/>
      <c r="G1" s="828"/>
      <c r="H1" s="829"/>
      <c r="I1" s="830"/>
      <c r="J1" s="2265"/>
      <c r="K1" s="2266"/>
      <c r="L1" s="226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c r="D5" s="841"/>
      <c r="E5" s="841"/>
      <c r="F5" s="1781">
        <f>(C5+D5)-E5</f>
        <v>0</v>
      </c>
      <c r="G5" s="837"/>
      <c r="H5" s="842"/>
      <c r="I5" s="842"/>
      <c r="J5" s="842"/>
      <c r="K5" s="793"/>
      <c r="L5" s="1790">
        <f>F5-K5</f>
        <v>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c r="D8" s="844"/>
      <c r="E8" s="844"/>
      <c r="F8" s="1781">
        <f>(C8+D8)-E8</f>
        <v>0</v>
      </c>
      <c r="G8" s="843">
        <v>50</v>
      </c>
      <c r="H8" s="765"/>
      <c r="I8" s="765"/>
      <c r="J8" s="765"/>
      <c r="K8" s="1790">
        <f>(H8+I8)-J8</f>
        <v>0</v>
      </c>
      <c r="L8" s="1790">
        <f>F8-K8</f>
        <v>0</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c r="D10" s="846"/>
      <c r="E10" s="846"/>
      <c r="F10" s="1785">
        <f>(C10+D10)-E10</f>
        <v>0</v>
      </c>
      <c r="G10" s="843">
        <v>20</v>
      </c>
      <c r="H10" s="847"/>
      <c r="I10" s="847"/>
      <c r="J10" s="847"/>
      <c r="K10" s="1790">
        <f>(H10+I10)-J10</f>
        <v>0</v>
      </c>
      <c r="L10" s="1790">
        <f>F10-K10</f>
        <v>0</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c r="D12" s="844"/>
      <c r="E12" s="844"/>
      <c r="F12" s="1781">
        <f>(C12+D12)-E12</f>
        <v>0</v>
      </c>
      <c r="G12" s="843">
        <v>10</v>
      </c>
      <c r="H12" s="765"/>
      <c r="I12" s="765"/>
      <c r="J12" s="765"/>
      <c r="K12" s="1790">
        <f>(H12+I12)-J12</f>
        <v>0</v>
      </c>
      <c r="L12" s="1790">
        <f>F12-K12</f>
        <v>0</v>
      </c>
    </row>
    <row r="13" spans="1:14" ht="14.25" thickTop="1" thickBot="1" x14ac:dyDescent="0.25">
      <c r="A13" s="848" t="s">
        <v>1184</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0</v>
      </c>
      <c r="D16" s="1781">
        <f>SUM(D3,D5:D6,D8:D10,D12:D15)</f>
        <v>0</v>
      </c>
      <c r="E16" s="1781">
        <f>SUM(E3,E5:E6,E8:E10,E12:E15)</f>
        <v>0</v>
      </c>
      <c r="F16" s="1781">
        <f>SUM(F3,F5:F6,F8:F10,F12:F15)</f>
        <v>0</v>
      </c>
      <c r="G16" s="843"/>
      <c r="H16" s="1781">
        <f>SUM(H3,H6,H8:H10,H12:H14,)</f>
        <v>0</v>
      </c>
      <c r="I16" s="1781">
        <f>SUM(I3,I6,I8:I10,I12:I14,)</f>
        <v>0</v>
      </c>
      <c r="J16" s="1781">
        <f>SUM(J3,J6,J8:J10,J12:J14,)</f>
        <v>0</v>
      </c>
      <c r="K16" s="1781">
        <f>(H16+I16)-J16</f>
        <v>0</v>
      </c>
      <c r="L16" s="1781">
        <f>F16-K16</f>
        <v>0</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0</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1.1"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6" activePane="bottomLeft" state="frozen"/>
      <selection activeCell="A47" sqref="A47"/>
      <selection pane="bottomLeft" activeCell="A56" sqref="A56"/>
    </sheetView>
  </sheetViews>
  <sheetFormatPr defaultColWidth="8.5703125" defaultRowHeight="11.25" x14ac:dyDescent="0.2"/>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x14ac:dyDescent="0.2">
      <c r="A1" s="2273" t="s">
        <v>1699</v>
      </c>
      <c r="B1" s="2274"/>
      <c r="C1" s="2274"/>
      <c r="D1" s="2274"/>
      <c r="E1" s="2274"/>
      <c r="F1" s="2275"/>
      <c r="G1" s="855"/>
    </row>
    <row r="2" spans="1:7" ht="15" customHeight="1" thickBot="1" x14ac:dyDescent="0.25">
      <c r="A2" s="2276" t="s">
        <v>498</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1761459</v>
      </c>
      <c r="G8" s="865"/>
    </row>
    <row r="9" spans="1:7" x14ac:dyDescent="0.2">
      <c r="A9" s="869" t="s">
        <v>480</v>
      </c>
      <c r="B9" s="870" t="s">
        <v>1989</v>
      </c>
      <c r="C9" s="871"/>
      <c r="D9" s="869" t="s">
        <v>522</v>
      </c>
      <c r="E9" s="868"/>
      <c r="F9" s="1934">
        <f>'Expenditures 15-22'!K151</f>
        <v>0</v>
      </c>
      <c r="G9" s="872"/>
    </row>
    <row r="10" spans="1:7" x14ac:dyDescent="0.2">
      <c r="A10" s="869" t="s">
        <v>520</v>
      </c>
      <c r="B10" s="870" t="s">
        <v>1990</v>
      </c>
      <c r="C10" s="871"/>
      <c r="D10" s="869" t="s">
        <v>522</v>
      </c>
      <c r="E10" s="868"/>
      <c r="F10" s="1934">
        <f>'Expenditures 15-22'!K174</f>
        <v>0</v>
      </c>
      <c r="G10" s="872"/>
    </row>
    <row r="11" spans="1:7" x14ac:dyDescent="0.2">
      <c r="A11" s="869" t="s">
        <v>481</v>
      </c>
      <c r="B11" s="870" t="s">
        <v>1991</v>
      </c>
      <c r="C11" s="871"/>
      <c r="D11" s="869" t="s">
        <v>522</v>
      </c>
      <c r="E11" s="868"/>
      <c r="F11" s="1934">
        <f>'Expenditures 15-22'!K210</f>
        <v>0</v>
      </c>
      <c r="G11" s="872"/>
    </row>
    <row r="12" spans="1:7" x14ac:dyDescent="0.2">
      <c r="A12" s="869" t="s">
        <v>482</v>
      </c>
      <c r="B12" s="870" t="s">
        <v>1992</v>
      </c>
      <c r="C12" s="871"/>
      <c r="D12" s="869" t="s">
        <v>522</v>
      </c>
      <c r="E12" s="868"/>
      <c r="F12" s="1934">
        <f>'Expenditures 15-22'!K295</f>
        <v>0</v>
      </c>
      <c r="G12" s="872"/>
    </row>
    <row r="13" spans="1:7" x14ac:dyDescent="0.2">
      <c r="A13" s="869" t="s">
        <v>108</v>
      </c>
      <c r="B13" s="870" t="s">
        <v>1993</v>
      </c>
      <c r="C13" s="871"/>
      <c r="D13" s="869" t="s">
        <v>522</v>
      </c>
      <c r="E13" s="868"/>
      <c r="F13" s="1934">
        <f>'Expenditures 15-22'!K342</f>
        <v>0</v>
      </c>
      <c r="G13" s="873"/>
    </row>
    <row r="14" spans="1:7" ht="12" customHeight="1" thickBot="1" x14ac:dyDescent="0.25">
      <c r="A14" s="1791"/>
      <c r="B14" s="1792"/>
      <c r="C14" s="1793"/>
      <c r="D14" s="1794" t="s">
        <v>522</v>
      </c>
      <c r="E14" s="1795" t="s">
        <v>1015</v>
      </c>
      <c r="F14" s="1796">
        <f>SUM(F8:F13)</f>
        <v>1761459</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8">
        <f>'Expenditures 15-22'!K102</f>
        <v>1483601</v>
      </c>
      <c r="G53" s="865"/>
    </row>
    <row r="54" spans="1:7" x14ac:dyDescent="0.2">
      <c r="A54" s="869" t="s">
        <v>479</v>
      </c>
      <c r="B54" s="869" t="s">
        <v>1552</v>
      </c>
      <c r="C54" s="889" t="s">
        <v>1039</v>
      </c>
      <c r="D54" s="885" t="s">
        <v>1157</v>
      </c>
      <c r="E54" s="868"/>
      <c r="F54" s="1938">
        <f>'Expenditures 15-22'!G114</f>
        <v>0</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0</v>
      </c>
      <c r="G58" s="865"/>
    </row>
    <row r="59" spans="1:7" x14ac:dyDescent="0.2">
      <c r="A59" s="893" t="s">
        <v>480</v>
      </c>
      <c r="B59" s="856" t="s">
        <v>1996</v>
      </c>
      <c r="C59" s="894" t="s">
        <v>1039</v>
      </c>
      <c r="D59" s="856" t="s">
        <v>309</v>
      </c>
      <c r="F59" s="1941">
        <f>'Expenditures 15-22'!I151</f>
        <v>0</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0</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0</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0</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0</v>
      </c>
      <c r="G71" s="865"/>
    </row>
    <row r="72" spans="1:8" x14ac:dyDescent="0.2">
      <c r="A72" s="869" t="s">
        <v>482</v>
      </c>
      <c r="B72" s="869" t="s">
        <v>2008</v>
      </c>
      <c r="C72" s="886">
        <f>'Expenditures 15-22'!B280</f>
        <v>3000</v>
      </c>
      <c r="D72" s="876" t="s">
        <v>469</v>
      </c>
      <c r="E72" s="868"/>
      <c r="F72" s="1938">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1483601</v>
      </c>
      <c r="G76" s="865"/>
    </row>
    <row r="77" spans="1:8" s="893" customFormat="1" ht="12" customHeight="1" thickTop="1" thickBot="1" x14ac:dyDescent="0.25">
      <c r="A77" s="1800"/>
      <c r="B77" s="1797"/>
      <c r="C77" s="1793"/>
      <c r="D77" s="1798" t="s">
        <v>2012</v>
      </c>
      <c r="E77" s="1795"/>
      <c r="F77" s="1801">
        <f>(F14-F76)</f>
        <v>277858</v>
      </c>
      <c r="G77" s="869"/>
    </row>
    <row r="78" spans="1:8" s="893" customFormat="1" ht="12" customHeight="1" thickTop="1" x14ac:dyDescent="0.2">
      <c r="A78" s="1802"/>
      <c r="B78" s="1797"/>
      <c r="C78" s="1793"/>
      <c r="D78" s="1798" t="s">
        <v>2059</v>
      </c>
      <c r="E78" s="1795"/>
      <c r="F78" s="898">
        <v>0</v>
      </c>
      <c r="G78" s="899"/>
      <c r="H78" s="869"/>
    </row>
    <row r="79" spans="1:8" s="893" customFormat="1" ht="12" customHeight="1" thickBot="1" x14ac:dyDescent="0.25">
      <c r="A79" s="1803"/>
      <c r="B79" s="1797"/>
      <c r="C79" s="1793"/>
      <c r="D79" s="1798" t="s">
        <v>2013</v>
      </c>
      <c r="E79" s="1795" t="s">
        <v>1015</v>
      </c>
      <c r="F79" s="1804"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0" t="s">
        <v>1167</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0</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29484</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0</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1026410</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0</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0</v>
      </c>
      <c r="G129" s="930"/>
    </row>
    <row r="130" spans="1:7" x14ac:dyDescent="0.2">
      <c r="A130" s="927" t="s">
        <v>689</v>
      </c>
      <c r="B130" s="927" t="s">
        <v>804</v>
      </c>
      <c r="C130" s="932">
        <v>4300</v>
      </c>
      <c r="D130" s="933" t="str">
        <f>'Revenues 9-14'!A211</f>
        <v>Total Title I</v>
      </c>
      <c r="E130" s="906"/>
      <c r="F130" s="1810">
        <f>SUM('Revenues 9-14'!C211,'Revenues 9-14'!D211,'Revenues 9-14'!F211,'Revenues 9-14'!G211)</f>
        <v>0</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702238</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c r="G175" s="927"/>
    </row>
    <row r="176" spans="1:7" x14ac:dyDescent="0.2">
      <c r="A176" s="1943" t="s">
        <v>685</v>
      </c>
      <c r="B176" s="1944" t="s">
        <v>2058</v>
      </c>
      <c r="C176" s="1945">
        <v>3300</v>
      </c>
      <c r="D176" s="1946" t="s">
        <v>2062</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1758132</v>
      </c>
    </row>
    <row r="179" spans="1:7" ht="12" customHeight="1" x14ac:dyDescent="0.2">
      <c r="A179" s="1791"/>
      <c r="B179" s="1805"/>
      <c r="C179" s="1806"/>
      <c r="D179" s="1807" t="s">
        <v>2015</v>
      </c>
      <c r="E179" s="1808"/>
      <c r="F179" s="1810">
        <f>'PCTC-OEPP 27-28'!F77-F178</f>
        <v>-1480274</v>
      </c>
    </row>
    <row r="180" spans="1:7" ht="12" customHeight="1" x14ac:dyDescent="0.2">
      <c r="A180" s="1791"/>
      <c r="B180" s="1805"/>
      <c r="C180" s="1806"/>
      <c r="D180" s="1807" t="s">
        <v>1924</v>
      </c>
      <c r="E180" s="1808"/>
      <c r="F180" s="1810">
        <f>'Cap Outlay Deprec 26'!I18</f>
        <v>0</v>
      </c>
    </row>
    <row r="181" spans="1:7" ht="12" customHeight="1" x14ac:dyDescent="0.2">
      <c r="A181" s="1791"/>
      <c r="B181" s="1805"/>
      <c r="C181" s="1806"/>
      <c r="D181" s="1807" t="s">
        <v>2016</v>
      </c>
      <c r="E181" s="1808"/>
      <c r="F181" s="1810">
        <f>F179+F180</f>
        <v>-1480274</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0"/>
    </row>
    <row r="183" spans="1:7" ht="12" customHeight="1" thickBot="1" x14ac:dyDescent="0.25">
      <c r="A183" s="1791"/>
      <c r="B183" s="1811"/>
      <c r="C183" s="1806"/>
      <c r="D183" s="1807" t="s">
        <v>2017</v>
      </c>
      <c r="E183" s="1808" t="s">
        <v>1626</v>
      </c>
      <c r="F183" s="1813" t="e">
        <f>F181/F182</f>
        <v>#DIV/0!</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5703125" style="1564" customWidth="1"/>
    <col min="4" max="4" width="16.42578125" style="1565" customWidth="1"/>
    <col min="5" max="5" width="0.140625" style="1565" hidden="1" customWidth="1"/>
    <col min="6" max="6" width="23.5703125" style="1565" customWidth="1"/>
    <col min="7" max="7" width="23.425781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5" t="s">
        <v>1926</v>
      </c>
      <c r="B6" s="1556"/>
      <c r="C6" s="1556"/>
      <c r="D6" s="1556"/>
      <c r="E6" s="1556"/>
      <c r="F6" s="1556"/>
      <c r="G6" s="1557"/>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8" t="s">
        <v>1927</v>
      </c>
      <c r="B10" s="1559"/>
      <c r="C10" s="1559"/>
      <c r="D10" s="1559"/>
      <c r="E10" s="1559"/>
      <c r="F10" s="1559"/>
      <c r="G10" s="1560"/>
    </row>
    <row r="11" spans="1:7" ht="17.25" customHeight="1" x14ac:dyDescent="0.25">
      <c r="A11" s="2290" t="s">
        <v>1941</v>
      </c>
      <c r="B11" s="2291"/>
      <c r="C11" s="2291"/>
      <c r="D11" s="2291"/>
      <c r="E11" s="2291"/>
      <c r="F11" s="2291"/>
      <c r="G11" s="2292"/>
    </row>
    <row r="12" spans="1:7" ht="15" customHeight="1" x14ac:dyDescent="0.25">
      <c r="A12" s="1558" t="s">
        <v>1932</v>
      </c>
      <c r="B12" s="1559"/>
      <c r="C12" s="1559"/>
      <c r="D12" s="1559"/>
      <c r="E12" s="1559"/>
      <c r="F12" s="1559"/>
      <c r="G12" s="1560"/>
    </row>
    <row r="13" spans="1:7" ht="32.25" customHeight="1" x14ac:dyDescent="0.25">
      <c r="A13" s="2281" t="s">
        <v>1933</v>
      </c>
      <c r="B13" s="2282"/>
      <c r="C13" s="2282"/>
      <c r="D13" s="2282"/>
      <c r="E13" s="2282"/>
      <c r="F13" s="2282"/>
      <c r="G13" s="2283"/>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676"/>
      <c r="B17" s="1867"/>
      <c r="C17" s="1677"/>
      <c r="D17" s="1866"/>
      <c r="E17" s="1561">
        <f t="shared" ref="E17:E141" si="1">IF(D17&lt;=25000,D17,IF(D17&gt;25000,25000,0))</f>
        <v>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0</v>
      </c>
      <c r="E141" s="1562">
        <f t="shared" si="1"/>
        <v>0</v>
      </c>
      <c r="F141" s="1816">
        <f>SUM(F17:F140)</f>
        <v>0</v>
      </c>
      <c r="G141" s="181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A31" sqref="A31"/>
    </sheetView>
  </sheetViews>
  <sheetFormatPr defaultColWidth="9.140625" defaultRowHeight="12.75" x14ac:dyDescent="0.2"/>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96" t="s">
        <v>1778</v>
      </c>
      <c r="B5" s="2297"/>
      <c r="C5" s="2297"/>
      <c r="D5" s="2297"/>
      <c r="E5" s="2297"/>
      <c r="F5" s="2297"/>
      <c r="G5" s="2298"/>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c r="F10" s="974"/>
      <c r="G10" s="975"/>
      <c r="H10" s="161"/>
      <c r="I10" s="161"/>
    </row>
    <row r="11" spans="1:9" s="668" customFormat="1" ht="22.5" customHeight="1" x14ac:dyDescent="0.2">
      <c r="A11" s="2301" t="s">
        <v>1945</v>
      </c>
      <c r="B11" s="2302"/>
      <c r="C11" s="2302"/>
      <c r="D11" s="2303"/>
      <c r="E11" s="977"/>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0</v>
      </c>
      <c r="F19" s="1821"/>
      <c r="G19" s="1823">
        <f>'Expenditures 15-22'!K33-SUM('Expenditures 15-22'!G33,'Expenditures 15-22'!I33)+'Expenditures 15-22'!D229</f>
        <v>0</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0</v>
      </c>
      <c r="F21" s="1824"/>
      <c r="G21" s="1827">
        <f>'Expenditures 15-22'!K42-SUM('Expenditures 15-22'!G42,'Expenditures 15-22'!I42)+'Expenditures 15-22'!K120-SUM('Expenditures 15-22'!G120,'Expenditures 15-22'!I120)+'Expenditures 15-22'!K180-SUM('Expenditures 15-22'!G180,'Expenditures 15-22'!I180)+'Expenditures 15-22'!D238</f>
        <v>0</v>
      </c>
      <c r="H21" s="987"/>
      <c r="I21" s="161"/>
    </row>
    <row r="22" spans="1:9" s="668" customFormat="1" ht="12" customHeight="1" x14ac:dyDescent="0.2">
      <c r="A22" s="994" t="s">
        <v>585</v>
      </c>
      <c r="B22" s="995"/>
      <c r="C22" s="993">
        <v>2200</v>
      </c>
      <c r="D22" s="1824"/>
      <c r="E22" s="1826">
        <f>'Expenditures 15-22'!K47-SUM('Expenditures 15-22'!G47,'Expenditures 15-22'!I47)+'Expenditures 15-22'!D243</f>
        <v>145352</v>
      </c>
      <c r="F22" s="1824"/>
      <c r="G22" s="1827">
        <f>'Expenditures 15-22'!K47-SUM('Expenditures 15-22'!G47,'Expenditures 15-22'!I47)+'Expenditures 15-22'!D243</f>
        <v>145352</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132506</v>
      </c>
      <c r="F23" s="1824"/>
      <c r="G23" s="1826">
        <f>'Expenditures 15-22'!K53-SUM('Expenditures 15-22'!G53,'Expenditures 15-22'!I53)+'Expenditures 15-22'!D257+'Expenditures 15-22'!K330-SUM('Expenditures 15-22'!G330,'Expenditures 15-22'!I330)</f>
        <v>132506</v>
      </c>
      <c r="H23" s="987"/>
      <c r="I23" s="161"/>
    </row>
    <row r="24" spans="1:9" s="668" customFormat="1" ht="12" customHeight="1" x14ac:dyDescent="0.2">
      <c r="A24" s="994" t="s">
        <v>587</v>
      </c>
      <c r="B24" s="995"/>
      <c r="C24" s="993">
        <v>2400</v>
      </c>
      <c r="D24" s="1824"/>
      <c r="E24" s="1826">
        <f>'Expenditures 15-22'!K57-SUM('Expenditures 15-22'!G57,'Expenditures 15-22'!I57)+'Expenditures 15-22'!D261</f>
        <v>0</v>
      </c>
      <c r="F24" s="1824"/>
      <c r="G24" s="1827">
        <f>'Expenditures 15-22'!K57-SUM('Expenditures 15-22'!G57,'Expenditures 15-22'!I57)+'Expenditures 15-22'!D261</f>
        <v>0</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0</v>
      </c>
      <c r="F28" s="1828">
        <f>'Expenditures 15-22'!K61-SUM('Expenditures 15-22'!G61,'Expenditures 15-22'!I61)+'Expenditures 15-22'!K124-SUM('Expenditures 15-22'!G124,'Expenditures 15-22'!I124)+'Expenditures 15-22'!D266-E9</f>
        <v>0</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4"/>
      <c r="E40" s="1828">
        <f>-'Contracts Paid in CY 29'!G141</f>
        <v>0</v>
      </c>
      <c r="F40" s="1824"/>
      <c r="G40" s="1828">
        <f>-'Contracts Paid in CY 29'!G141</f>
        <v>0</v>
      </c>
    </row>
    <row r="41" spans="1:7" ht="12" customHeight="1" x14ac:dyDescent="0.2">
      <c r="A41" s="998" t="s">
        <v>158</v>
      </c>
      <c r="B41" s="999"/>
      <c r="C41" s="1000"/>
      <c r="D41" s="1828">
        <f>SUM(D19:D39)</f>
        <v>0</v>
      </c>
      <c r="E41" s="1828">
        <f>SUM(E19:E40)</f>
        <v>277858</v>
      </c>
      <c r="F41" s="1828">
        <f>SUM(F19:F39)</f>
        <v>0</v>
      </c>
      <c r="G41" s="1828">
        <f>SUM(G19:G40)</f>
        <v>277858</v>
      </c>
    </row>
    <row r="42" spans="1:7" x14ac:dyDescent="0.2">
      <c r="A42" s="987"/>
      <c r="B42" s="161"/>
      <c r="C42" s="1001"/>
      <c r="D42" s="2299" t="s">
        <v>543</v>
      </c>
      <c r="E42" s="2300"/>
      <c r="F42" s="1002" t="s">
        <v>544</v>
      </c>
      <c r="G42" s="1003"/>
    </row>
    <row r="43" spans="1:7" ht="12" customHeight="1" x14ac:dyDescent="0.2">
      <c r="A43" s="987"/>
      <c r="B43" s="161"/>
      <c r="C43" s="1001"/>
      <c r="D43" s="1829" t="s">
        <v>493</v>
      </c>
      <c r="E43" s="1830">
        <f>D41</f>
        <v>0</v>
      </c>
      <c r="F43" s="1829" t="s">
        <v>495</v>
      </c>
      <c r="G43" s="1830">
        <f>F41</f>
        <v>0</v>
      </c>
    </row>
    <row r="44" spans="1:7" ht="12" customHeight="1" x14ac:dyDescent="0.2">
      <c r="A44" s="987"/>
      <c r="B44" s="161"/>
      <c r="C44" s="1001"/>
      <c r="D44" s="1829" t="s">
        <v>494</v>
      </c>
      <c r="E44" s="1830">
        <f>E41</f>
        <v>277858</v>
      </c>
      <c r="F44" s="1829" t="s">
        <v>494</v>
      </c>
      <c r="G44" s="1830">
        <f>G41</f>
        <v>277858</v>
      </c>
    </row>
    <row r="45" spans="1:7" ht="12" customHeight="1" x14ac:dyDescent="0.2">
      <c r="A45" s="987"/>
      <c r="B45" s="161"/>
      <c r="C45" s="161"/>
      <c r="D45" s="1831" t="s">
        <v>1063</v>
      </c>
      <c r="E45" s="1832">
        <f>(E43/E44)</f>
        <v>0</v>
      </c>
      <c r="F45" s="1831" t="s">
        <v>1063</v>
      </c>
      <c r="G45" s="1832">
        <f>(G43/G44)</f>
        <v>0</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8" t="s">
        <v>1446</v>
      </c>
      <c r="B1" s="2318"/>
      <c r="C1" s="2318"/>
      <c r="D1" s="2318"/>
      <c r="E1" s="2318"/>
      <c r="F1" s="2318"/>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9" t="s">
        <v>1627</v>
      </c>
      <c r="B5" s="2320"/>
      <c r="C5" s="2321"/>
      <c r="D5" s="2321"/>
      <c r="E5" s="2321"/>
      <c r="F5" s="2321"/>
    </row>
    <row r="6" spans="1:10" ht="12" customHeight="1" x14ac:dyDescent="0.25">
      <c r="A6" s="1874"/>
      <c r="B6" s="1875"/>
      <c r="C6" s="2322" t="str">
        <f>COVER!A17</f>
        <v>Moraine Area Career System</v>
      </c>
      <c r="D6" s="2322"/>
      <c r="E6" s="2322"/>
      <c r="F6" s="1876"/>
    </row>
    <row r="7" spans="1:10" ht="11.25" customHeight="1" thickBot="1" x14ac:dyDescent="0.3">
      <c r="A7" s="1874"/>
      <c r="B7" s="1875"/>
      <c r="C7" s="2323">
        <f>COVER!A13</f>
        <v>7016218046</v>
      </c>
      <c r="D7" s="2323"/>
      <c r="E7" s="2323"/>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t="s">
        <v>2077</v>
      </c>
      <c r="D20" s="1889" t="s">
        <v>2077</v>
      </c>
      <c r="E20" s="1892"/>
      <c r="F20" s="1891" t="s">
        <v>2099</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t="s">
        <v>2077</v>
      </c>
      <c r="D29" s="1889" t="s">
        <v>2077</v>
      </c>
      <c r="E29" s="1892"/>
      <c r="F29" s="1891" t="s">
        <v>2099</v>
      </c>
      <c r="H29" s="1902">
        <f t="shared" si="0"/>
        <v>5</v>
      </c>
      <c r="I29" s="1902">
        <f t="shared" si="1"/>
        <v>5</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1459</v>
      </c>
      <c r="B35" s="1896"/>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7"/>
      <c r="B39" s="1897"/>
      <c r="C39" s="1897"/>
      <c r="D39" s="1897"/>
      <c r="E39" s="1897"/>
      <c r="F39" s="1897"/>
    </row>
    <row r="40" spans="1:11" s="1894" customFormat="1" ht="12" customHeight="1" x14ac:dyDescent="0.25">
      <c r="A40" s="1898" t="s">
        <v>1458</v>
      </c>
      <c r="B40" s="1899"/>
      <c r="C40" s="2313"/>
      <c r="D40" s="2313"/>
      <c r="E40" s="2313"/>
      <c r="F40" s="2314"/>
      <c r="H40" s="1903"/>
      <c r="I40" s="1903"/>
      <c r="J40" s="1903"/>
      <c r="K40" s="1903"/>
    </row>
    <row r="41" spans="1:11" s="1894" customFormat="1" ht="12" customHeight="1" x14ac:dyDescent="0.25">
      <c r="A41" s="2315"/>
      <c r="B41" s="2316"/>
      <c r="C41" s="2316"/>
      <c r="D41" s="2316"/>
      <c r="E41" s="2316"/>
      <c r="F41" s="2317"/>
      <c r="H41" s="1903"/>
      <c r="I41" s="1903"/>
      <c r="J41" s="1903"/>
      <c r="K41" s="1903"/>
    </row>
    <row r="42" spans="1:11" s="1894" customFormat="1" ht="12" customHeight="1" x14ac:dyDescent="0.25">
      <c r="A42" s="2315"/>
      <c r="B42" s="2316"/>
      <c r="C42" s="2316"/>
      <c r="D42" s="2316"/>
      <c r="E42" s="2316"/>
      <c r="F42" s="2317"/>
      <c r="H42" s="1903"/>
      <c r="I42" s="1903"/>
      <c r="J42" s="1903"/>
      <c r="K42" s="1903"/>
    </row>
    <row r="43" spans="1:11" s="1894" customFormat="1" ht="15" x14ac:dyDescent="0.25">
      <c r="A43" s="2304"/>
      <c r="B43" s="2305"/>
      <c r="C43" s="2305"/>
      <c r="D43" s="2305"/>
      <c r="E43" s="2305"/>
      <c r="F43" s="2306"/>
      <c r="H43" s="1903"/>
      <c r="I43" s="1903"/>
      <c r="J43" s="1903"/>
      <c r="K43" s="1903"/>
    </row>
    <row r="44" spans="1:11" s="1894" customFormat="1" ht="12" hidden="1" customHeight="1" x14ac:dyDescent="0.25">
      <c r="A44" s="2304"/>
      <c r="B44" s="2305"/>
      <c r="C44" s="2305"/>
      <c r="D44" s="2305"/>
      <c r="E44" s="2305"/>
      <c r="F44" s="2306"/>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1" t="str">
        <f>COVER!A17</f>
        <v>Moraine Area Career System</v>
      </c>
      <c r="J6" s="2332"/>
      <c r="Q6" s="1685"/>
    </row>
    <row r="7" spans="1:17" x14ac:dyDescent="0.2">
      <c r="A7" s="2333" t="s">
        <v>924</v>
      </c>
      <c r="B7" s="2334"/>
      <c r="C7" s="2334"/>
      <c r="D7" s="2334"/>
      <c r="E7" s="2335"/>
      <c r="F7" s="1017"/>
      <c r="G7" s="1009"/>
      <c r="H7" s="1016" t="s">
        <v>390</v>
      </c>
      <c r="I7" s="2336">
        <f>COVER!A13</f>
        <v>7016218046</v>
      </c>
      <c r="J7" s="233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7" t="s">
        <v>502</v>
      </c>
      <c r="B11" s="2338"/>
      <c r="C11" s="233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132506</v>
      </c>
      <c r="F12" s="1039"/>
      <c r="G12" s="1833">
        <f t="shared" ref="G12:G18" si="0">SUM(E12:F12)</f>
        <v>132506</v>
      </c>
      <c r="H12" s="1040">
        <v>135844</v>
      </c>
      <c r="I12" s="1039"/>
      <c r="J12" s="1833">
        <f t="shared" ref="J12:J18" si="1">SUM(H12:I12)</f>
        <v>135844</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0" t="s">
        <v>7</v>
      </c>
      <c r="C18" s="2341"/>
      <c r="D18" s="2342"/>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132506</v>
      </c>
      <c r="F19" s="1835">
        <f t="shared" si="2"/>
        <v>0</v>
      </c>
      <c r="G19" s="1835">
        <f t="shared" si="2"/>
        <v>132506</v>
      </c>
      <c r="H19" s="1835">
        <f t="shared" si="2"/>
        <v>135844</v>
      </c>
      <c r="I19" s="1835">
        <f t="shared" si="2"/>
        <v>0</v>
      </c>
      <c r="J19" s="1835">
        <f t="shared" si="2"/>
        <v>135844</v>
      </c>
    </row>
    <row r="20" spans="1:10" ht="13.5" thickTop="1" x14ac:dyDescent="0.2">
      <c r="A20" s="1035">
        <v>9</v>
      </c>
      <c r="B20" s="2343" t="s">
        <v>1703</v>
      </c>
      <c r="C20" s="2343"/>
      <c r="D20" s="2344"/>
      <c r="E20" s="1046"/>
      <c r="F20" s="1046"/>
      <c r="G20" s="1046"/>
      <c r="H20" s="1046"/>
      <c r="I20" s="1046"/>
      <c r="J20" s="1836">
        <f>IF(AND(G19&gt;0,J19&gt;0),(((J19-G19)/G19)),"Enter Budget Data")</f>
        <v>2.5191312091527931E-2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1093</v>
      </c>
      <c r="D27" s="1052"/>
      <c r="E27" s="1053"/>
      <c r="F27" s="2345" t="s">
        <v>1589</v>
      </c>
      <c r="G27" s="2345"/>
    </row>
    <row r="28" spans="1:10" ht="28.5" customHeight="1" x14ac:dyDescent="0.2">
      <c r="B28" s="1047"/>
      <c r="C28" s="2347"/>
      <c r="D28" s="2347"/>
      <c r="E28" s="1054"/>
      <c r="F28" s="2347"/>
      <c r="G28" s="2347"/>
    </row>
    <row r="29" spans="1:10" x14ac:dyDescent="0.2">
      <c r="B29" s="1047"/>
      <c r="C29" s="1055" t="s">
        <v>1642</v>
      </c>
      <c r="E29" s="1056"/>
      <c r="F29" s="2346" t="s">
        <v>1590</v>
      </c>
      <c r="G29" s="234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1944</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937</v>
      </c>
      <c r="D39" s="2327"/>
      <c r="E39" s="2327"/>
      <c r="F39" s="2327"/>
      <c r="G39" s="2327"/>
      <c r="H39" s="2327"/>
      <c r="I39" s="232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2100</v>
      </c>
    </row>
    <row r="6" spans="1:2" x14ac:dyDescent="0.2">
      <c r="A6" s="1068">
        <v>2</v>
      </c>
      <c r="B6" s="328" t="s">
        <v>2101</v>
      </c>
    </row>
    <row r="7" spans="1:2" x14ac:dyDescent="0.2">
      <c r="A7" s="1068">
        <v>3</v>
      </c>
      <c r="B7" s="328" t="s">
        <v>2102</v>
      </c>
    </row>
    <row r="8" spans="1:2" x14ac:dyDescent="0.2">
      <c r="A8" s="1068">
        <v>4</v>
      </c>
      <c r="B8" s="328" t="s">
        <v>2103</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Moraine Area Career System</v>
      </c>
    </row>
    <row r="65" spans="2:2" x14ac:dyDescent="0.2">
      <c r="B65" s="1070">
        <f>COVER!A13</f>
        <v>7016218046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8" customWidth="1"/>
    <col min="2" max="2" width="59.570312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Worksheet" dvAspect="DVASPECT_ICON" shapeId="35841" r:id="rId4">
          <objectPr defaultSize="0" r:id="rId5">
            <anchor moveWithCells="1">
              <from>
                <xdr:col>1</xdr:col>
                <xdr:colOff>0</xdr:colOff>
                <xdr:row>2</xdr:row>
                <xdr:rowOff>0</xdr:rowOff>
              </from>
              <to>
                <xdr:col>1</xdr:col>
                <xdr:colOff>914400</xdr:colOff>
                <xdr:row>6</xdr:row>
                <xdr:rowOff>28575</xdr:rowOff>
              </to>
            </anchor>
          </objectPr>
        </oleObject>
      </mc:Choice>
      <mc:Fallback>
        <oleObject progId="Workshee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5703125" style="315" customWidth="1"/>
    <col min="7" max="16384" width="9.140625" style="315"/>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2056</v>
      </c>
      <c r="B4" s="2371"/>
      <c r="C4" s="2371"/>
      <c r="D4" s="2371"/>
      <c r="E4" s="2371"/>
      <c r="F4" s="2372"/>
      <c r="G4" s="1074"/>
      <c r="H4" s="1074"/>
    </row>
    <row r="5" spans="1:8" ht="14.25" customHeight="1" x14ac:dyDescent="0.2">
      <c r="A5" s="2373" t="s">
        <v>2057</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1761459</v>
      </c>
      <c r="C8" s="1837">
        <f>'Acct Summary 7-8'!D8</f>
        <v>0</v>
      </c>
      <c r="D8" s="1837">
        <f>'Acct Summary 7-8'!F8</f>
        <v>0</v>
      </c>
      <c r="E8" s="1837">
        <f>'Acct Summary 7-8'!I8</f>
        <v>0</v>
      </c>
      <c r="F8" s="1837">
        <f>SUM(B8:E8)</f>
        <v>1761459</v>
      </c>
    </row>
    <row r="9" spans="1:8" s="1079" customFormat="1" ht="14.25" customHeight="1" thickBot="1" x14ac:dyDescent="0.25">
      <c r="A9" s="1078" t="s">
        <v>1436</v>
      </c>
      <c r="B9" s="1838">
        <f>'Acct Summary 7-8'!C17</f>
        <v>1761459</v>
      </c>
      <c r="C9" s="1838">
        <f>'Acct Summary 7-8'!D17</f>
        <v>0</v>
      </c>
      <c r="D9" s="1838">
        <f>'Acct Summary 7-8'!F17</f>
        <v>0</v>
      </c>
      <c r="E9" s="1837"/>
      <c r="F9" s="1837">
        <f>SUM(B9:E9)</f>
        <v>1761459</v>
      </c>
    </row>
    <row r="10" spans="1:8" s="1079" customFormat="1" ht="14.25" thickTop="1" thickBot="1" x14ac:dyDescent="0.25">
      <c r="A10" s="1080" t="s">
        <v>1437</v>
      </c>
      <c r="B10" s="1839">
        <f>(B8-B9)</f>
        <v>0</v>
      </c>
      <c r="C10" s="1839">
        <f>(C8-C9)</f>
        <v>0</v>
      </c>
      <c r="D10" s="1839">
        <f>(D8-D9)</f>
        <v>0</v>
      </c>
      <c r="E10" s="1838">
        <f>(E8-E9)</f>
        <v>0</v>
      </c>
      <c r="F10" s="1840">
        <f>SUM(F8-F9)</f>
        <v>0</v>
      </c>
    </row>
    <row r="11" spans="1:8" s="1079" customFormat="1" ht="14.25" thickTop="1" thickBot="1" x14ac:dyDescent="0.25">
      <c r="A11" s="1081" t="s">
        <v>1785</v>
      </c>
      <c r="B11" s="1841">
        <f>'Acct Summary 7-8'!C81</f>
        <v>0</v>
      </c>
      <c r="C11" s="1841">
        <f>'Acct Summary 7-8'!D81</f>
        <v>0</v>
      </c>
      <c r="D11" s="1841">
        <f>'Acct Summary 7-8'!F81</f>
        <v>0</v>
      </c>
      <c r="E11" s="1841">
        <f>'Acct Summary 7-8'!I81</f>
        <v>0</v>
      </c>
      <c r="F11" s="1842">
        <f>SUM(B11:E11)</f>
        <v>0</v>
      </c>
    </row>
    <row r="12" spans="1:8" ht="16.5" customHeight="1" thickTop="1" x14ac:dyDescent="0.2">
      <c r="A12" s="1082"/>
      <c r="B12" s="1083"/>
      <c r="C12" s="2355" t="str">
        <f>IF(AND(F10&lt;0,F11&gt;=0,ABS(F10*3)&gt;ABS(F11)),A16,IF(AND(F10&lt;0,F11&gt;0,ABS(F10*3)&lt;=ABS(F11)),A17,IF(AND(F10&lt;0,F11&lt;0),A16,IF(F11=0,A19,A18))))</f>
        <v>To determine if the AFR is balanced, complete all pages of the AFR first.</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09" customFormat="1" ht="51.75" hidden="1" customHeight="1" x14ac:dyDescent="0.2">
      <c r="A16" s="2354" t="s">
        <v>1787</v>
      </c>
      <c r="B16" s="2354"/>
      <c r="C16" s="2354"/>
      <c r="D16" s="2354"/>
      <c r="E16" s="2354"/>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71" colorId="8" zoomScale="110" zoomScaleNormal="110" workbookViewId="0">
      <selection activeCell="C76" sqref="C76"/>
    </sheetView>
  </sheetViews>
  <sheetFormatPr defaultColWidth="9.140625" defaultRowHeight="12" x14ac:dyDescent="0.2"/>
  <cols>
    <col min="1" max="1" width="2.5703125" style="1133" customWidth="1"/>
    <col min="2" max="2" width="3.140625" style="1133" customWidth="1"/>
    <col min="3" max="3" width="96.140625" style="1073" customWidth="1"/>
    <col min="4" max="4" width="42.140625" style="241" customWidth="1"/>
    <col min="5" max="5" width="2.570312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6" t="s">
        <v>686</v>
      </c>
      <c r="B3" s="2377"/>
      <c r="C3" s="2377"/>
      <c r="D3" s="2378"/>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7" t="s">
        <v>1584</v>
      </c>
      <c r="D7" s="2388"/>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9" t="s">
        <v>1065</v>
      </c>
      <c r="B15" s="2380"/>
      <c r="C15" s="2380"/>
      <c r="D15" s="2381"/>
    </row>
    <row r="16" spans="1:4" s="668" customFormat="1" ht="24" customHeight="1" x14ac:dyDescent="0.2">
      <c r="A16" s="2382" t="s">
        <v>684</v>
      </c>
      <c r="B16" s="2383"/>
      <c r="C16" s="2383"/>
      <c r="D16" s="2384"/>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1" t="s">
        <v>332</v>
      </c>
      <c r="D21" s="2392"/>
    </row>
    <row r="22" spans="1:10" ht="12.75" x14ac:dyDescent="0.2">
      <c r="A22" s="1139"/>
      <c r="B22" s="1140">
        <v>2</v>
      </c>
      <c r="C22" s="2389" t="s">
        <v>1605</v>
      </c>
      <c r="D22" s="2390"/>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3" t="s">
        <v>557</v>
      </c>
      <c r="D43" s="239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5" t="s">
        <v>817</v>
      </c>
      <c r="D56" s="238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5" t="s">
        <v>1797</v>
      </c>
      <c r="D70" s="238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ENTRY IS REQUIRED!</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PLEASE ENTER CONTRACTS PAID IN CURRENT YEAR.</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7016218046</v>
      </c>
    </row>
    <row r="3" spans="1:2" x14ac:dyDescent="0.2">
      <c r="A3" t="s">
        <v>1013</v>
      </c>
      <c r="B3" s="137" t="str">
        <f>COVER!A15</f>
        <v xml:space="preserve">Cook </v>
      </c>
    </row>
    <row r="4" spans="1:2" x14ac:dyDescent="0.2">
      <c r="A4" t="s">
        <v>1064</v>
      </c>
      <c r="B4" s="137" t="str">
        <f>COVER!A17</f>
        <v>Moraine Area Career System</v>
      </c>
    </row>
    <row r="5" spans="1:2" x14ac:dyDescent="0.2">
      <c r="A5" t="s">
        <v>728</v>
      </c>
      <c r="B5" s="137" t="str">
        <f>COVER!A38</f>
        <v>Debbie Canna</v>
      </c>
    </row>
    <row r="6" spans="1:2" x14ac:dyDescent="0.2">
      <c r="A6" t="s">
        <v>733</v>
      </c>
      <c r="B6" s="137" t="str">
        <f>COVER!P35</f>
        <v>Worth</v>
      </c>
    </row>
    <row r="7" spans="1:2" x14ac:dyDescent="0.2">
      <c r="A7" t="s">
        <v>729</v>
      </c>
      <c r="B7" s="137" t="str">
        <f>COVER!I38</f>
        <v>Terry LaBella</v>
      </c>
    </row>
    <row r="8" spans="1:2" x14ac:dyDescent="0.2">
      <c r="A8" t="s">
        <v>730</v>
      </c>
      <c r="B8" s="137" t="str">
        <f>COVER!T38</f>
        <v>Dr. Vanessa Kinder</v>
      </c>
    </row>
    <row r="9" spans="1:2" x14ac:dyDescent="0.2">
      <c r="A9" s="3" t="s">
        <v>1014</v>
      </c>
      <c r="B9" s="157" t="str">
        <f>AUDITCHECK!D23</f>
        <v xml:space="preserve">ACCRUAL </v>
      </c>
    </row>
    <row r="10" spans="1:2" x14ac:dyDescent="0.2">
      <c r="A10" t="s">
        <v>1033</v>
      </c>
      <c r="B10" s="137">
        <f>COVER!B5</f>
        <v>0</v>
      </c>
    </row>
    <row r="11" spans="1:2" x14ac:dyDescent="0.2">
      <c r="A11" t="s">
        <v>1034</v>
      </c>
      <c r="B11" s="137" t="str">
        <f>COVER!B6</f>
        <v>x</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006-003346</v>
      </c>
    </row>
    <row r="16" spans="1:2" x14ac:dyDescent="0.2">
      <c r="A16" t="s">
        <v>442</v>
      </c>
      <c r="B16" s="137" t="str">
        <f>COVER!T13</f>
        <v>RSM US LLP</v>
      </c>
    </row>
    <row r="17" spans="1:2" x14ac:dyDescent="0.2">
      <c r="A17" t="s">
        <v>939</v>
      </c>
      <c r="B17" s="137" t="str">
        <f>COVER!T15</f>
        <v>John George</v>
      </c>
    </row>
    <row r="18" spans="1:2" x14ac:dyDescent="0.2">
      <c r="A18" t="s">
        <v>1212</v>
      </c>
      <c r="B18" s="137" t="str">
        <f>COVER!T17</f>
        <v>One South Wacker Drive Suite 800</v>
      </c>
    </row>
    <row r="19" spans="1:2" x14ac:dyDescent="0.2">
      <c r="A19" t="s">
        <v>941</v>
      </c>
      <c r="B19" s="137" t="str">
        <f>COVER!T25</f>
        <v>john.george@rsmus.com</v>
      </c>
    </row>
    <row r="20" spans="1:2" x14ac:dyDescent="0.2">
      <c r="A20" t="s">
        <v>942</v>
      </c>
      <c r="B20" s="137" t="str">
        <f>COVER!T19</f>
        <v>Chicago</v>
      </c>
    </row>
    <row r="21" spans="1:2" x14ac:dyDescent="0.2">
      <c r="A21" t="s">
        <v>500</v>
      </c>
      <c r="B21" s="137" t="str">
        <f>COVER!X19</f>
        <v>IL</v>
      </c>
    </row>
    <row r="22" spans="1:2" x14ac:dyDescent="0.2">
      <c r="A22" t="s">
        <v>943</v>
      </c>
      <c r="B22" s="137">
        <f>COVER!Z19</f>
        <v>60606</v>
      </c>
    </row>
    <row r="23" spans="1:2" x14ac:dyDescent="0.2">
      <c r="A23" t="s">
        <v>1214</v>
      </c>
      <c r="B23" s="137" t="str">
        <f>COVER!T21</f>
        <v>312-634-3400</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198481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198481</v>
      </c>
      <c r="C91" s="2" t="s">
        <v>594</v>
      </c>
      <c r="D91" s="2" t="str">
        <f t="shared" si="0"/>
        <v>Error?</v>
      </c>
    </row>
    <row r="92" spans="1:4" x14ac:dyDescent="0.2">
      <c r="A92" s="5">
        <v>31</v>
      </c>
      <c r="B92" s="137">
        <f>'Assets-Liab 5-6'!C39</f>
        <v>0</v>
      </c>
      <c r="D92" s="2" t="str">
        <f t="shared" si="0"/>
        <v>Error?</v>
      </c>
    </row>
    <row r="93" spans="1:4" x14ac:dyDescent="0.2">
      <c r="A93" s="5">
        <v>32</v>
      </c>
      <c r="B93" s="137">
        <f>'Assets-Liab 5-6'!C41</f>
        <v>198481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0</v>
      </c>
      <c r="C279" s="2" t="s">
        <v>594</v>
      </c>
      <c r="D279" s="2" t="str">
        <f t="shared" si="3"/>
        <v>Error?</v>
      </c>
    </row>
    <row r="280" spans="1:4" x14ac:dyDescent="0.2">
      <c r="A280" s="5">
        <v>219</v>
      </c>
      <c r="B280" s="137">
        <f>'Assets-Liab 5-6'!M40</f>
        <v>0</v>
      </c>
      <c r="D280" s="2" t="str">
        <f t="shared" si="3"/>
        <v>Error?</v>
      </c>
    </row>
    <row r="281" spans="1:4" x14ac:dyDescent="0.2">
      <c r="A281" s="5">
        <v>220</v>
      </c>
      <c r="B281" s="137">
        <f>'Assets-Liab 5-6'!M41</f>
        <v>0</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594</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594</v>
      </c>
      <c r="D287" s="2" t="str">
        <f t="shared" si="3"/>
        <v>Error?</v>
      </c>
    </row>
    <row r="288" spans="1:4" x14ac:dyDescent="0.2">
      <c r="A288" s="5">
        <v>227</v>
      </c>
      <c r="B288" s="137">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0</v>
      </c>
      <c r="C720" s="2" t="s">
        <v>594</v>
      </c>
      <c r="D720" s="2" t="str">
        <f t="shared" si="10"/>
        <v>Error?</v>
      </c>
    </row>
    <row r="721" spans="1:4" x14ac:dyDescent="0.2">
      <c r="A721" s="5">
        <v>660</v>
      </c>
      <c r="B721" s="137">
        <f>'Expenditures 15-22'!C36</f>
        <v>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0</v>
      </c>
      <c r="C727" s="2" t="s">
        <v>594</v>
      </c>
      <c r="D727" s="2" t="str">
        <f t="shared" si="10"/>
        <v>Error?</v>
      </c>
    </row>
    <row r="728" spans="1:4" x14ac:dyDescent="0.2">
      <c r="A728" s="5">
        <v>667</v>
      </c>
      <c r="B728" s="137">
        <f>'Expenditures 15-22'!C44</f>
        <v>118233</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118233</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75563</v>
      </c>
      <c r="D733" s="2" t="str">
        <f t="shared" si="10"/>
        <v>Error?</v>
      </c>
    </row>
    <row r="734" spans="1:4" x14ac:dyDescent="0.2">
      <c r="A734" s="5">
        <v>673</v>
      </c>
      <c r="B734" s="137">
        <f>'Expenditures 15-22'!C53</f>
        <v>75563</v>
      </c>
      <c r="C734" s="2" t="s">
        <v>594</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0</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193796</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193796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0</v>
      </c>
      <c r="C778" s="2" t="s">
        <v>594</v>
      </c>
      <c r="D778" s="2" t="str">
        <f t="shared" si="11"/>
        <v>Error?</v>
      </c>
    </row>
    <row r="779" spans="1:4" x14ac:dyDescent="0.2">
      <c r="A779" s="5">
        <v>718</v>
      </c>
      <c r="B779" s="137">
        <f>'Expenditures 15-22'!D36</f>
        <v>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0</v>
      </c>
      <c r="C785" s="2" t="s">
        <v>594</v>
      </c>
      <c r="D785" s="2" t="str">
        <f t="shared" si="11"/>
        <v>Error?</v>
      </c>
    </row>
    <row r="786" spans="1:4" x14ac:dyDescent="0.2">
      <c r="A786" s="5">
        <v>725</v>
      </c>
      <c r="B786" s="137">
        <f>'Expenditures 15-22'!D44</f>
        <v>12384</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12384</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29578</v>
      </c>
      <c r="D791" s="2" t="str">
        <f t="shared" si="11"/>
        <v>Error?</v>
      </c>
    </row>
    <row r="792" spans="1:4" x14ac:dyDescent="0.2">
      <c r="A792" s="5">
        <v>731</v>
      </c>
      <c r="B792" s="137">
        <f>'Expenditures 15-22'!D53</f>
        <v>29578</v>
      </c>
      <c r="C792" s="2" t="s">
        <v>594</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41962</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41962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0</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0</v>
      </c>
      <c r="C843" s="2" t="s">
        <v>594</v>
      </c>
      <c r="D843" s="2" t="str">
        <f t="shared" si="12"/>
        <v>Error?</v>
      </c>
    </row>
    <row r="844" spans="1:4" x14ac:dyDescent="0.2">
      <c r="A844" s="5">
        <v>783</v>
      </c>
      <c r="B844" s="137">
        <f>'Expenditures 15-22'!E44</f>
        <v>14735</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14735</v>
      </c>
      <c r="C847" s="2" t="s">
        <v>594</v>
      </c>
      <c r="D847" s="2" t="str">
        <f t="shared" si="12"/>
        <v>Error?</v>
      </c>
    </row>
    <row r="848" spans="1:4" x14ac:dyDescent="0.2">
      <c r="A848" s="5">
        <v>787</v>
      </c>
      <c r="B848" s="137">
        <f>'Expenditures 15-22'!E49</f>
        <v>0</v>
      </c>
      <c r="D848" s="2" t="str">
        <f t="shared" si="12"/>
        <v>Error?</v>
      </c>
    </row>
    <row r="849" spans="1:4" x14ac:dyDescent="0.2">
      <c r="A849" s="5">
        <v>788</v>
      </c>
      <c r="B849" s="137">
        <f>'Expenditures 15-22'!E50</f>
        <v>25435</v>
      </c>
      <c r="D849" s="2" t="str">
        <f t="shared" si="12"/>
        <v>Error?</v>
      </c>
    </row>
    <row r="850" spans="1:4" x14ac:dyDescent="0.2">
      <c r="A850" s="5">
        <v>789</v>
      </c>
      <c r="B850" s="137">
        <f>'Expenditures 15-22'!E53</f>
        <v>25435</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0</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40170</v>
      </c>
      <c r="C871" s="2" t="s">
        <v>594</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40170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0</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594</v>
      </c>
      <c r="D905" s="2" t="str">
        <f t="shared" si="13"/>
        <v>Error?</v>
      </c>
    </row>
    <row r="906" spans="1:4" x14ac:dyDescent="0.2">
      <c r="A906" s="5">
        <v>845</v>
      </c>
      <c r="B906" s="137">
        <f>'Expenditures 15-22'!F49</f>
        <v>0</v>
      </c>
      <c r="D906" s="2" t="str">
        <f t="shared" si="13"/>
        <v>Error?</v>
      </c>
    </row>
    <row r="907" spans="1:4" x14ac:dyDescent="0.2">
      <c r="A907" s="5">
        <v>846</v>
      </c>
      <c r="B907" s="137">
        <f>'Expenditures 15-22'!F50</f>
        <v>1600</v>
      </c>
      <c r="D907" s="2" t="str">
        <f t="shared" si="13"/>
        <v>Error?</v>
      </c>
    </row>
    <row r="908" spans="1:4" x14ac:dyDescent="0.2">
      <c r="A908" s="5">
        <v>847</v>
      </c>
      <c r="B908" s="137">
        <f>'Expenditures 15-22'!F53</f>
        <v>1600</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1600</v>
      </c>
      <c r="C929" s="2" t="s">
        <v>594</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1600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330</v>
      </c>
      <c r="D1023" s="2" t="str">
        <f t="shared" ref="D1023:D1086" si="15">IF(ISBLANK(B1023),"OK",IF(A1023-B1023=0,"OK","Error?"))</f>
        <v>Error?</v>
      </c>
    </row>
    <row r="1024" spans="1:4" x14ac:dyDescent="0.2">
      <c r="A1024" s="5">
        <v>963</v>
      </c>
      <c r="B1024" s="137">
        <f>'Expenditures 15-22'!H53</f>
        <v>330</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330</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1483601</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1483931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0</v>
      </c>
      <c r="C1108" s="2" t="s">
        <v>594</v>
      </c>
      <c r="D1108" s="2" t="str">
        <f t="shared" si="16"/>
        <v>Error?</v>
      </c>
    </row>
    <row r="1109" spans="1:4" x14ac:dyDescent="0.2">
      <c r="A1109" s="5">
        <v>1048</v>
      </c>
      <c r="B1109" s="137">
        <f>'Expenditures 15-22'!K36</f>
        <v>0</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0</v>
      </c>
      <c r="C1111" s="2" t="s">
        <v>594</v>
      </c>
      <c r="D1111" s="2" t="str">
        <f t="shared" si="16"/>
        <v>Error?</v>
      </c>
    </row>
    <row r="1112" spans="1:4" x14ac:dyDescent="0.2">
      <c r="A1112" s="5">
        <v>1051</v>
      </c>
      <c r="B1112" s="137">
        <f>'Expenditures 15-22'!K39</f>
        <v>0</v>
      </c>
      <c r="C1112" s="2" t="s">
        <v>594</v>
      </c>
      <c r="D1112" s="2" t="str">
        <f t="shared" si="16"/>
        <v>Error?</v>
      </c>
    </row>
    <row r="1113" spans="1:4" x14ac:dyDescent="0.2">
      <c r="A1113" s="5">
        <v>1052</v>
      </c>
      <c r="B1113" s="137">
        <f>'Expenditures 15-22'!K40</f>
        <v>0</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0</v>
      </c>
      <c r="C1115" s="2" t="s">
        <v>594</v>
      </c>
      <c r="D1115" s="2" t="str">
        <f t="shared" si="16"/>
        <v>Error?</v>
      </c>
    </row>
    <row r="1116" spans="1:4" x14ac:dyDescent="0.2">
      <c r="A1116" s="5">
        <v>1055</v>
      </c>
      <c r="B1116" s="137">
        <f>'Expenditures 15-22'!K44</f>
        <v>145352</v>
      </c>
      <c r="C1116" s="2" t="s">
        <v>594</v>
      </c>
      <c r="D1116" s="2" t="str">
        <f t="shared" si="16"/>
        <v>Error?</v>
      </c>
    </row>
    <row r="1117" spans="1:4" x14ac:dyDescent="0.2">
      <c r="A1117" s="5">
        <v>1056</v>
      </c>
      <c r="B1117" s="137">
        <f>'Expenditures 15-22'!K45</f>
        <v>0</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145352</v>
      </c>
      <c r="C1119" s="2" t="s">
        <v>594</v>
      </c>
      <c r="D1119" s="2" t="str">
        <f t="shared" si="16"/>
        <v>Error?</v>
      </c>
    </row>
    <row r="1120" spans="1:4" x14ac:dyDescent="0.2">
      <c r="A1120" s="5">
        <v>1059</v>
      </c>
      <c r="B1120" s="137">
        <f>'Expenditures 15-22'!K49</f>
        <v>0</v>
      </c>
      <c r="C1120" s="2" t="s">
        <v>594</v>
      </c>
      <c r="D1120" s="2" t="str">
        <f t="shared" si="16"/>
        <v>Error?</v>
      </c>
    </row>
    <row r="1121" spans="1:4" x14ac:dyDescent="0.2">
      <c r="A1121" s="5">
        <v>1060</v>
      </c>
      <c r="B1121" s="137">
        <f>'Expenditures 15-22'!K50</f>
        <v>132506</v>
      </c>
      <c r="C1121" s="2" t="s">
        <v>594</v>
      </c>
      <c r="D1121" s="2" t="str">
        <f t="shared" si="16"/>
        <v>Error?</v>
      </c>
    </row>
    <row r="1122" spans="1:4" x14ac:dyDescent="0.2">
      <c r="A1122" s="5">
        <v>1061</v>
      </c>
      <c r="B1122" s="137">
        <f>'Expenditures 15-22'!K53</f>
        <v>132506</v>
      </c>
      <c r="C1122" s="2" t="s">
        <v>594</v>
      </c>
      <c r="D1122" s="2" t="str">
        <f t="shared" si="16"/>
        <v>Error?</v>
      </c>
    </row>
    <row r="1123" spans="1:4" x14ac:dyDescent="0.2">
      <c r="A1123" s="5">
        <v>1062</v>
      </c>
      <c r="B1123" s="137">
        <f>'Expenditures 15-22'!K55</f>
        <v>0</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0</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0</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0</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277858</v>
      </c>
      <c r="C1143" s="2" t="s">
        <v>594</v>
      </c>
      <c r="D1143" s="2" t="str">
        <f t="shared" si="16"/>
        <v>Error?</v>
      </c>
    </row>
    <row r="1144" spans="1:4" x14ac:dyDescent="0.2">
      <c r="A1144" s="5">
        <v>1083</v>
      </c>
      <c r="B1144" s="137">
        <f>'Expenditures 15-22'!K75</f>
        <v>0</v>
      </c>
      <c r="C1144" s="2" t="s">
        <v>594</v>
      </c>
      <c r="D1144" s="2" t="str">
        <f t="shared" si="16"/>
        <v>Error?</v>
      </c>
    </row>
    <row r="1145" spans="1:4" x14ac:dyDescent="0.2">
      <c r="A1145" s="5">
        <v>1084</v>
      </c>
      <c r="B1145" s="137">
        <f>'Expenditures 15-22'!K102</f>
        <v>1483601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1761459</v>
      </c>
      <c r="C1152" s="2" t="s">
        <v>594</v>
      </c>
      <c r="D1152" s="2" t="str">
        <f t="shared" si="17"/>
        <v>Error?</v>
      </c>
    </row>
    <row r="1153" spans="1:4" x14ac:dyDescent="0.2">
      <c r="A1153" s="5">
        <v>1092</v>
      </c>
      <c r="B1153" s="137">
        <f>'Expenditures 15-22'!K115</f>
        <v>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594</v>
      </c>
      <c r="D1241" s="2" t="str">
        <f t="shared" si="18"/>
        <v>Error?</v>
      </c>
    </row>
    <row r="1242" spans="1:4" x14ac:dyDescent="0.2">
      <c r="A1242" s="5">
        <v>1181</v>
      </c>
      <c r="B1242" s="137">
        <f>'Expenditures 15-22'!E151</f>
        <v>0</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594</v>
      </c>
      <c r="D1249" s="2" t="str">
        <f t="shared" si="18"/>
        <v>Error?</v>
      </c>
    </row>
    <row r="1250" spans="1:4" x14ac:dyDescent="0.2">
      <c r="A1250" s="5">
        <v>1189</v>
      </c>
      <c r="B1250" s="137">
        <f>'Expenditures 15-22'!F151</f>
        <v>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0</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0</v>
      </c>
      <c r="C1288" s="2" t="s">
        <v>594</v>
      </c>
      <c r="D1288" s="2" t="str">
        <f t="shared" si="19"/>
        <v>Error?</v>
      </c>
    </row>
    <row r="1289" spans="1:4" x14ac:dyDescent="0.2">
      <c r="A1289" s="5">
        <v>1228</v>
      </c>
      <c r="B1289" s="137">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594</v>
      </c>
      <c r="D1317" s="2" t="str">
        <f t="shared" si="19"/>
        <v>Error?</v>
      </c>
    </row>
    <row r="1318" spans="1:4" x14ac:dyDescent="0.2">
      <c r="A1318" s="5">
        <v>1257</v>
      </c>
      <c r="B1318" s="137">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0</v>
      </c>
      <c r="C1331" s="2" t="s">
        <v>594</v>
      </c>
      <c r="D1331" s="2" t="str">
        <f t="shared" si="19"/>
        <v>Error?</v>
      </c>
    </row>
    <row r="1332" spans="1:4" x14ac:dyDescent="0.2">
      <c r="A1332" s="5">
        <v>1271</v>
      </c>
      <c r="B1332" s="137">
        <f>'Expenditures 15-22'!K174</f>
        <v>0</v>
      </c>
      <c r="C1332" s="2" t="s">
        <v>594</v>
      </c>
      <c r="D1332" s="2" t="str">
        <f t="shared" si="19"/>
        <v>Error?</v>
      </c>
    </row>
    <row r="1333" spans="1:4" x14ac:dyDescent="0.2">
      <c r="A1333" s="5">
        <v>1272</v>
      </c>
      <c r="B1333" s="137">
        <f>'Expenditures 15-22'!K175</f>
        <v>0</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0</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0</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0</v>
      </c>
      <c r="C1388" s="2" t="s">
        <v>594</v>
      </c>
      <c r="D1388" s="2" t="str">
        <f t="shared" si="20"/>
        <v>Error?</v>
      </c>
    </row>
    <row r="1389" spans="1:4" x14ac:dyDescent="0.2">
      <c r="A1389" s="5">
        <v>1328</v>
      </c>
      <c r="B1389" s="137">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594</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0</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0</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0</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0</v>
      </c>
      <c r="C1487" s="2" t="s">
        <v>594</v>
      </c>
      <c r="D1487" s="2" t="str">
        <f t="shared" si="22"/>
        <v>Error?</v>
      </c>
    </row>
    <row r="1488" spans="1:4" x14ac:dyDescent="0.2">
      <c r="A1488" s="5">
        <v>1427</v>
      </c>
      <c r="B1488" s="137">
        <f>'Expenditures 15-22'!K257</f>
        <v>0</v>
      </c>
      <c r="C1488" s="2" t="s">
        <v>594</v>
      </c>
      <c r="D1488" s="2" t="str">
        <f t="shared" si="22"/>
        <v>Error?</v>
      </c>
    </row>
    <row r="1489" spans="1:4" x14ac:dyDescent="0.2">
      <c r="A1489" s="5">
        <v>1428</v>
      </c>
      <c r="B1489" s="137">
        <f>'Expenditures 15-22'!K259</f>
        <v>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0</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0</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0</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0</v>
      </c>
      <c r="C1517" s="2" t="s">
        <v>594</v>
      </c>
      <c r="D1517" s="2" t="str">
        <f t="shared" si="22"/>
        <v>Error?</v>
      </c>
    </row>
    <row r="1518" spans="1:4" x14ac:dyDescent="0.2">
      <c r="A1518" s="5">
        <v>1457</v>
      </c>
      <c r="B1518" s="137">
        <f>'Expenditures 15-22'!K296</f>
        <v>0</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0</v>
      </c>
      <c r="C1630" s="2" t="s">
        <v>594</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594</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594</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594</v>
      </c>
      <c r="D1744" s="2" t="str">
        <f t="shared" si="26"/>
        <v>Error?</v>
      </c>
    </row>
    <row r="1745" spans="1:5" x14ac:dyDescent="0.2">
      <c r="A1745" s="5">
        <v>1684</v>
      </c>
      <c r="B1745" s="137">
        <f>'Tax Sched 23'!B5</f>
        <v>0</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0</v>
      </c>
      <c r="C1747" s="2" t="s">
        <v>594</v>
      </c>
      <c r="D1747" s="2" t="str">
        <f t="shared" si="26"/>
        <v>Error?</v>
      </c>
    </row>
    <row r="1748" spans="1:5" x14ac:dyDescent="0.2">
      <c r="A1748" s="5">
        <v>1687</v>
      </c>
      <c r="B1748" s="137">
        <f>'Tax Sched 23'!B8</f>
        <v>0</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0</v>
      </c>
      <c r="C1759" s="2" t="s">
        <v>594</v>
      </c>
      <c r="D1759" s="2" t="str">
        <f t="shared" si="26"/>
        <v>Error?</v>
      </c>
    </row>
    <row r="1760" spans="1:5" x14ac:dyDescent="0.2">
      <c r="A1760" s="5">
        <v>1699</v>
      </c>
      <c r="B1760" s="137">
        <f>'Tax Sched 23'!D4</f>
        <v>0</v>
      </c>
      <c r="C1760" s="2" t="s">
        <v>594</v>
      </c>
      <c r="D1760" s="2" t="str">
        <f t="shared" si="26"/>
        <v>Error?</v>
      </c>
    </row>
    <row r="1761" spans="1:5" x14ac:dyDescent="0.2">
      <c r="A1761" s="5">
        <v>1700</v>
      </c>
      <c r="B1761" s="137">
        <f>'Tax Sched 23'!D5</f>
        <v>0</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0</v>
      </c>
      <c r="C1763" s="2" t="s">
        <v>594</v>
      </c>
      <c r="D1763" s="2" t="str">
        <f t="shared" si="26"/>
        <v>Error?</v>
      </c>
    </row>
    <row r="1764" spans="1:5" x14ac:dyDescent="0.2">
      <c r="A1764" s="5">
        <v>1703</v>
      </c>
      <c r="B1764" s="137">
        <f>'Tax Sched 23'!D8</f>
        <v>0</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0</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0</v>
      </c>
      <c r="C1775" s="2" t="s">
        <v>594</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594</v>
      </c>
      <c r="D1791" s="2" t="str">
        <f t="shared" ref="D1791:D1854" si="27">IF(ISBLANK(B1791),"OK",IF(A1791-B1791=0,"OK","Error?"))</f>
        <v>Error?</v>
      </c>
    </row>
    <row r="1792" spans="1:4" x14ac:dyDescent="0.2">
      <c r="A1792" s="5">
        <v>1731</v>
      </c>
      <c r="B1792" s="137">
        <f>'Tax Sched 23'!F4</f>
        <v>0</v>
      </c>
      <c r="C1792" s="2" t="s">
        <v>594</v>
      </c>
      <c r="D1792" s="2" t="str">
        <f t="shared" si="27"/>
        <v>Error?</v>
      </c>
    </row>
    <row r="1793" spans="1:4" x14ac:dyDescent="0.2">
      <c r="A1793" s="5">
        <v>1732</v>
      </c>
      <c r="B1793" s="137">
        <f>'Tax Sched 23'!F5</f>
        <v>0</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0</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0</v>
      </c>
      <c r="C1807" s="2" t="s">
        <v>594</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0</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0</v>
      </c>
      <c r="C2026" s="2" t="s">
        <v>594</v>
      </c>
      <c r="D2026" s="2" t="str">
        <f t="shared" si="30"/>
        <v>Error?</v>
      </c>
    </row>
    <row r="2027" spans="1:4" x14ac:dyDescent="0.2">
      <c r="A2027" s="5">
        <v>1966</v>
      </c>
      <c r="B2027" s="137">
        <f>'Cap Outlay Deprec 26'!F8</f>
        <v>0</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0</v>
      </c>
      <c r="C2031" s="2" t="s">
        <v>594</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0</v>
      </c>
      <c r="C2037" s="2" t="s">
        <v>594</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0</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0</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0</v>
      </c>
      <c r="C2055" s="2" t="s">
        <v>594</v>
      </c>
      <c r="D2055" s="2" t="str">
        <f t="shared" si="31"/>
        <v>Error?</v>
      </c>
    </row>
    <row r="2056" spans="1:4" x14ac:dyDescent="0.2">
      <c r="A2056" s="5">
        <v>1995</v>
      </c>
      <c r="B2056" s="137">
        <f>'Cap Outlay Deprec 26'!L5</f>
        <v>0</v>
      </c>
      <c r="C2056" s="2" t="s">
        <v>594</v>
      </c>
      <c r="D2056" s="2" t="str">
        <f t="shared" si="31"/>
        <v>Error?</v>
      </c>
    </row>
    <row r="2057" spans="1:4" x14ac:dyDescent="0.2">
      <c r="A2057" s="5">
        <v>1996</v>
      </c>
      <c r="B2057" s="137">
        <f>'Cap Outlay Deprec 26'!L8</f>
        <v>0</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32811</v>
      </c>
      <c r="C2551" s="2" t="s">
        <v>594</v>
      </c>
      <c r="D2551" s="2" t="str">
        <f t="shared" si="38"/>
        <v>Error?</v>
      </c>
    </row>
    <row r="2552" spans="1:4" x14ac:dyDescent="0.2">
      <c r="A2552" s="10">
        <v>2491</v>
      </c>
      <c r="D2552" s="2" t="str">
        <f t="shared" si="38"/>
        <v>OK</v>
      </c>
    </row>
    <row r="2553" spans="1:4" x14ac:dyDescent="0.2">
      <c r="A2553" s="5">
        <v>2492</v>
      </c>
      <c r="B2553" s="137">
        <f>'Acct Summary 7-8'!C6</f>
        <v>1026410</v>
      </c>
      <c r="C2553" s="2" t="s">
        <v>594</v>
      </c>
      <c r="D2553" s="2" t="str">
        <f t="shared" si="38"/>
        <v>Error?</v>
      </c>
    </row>
    <row r="2554" spans="1:4" x14ac:dyDescent="0.2">
      <c r="A2554" s="5">
        <v>2493</v>
      </c>
      <c r="B2554" s="137">
        <f>'Acct Summary 7-8'!C7</f>
        <v>702238</v>
      </c>
      <c r="C2554" s="2" t="s">
        <v>594</v>
      </c>
      <c r="D2554" s="2" t="str">
        <f t="shared" si="38"/>
        <v>Error?</v>
      </c>
    </row>
    <row r="2555" spans="1:4" x14ac:dyDescent="0.2">
      <c r="A2555" s="5">
        <v>2494</v>
      </c>
      <c r="B2555" s="137">
        <f>'Acct Summary 7-8'!C8</f>
        <v>1761459</v>
      </c>
      <c r="C2555" s="2" t="s">
        <v>594</v>
      </c>
      <c r="D2555" s="2" t="str">
        <f t="shared" si="38"/>
        <v>Error?</v>
      </c>
    </row>
    <row r="2556" spans="1:4" x14ac:dyDescent="0.2">
      <c r="A2556" s="5">
        <v>2495</v>
      </c>
      <c r="B2556" s="137">
        <f>'Acct Summary 7-8'!C12</f>
        <v>0</v>
      </c>
      <c r="C2556" s="2" t="s">
        <v>594</v>
      </c>
      <c r="D2556" s="2" t="str">
        <f t="shared" si="38"/>
        <v>Error?</v>
      </c>
    </row>
    <row r="2557" spans="1:4" x14ac:dyDescent="0.2">
      <c r="A2557" s="5">
        <v>2496</v>
      </c>
      <c r="B2557" s="137">
        <f>'Acct Summary 7-8'!C13</f>
        <v>277858</v>
      </c>
      <c r="C2557" s="2" t="s">
        <v>594</v>
      </c>
      <c r="D2557" s="2" t="str">
        <f t="shared" si="38"/>
        <v>Error?</v>
      </c>
    </row>
    <row r="2558" spans="1:4" x14ac:dyDescent="0.2">
      <c r="A2558" s="5">
        <v>2497</v>
      </c>
      <c r="B2558" s="137">
        <f>'Acct Summary 7-8'!C14</f>
        <v>0</v>
      </c>
      <c r="C2558" s="2" t="s">
        <v>594</v>
      </c>
      <c r="D2558" s="2" t="str">
        <f t="shared" si="38"/>
        <v>Error?</v>
      </c>
    </row>
    <row r="2559" spans="1:4" x14ac:dyDescent="0.2">
      <c r="A2559" s="5">
        <v>2498</v>
      </c>
      <c r="B2559" s="137">
        <f>'Acct Summary 7-8'!C15</f>
        <v>1483601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1761459</v>
      </c>
      <c r="C2561" s="2" t="s">
        <v>594</v>
      </c>
      <c r="D2561" s="2" t="str">
        <f t="shared" si="39"/>
        <v>Error?</v>
      </c>
    </row>
    <row r="2562" spans="1:4" x14ac:dyDescent="0.2">
      <c r="A2562" s="5">
        <v>2501</v>
      </c>
      <c r="B2562" s="137">
        <f>'Acct Summary 7-8'!C20</f>
        <v>0</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0</v>
      </c>
      <c r="C2568" s="2" t="s">
        <v>594</v>
      </c>
      <c r="D2568" s="2" t="str">
        <f t="shared" si="39"/>
        <v>Error?</v>
      </c>
    </row>
    <row r="2569" spans="1:4" x14ac:dyDescent="0.2">
      <c r="A2569" s="5">
        <v>2508</v>
      </c>
      <c r="B2569" s="137">
        <f>'Acct Summary 7-8'!D13</f>
        <v>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0</v>
      </c>
      <c r="C2573" s="2" t="s">
        <v>594</v>
      </c>
      <c r="D2573" s="2" t="str">
        <f t="shared" si="39"/>
        <v>Error?</v>
      </c>
    </row>
    <row r="2574" spans="1:4" x14ac:dyDescent="0.2">
      <c r="A2574" s="5">
        <v>2513</v>
      </c>
      <c r="B2574" s="137">
        <f>'Acct Summary 7-8'!D20</f>
        <v>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594</v>
      </c>
      <c r="D2591" s="2" t="str">
        <f t="shared" si="39"/>
        <v>Error?</v>
      </c>
    </row>
    <row r="2592" spans="1:4" x14ac:dyDescent="0.2">
      <c r="A2592" s="10">
        <v>2531</v>
      </c>
      <c r="D2592" s="2" t="str">
        <f t="shared" si="39"/>
        <v>OK</v>
      </c>
    </row>
    <row r="2593" spans="1:4" x14ac:dyDescent="0.2">
      <c r="A2593" s="5">
        <v>2532</v>
      </c>
      <c r="B2593" s="137">
        <f>'Acct Summary 7-8'!F6</f>
        <v>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0</v>
      </c>
      <c r="C2595" s="2" t="s">
        <v>594</v>
      </c>
      <c r="D2595" s="2" t="str">
        <f t="shared" si="39"/>
        <v>Error?</v>
      </c>
    </row>
    <row r="2596" spans="1:4" x14ac:dyDescent="0.2">
      <c r="A2596" s="5">
        <v>2535</v>
      </c>
      <c r="B2596" s="137">
        <f>'Acct Summary 7-8'!F13</f>
        <v>0</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0</v>
      </c>
      <c r="C2600" s="2" t="s">
        <v>594</v>
      </c>
      <c r="D2600" s="2" t="str">
        <f t="shared" si="39"/>
        <v>Error?</v>
      </c>
    </row>
    <row r="2601" spans="1:4" x14ac:dyDescent="0.2">
      <c r="A2601" s="5">
        <v>2540</v>
      </c>
      <c r="B2601" s="137">
        <f>'Acct Summary 7-8'!F20</f>
        <v>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0</v>
      </c>
      <c r="C2606" s="2" t="s">
        <v>594</v>
      </c>
      <c r="D2606" s="2" t="str">
        <f t="shared" si="39"/>
        <v>Error?</v>
      </c>
    </row>
    <row r="2607" spans="1:4" x14ac:dyDescent="0.2">
      <c r="A2607" s="5">
        <v>2546</v>
      </c>
      <c r="B2607" s="137">
        <f>'Acct Summary 7-8'!G12</f>
        <v>0</v>
      </c>
      <c r="C2607" s="2" t="s">
        <v>594</v>
      </c>
      <c r="D2607" s="2" t="str">
        <f t="shared" si="39"/>
        <v>Error?</v>
      </c>
    </row>
    <row r="2608" spans="1:4" x14ac:dyDescent="0.2">
      <c r="A2608" s="5">
        <v>2547</v>
      </c>
      <c r="B2608" s="137">
        <f>'Acct Summary 7-8'!G13</f>
        <v>0</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0</v>
      </c>
      <c r="C2612" s="2" t="s">
        <v>594</v>
      </c>
      <c r="D2612" s="2" t="str">
        <f t="shared" si="39"/>
        <v>Error?</v>
      </c>
    </row>
    <row r="2613" spans="1:4" x14ac:dyDescent="0.2">
      <c r="A2613" s="5">
        <v>2552</v>
      </c>
      <c r="B2613" s="137">
        <f>'Acct Summary 7-8'!G20</f>
        <v>0</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0</v>
      </c>
      <c r="C2634" s="2" t="s">
        <v>594</v>
      </c>
      <c r="D2634" s="2" t="str">
        <f t="shared" si="40"/>
        <v>Error?</v>
      </c>
    </row>
    <row r="2635" spans="1:4" x14ac:dyDescent="0.2">
      <c r="A2635" s="5">
        <v>2574</v>
      </c>
      <c r="B2635" s="137">
        <f>'Acct Summary 7-8'!E17</f>
        <v>0</v>
      </c>
      <c r="C2635" s="2" t="s">
        <v>594</v>
      </c>
      <c r="D2635" s="2" t="str">
        <f t="shared" si="40"/>
        <v>Error?</v>
      </c>
    </row>
    <row r="2636" spans="1:4" x14ac:dyDescent="0.2">
      <c r="A2636" s="5">
        <v>2575</v>
      </c>
      <c r="B2636" s="137">
        <f>'Acct Summary 7-8'!E20</f>
        <v>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594</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594</v>
      </c>
      <c r="D2916" s="2" t="str">
        <f t="shared" si="44"/>
        <v>Error?</v>
      </c>
    </row>
    <row r="2917" spans="1:4" x14ac:dyDescent="0.2">
      <c r="A2917" s="5">
        <v>2856</v>
      </c>
      <c r="B2917" s="137">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594</v>
      </c>
      <c r="D3225" s="2" t="str">
        <f t="shared" si="49"/>
        <v>Error?</v>
      </c>
    </row>
    <row r="3226" spans="1:4" x14ac:dyDescent="0.2">
      <c r="A3226" s="5">
        <v>3165</v>
      </c>
      <c r="B3226" s="137">
        <f>'Acct Summary 7-8'!I8</f>
        <v>0</v>
      </c>
      <c r="C3226" s="2" t="s">
        <v>594</v>
      </c>
      <c r="D3226" s="2" t="str">
        <f t="shared" si="49"/>
        <v>Error?</v>
      </c>
    </row>
    <row r="3227" spans="1:4" x14ac:dyDescent="0.2">
      <c r="A3227" s="5">
        <v>3166</v>
      </c>
      <c r="B3227" s="137">
        <f>'Acct Summary 7-8'!I20</f>
        <v>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0</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0</v>
      </c>
      <c r="C3320" s="2" t="s">
        <v>594</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0</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594</v>
      </c>
      <c r="D3390" s="2" t="str">
        <f t="shared" si="51"/>
        <v>Error?</v>
      </c>
    </row>
    <row r="3391" spans="1:4" x14ac:dyDescent="0.2">
      <c r="A3391" s="5">
        <v>3330</v>
      </c>
      <c r="B3391" s="137">
        <f>'Expenditures 15-22'!K217</f>
        <v>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132288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0</v>
      </c>
      <c r="C3446" s="2" t="s">
        <v>594</v>
      </c>
      <c r="D3446" s="2" t="str">
        <f t="shared" si="52"/>
        <v>Error?</v>
      </c>
    </row>
    <row r="3447" spans="1:4" x14ac:dyDescent="0.2">
      <c r="A3447" s="5">
        <v>3386</v>
      </c>
      <c r="B3447" s="137">
        <f>'Tax Sched 23'!D16</f>
        <v>0</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1761459</v>
      </c>
      <c r="C4122" s="2" t="s">
        <v>594</v>
      </c>
      <c r="D4122" s="2" t="str">
        <f t="shared" si="63"/>
        <v>Error?</v>
      </c>
    </row>
    <row r="4123" spans="1:4" x14ac:dyDescent="0.2">
      <c r="A4123" s="5">
        <v>4062</v>
      </c>
      <c r="B4123" s="137">
        <f>'Acct Summary 7-8'!D10</f>
        <v>0</v>
      </c>
      <c r="C4123" s="2" t="s">
        <v>594</v>
      </c>
      <c r="D4123" s="2" t="str">
        <f t="shared" si="63"/>
        <v>Error?</v>
      </c>
    </row>
    <row r="4124" spans="1:4" x14ac:dyDescent="0.2">
      <c r="A4124" s="5">
        <v>4063</v>
      </c>
      <c r="B4124" s="137">
        <f>'Acct Summary 7-8'!E10</f>
        <v>0</v>
      </c>
      <c r="C4124" s="2" t="s">
        <v>594</v>
      </c>
      <c r="D4124" s="2" t="str">
        <f t="shared" si="63"/>
        <v>Error?</v>
      </c>
    </row>
    <row r="4125" spans="1:4" x14ac:dyDescent="0.2">
      <c r="A4125" s="5">
        <v>4064</v>
      </c>
      <c r="B4125" s="137">
        <f>'Acct Summary 7-8'!F10</f>
        <v>0</v>
      </c>
      <c r="C4125" s="2" t="s">
        <v>594</v>
      </c>
      <c r="D4125" s="2" t="str">
        <f t="shared" si="63"/>
        <v>Error?</v>
      </c>
    </row>
    <row r="4126" spans="1:4" x14ac:dyDescent="0.2">
      <c r="A4126" s="5">
        <v>4065</v>
      </c>
      <c r="B4126" s="137">
        <f>'Acct Summary 7-8'!G10</f>
        <v>0</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0</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1761459</v>
      </c>
      <c r="C4136" s="2" t="s">
        <v>594</v>
      </c>
      <c r="D4136" s="2" t="str">
        <f t="shared" si="63"/>
        <v>Error?</v>
      </c>
    </row>
    <row r="4137" spans="1:4" x14ac:dyDescent="0.2">
      <c r="A4137" s="5">
        <v>4076</v>
      </c>
      <c r="B4137" s="137">
        <f>'Acct Summary 7-8'!D19</f>
        <v>0</v>
      </c>
      <c r="C4137" s="2" t="s">
        <v>594</v>
      </c>
      <c r="D4137" s="2" t="str">
        <f t="shared" si="63"/>
        <v>Error?</v>
      </c>
    </row>
    <row r="4138" spans="1:4" x14ac:dyDescent="0.2">
      <c r="A4138" s="5">
        <v>4077</v>
      </c>
      <c r="B4138" s="137">
        <f>'Acct Summary 7-8'!E19</f>
        <v>0</v>
      </c>
      <c r="C4138" s="2" t="s">
        <v>594</v>
      </c>
      <c r="D4138" s="2" t="str">
        <f t="shared" si="63"/>
        <v>Error?</v>
      </c>
    </row>
    <row r="4139" spans="1:4" x14ac:dyDescent="0.2">
      <c r="A4139" s="5">
        <v>4078</v>
      </c>
      <c r="B4139" s="137">
        <f>'Acct Summary 7-8'!F19</f>
        <v>0</v>
      </c>
      <c r="C4139" s="2" t="s">
        <v>594</v>
      </c>
      <c r="D4139" s="2" t="str">
        <f t="shared" si="63"/>
        <v>Error?</v>
      </c>
    </row>
    <row r="4140" spans="1:4" x14ac:dyDescent="0.2">
      <c r="A4140" s="5">
        <v>4079</v>
      </c>
      <c r="B4140" s="137">
        <f>'Acct Summary 7-8'!G19</f>
        <v>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0</v>
      </c>
      <c r="C4171" s="2" t="s">
        <v>594</v>
      </c>
      <c r="D4171" s="2" t="str">
        <f t="shared" si="64"/>
        <v>Error?</v>
      </c>
    </row>
    <row r="4172" spans="1:4" x14ac:dyDescent="0.2">
      <c r="A4172" s="5">
        <v>4111</v>
      </c>
      <c r="B4172" s="137">
        <f>'Short-Term Long-Term Debt 24'!J49</f>
        <v>0</v>
      </c>
      <c r="C4172" s="2" t="s">
        <v>594</v>
      </c>
      <c r="D4172" s="2" t="str">
        <f t="shared" si="64"/>
        <v>Error?</v>
      </c>
    </row>
    <row r="4173" spans="1:4" x14ac:dyDescent="0.2">
      <c r="A4173" s="5">
        <v>4112</v>
      </c>
      <c r="B4173" s="137">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594</v>
      </c>
      <c r="D4265" s="2" t="str">
        <f t="shared" si="65"/>
        <v>Error?</v>
      </c>
      <c r="E4265" s="127"/>
    </row>
    <row r="4266" spans="1:5" x14ac:dyDescent="0.2">
      <c r="A4266" s="12">
        <v>4205</v>
      </c>
      <c r="B4266" s="137">
        <f>('FP Info 3'!F10)*100000</f>
        <v>0</v>
      </c>
      <c r="C4266" s="2" t="s">
        <v>594</v>
      </c>
      <c r="D4266" s="2" t="str">
        <f t="shared" si="65"/>
        <v>Error?</v>
      </c>
      <c r="E4266" s="127"/>
    </row>
    <row r="4267" spans="1:5" x14ac:dyDescent="0.2">
      <c r="A4267" s="12">
        <v>4206</v>
      </c>
      <c r="B4267" s="137">
        <f>('FP Info 3'!H10)*100000</f>
        <v>0</v>
      </c>
      <c r="C4267" s="2" t="s">
        <v>594</v>
      </c>
      <c r="D4267" s="2" t="str">
        <f t="shared" si="65"/>
        <v>Error?</v>
      </c>
      <c r="E4267" s="127"/>
    </row>
    <row r="4268" spans="1:5" x14ac:dyDescent="0.2">
      <c r="A4268" s="12">
        <v>4207</v>
      </c>
      <c r="B4268" s="137">
        <f>('FP Info 3'!J10)*100000</f>
        <v>0</v>
      </c>
      <c r="C4268" s="2" t="s">
        <v>594</v>
      </c>
      <c r="D4268" s="2" t="str">
        <f t="shared" si="65"/>
        <v>Error?</v>
      </c>
    </row>
    <row r="4269" spans="1:5" x14ac:dyDescent="0.2">
      <c r="A4269" s="12">
        <v>4208</v>
      </c>
      <c r="B4269" s="137">
        <f>'FP Info 3'!J16</f>
        <v>0</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702238</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3327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3327</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29484</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0</v>
      </c>
      <c r="D5119" s="2" t="str">
        <f t="shared" ref="D5119:D5182" si="79">IF(ISBLANK(B5119),"OK",IF(A5119-B5119=0,"OK","Error?"))</f>
        <v>Error?</v>
      </c>
    </row>
    <row r="5120" spans="1:4" x14ac:dyDescent="0.2">
      <c r="A5120" s="5">
        <v>5059</v>
      </c>
      <c r="B5120" s="137">
        <f>'Revenues 9-14'!C108</f>
        <v>29484</v>
      </c>
      <c r="C5120" s="2" t="s">
        <v>594</v>
      </c>
      <c r="D5120" s="2" t="str">
        <f t="shared" si="79"/>
        <v>Error?</v>
      </c>
    </row>
    <row r="5121" spans="1:4" x14ac:dyDescent="0.2">
      <c r="A5121" s="5">
        <v>5060</v>
      </c>
      <c r="B5121" s="137">
        <f>'Revenues 9-14'!C109</f>
        <v>32811</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0</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0</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1026410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1026410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0</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1026410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1026410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0</v>
      </c>
      <c r="C5246" s="2" t="s">
        <v>594</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0</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702238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702238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702238</v>
      </c>
      <c r="C5326" s="2" t="s">
        <v>594</v>
      </c>
      <c r="D5326" s="2" t="str">
        <f t="shared" si="82"/>
        <v>Error?</v>
      </c>
    </row>
    <row r="5327" spans="1:4" x14ac:dyDescent="0.2">
      <c r="A5327" s="5">
        <v>5266</v>
      </c>
      <c r="B5327" s="137">
        <f>'Revenues 9-14'!C275</f>
        <v>1761459</v>
      </c>
      <c r="C5327" s="2" t="s">
        <v>594</v>
      </c>
      <c r="D5327" s="2" t="str">
        <f t="shared" si="82"/>
        <v>Error?</v>
      </c>
    </row>
    <row r="5328" spans="1:4"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0</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0</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594</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0</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0</v>
      </c>
      <c r="D5617" s="2" t="str">
        <f t="shared" si="86"/>
        <v>Error?</v>
      </c>
    </row>
    <row r="5618" spans="1:4" x14ac:dyDescent="0.2">
      <c r="A5618" s="5">
        <v>5557</v>
      </c>
      <c r="B5618" s="137">
        <f>'Revenues 9-14'!F154</f>
        <v>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0</v>
      </c>
      <c r="C5720" s="2" t="s">
        <v>594</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594</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0</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0</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66193</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198481</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0</v>
      </c>
      <c r="D6267" s="2" t="str">
        <f t="shared" si="96"/>
        <v>Error?</v>
      </c>
      <c r="E6267" s="2" t="s">
        <v>199</v>
      </c>
    </row>
    <row r="6268" spans="1:5" x14ac:dyDescent="0.2">
      <c r="A6268">
        <v>6207</v>
      </c>
      <c r="B6268" s="137">
        <f>'Acct Summary 7-8'!D82</f>
        <v>0</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0</v>
      </c>
      <c r="D6270" s="2" t="str">
        <f t="shared" si="96"/>
        <v>Error?</v>
      </c>
      <c r="E6270" s="2" t="s">
        <v>199</v>
      </c>
    </row>
    <row r="6271" spans="1:5" x14ac:dyDescent="0.2">
      <c r="A6271">
        <v>6210</v>
      </c>
      <c r="B6271" s="137">
        <f>'Acct Summary 7-8'!G82</f>
        <v>0</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t="e">
        <f>'Acct Summary 7-8'!C83</f>
        <v>#DIV/0!</v>
      </c>
      <c r="D6276" s="2" t="e">
        <f t="shared" si="97"/>
        <v>#DIV/0!</v>
      </c>
      <c r="E6276" s="2" t="s">
        <v>199</v>
      </c>
    </row>
    <row r="6277" spans="1:5" x14ac:dyDescent="0.2">
      <c r="A6277">
        <v>6216</v>
      </c>
      <c r="B6277" s="137" t="e">
        <f>'Acct Summary 7-8'!D83</f>
        <v>#DIV/0!</v>
      </c>
      <c r="D6277" s="2" t="e">
        <f t="shared" si="97"/>
        <v>#DIV/0!</v>
      </c>
      <c r="E6277" s="2" t="s">
        <v>199</v>
      </c>
    </row>
    <row r="6278" spans="1:5" x14ac:dyDescent="0.2">
      <c r="A6278">
        <v>6217</v>
      </c>
      <c r="B6278" s="137" t="e">
        <f>'Acct Summary 7-8'!E83</f>
        <v>#DIV/0!</v>
      </c>
      <c r="D6278" s="2" t="e">
        <f t="shared" si="97"/>
        <v>#DIV/0!</v>
      </c>
      <c r="E6278" s="2" t="s">
        <v>199</v>
      </c>
    </row>
    <row r="6279" spans="1:5" x14ac:dyDescent="0.2">
      <c r="A6279">
        <v>6218</v>
      </c>
      <c r="B6279" s="137" t="e">
        <f>'Acct Summary 7-8'!F83</f>
        <v>#DIV/0!</v>
      </c>
      <c r="D6279" s="2" t="e">
        <f t="shared" si="97"/>
        <v>#DIV/0!</v>
      </c>
      <c r="E6279" s="2" t="s">
        <v>199</v>
      </c>
    </row>
    <row r="6280" spans="1:5" x14ac:dyDescent="0.2">
      <c r="A6280">
        <v>6219</v>
      </c>
      <c r="B6280" s="137" t="e">
        <f>'Acct Summary 7-8'!G83</f>
        <v>#DIV/0!</v>
      </c>
      <c r="D6280" s="2" t="e">
        <f t="shared" si="97"/>
        <v>#DIV/0!</v>
      </c>
      <c r="E6280" s="2" t="s">
        <v>199</v>
      </c>
    </row>
    <row r="6281" spans="1:5" x14ac:dyDescent="0.2">
      <c r="A6281">
        <v>6220</v>
      </c>
      <c r="B6281" s="137" t="e">
        <f>'Acct Summary 7-8'!H83</f>
        <v>#DIV/0!</v>
      </c>
      <c r="D6281" s="2" t="e">
        <f t="shared" si="97"/>
        <v>#DIV/0!</v>
      </c>
      <c r="E6281" s="2" t="s">
        <v>199</v>
      </c>
    </row>
    <row r="6282" spans="1:5" x14ac:dyDescent="0.2">
      <c r="A6282">
        <v>6221</v>
      </c>
      <c r="B6282" s="137" t="e">
        <f>'Acct Summary 7-8'!I83</f>
        <v>#DIV/0!</v>
      </c>
      <c r="D6282" s="2" t="e">
        <f t="shared" si="97"/>
        <v>#DIV/0!</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1483601</v>
      </c>
      <c r="D7002" s="2" t="str">
        <f t="shared" si="108"/>
        <v>Error?</v>
      </c>
    </row>
    <row r="7003" spans="1:4" x14ac:dyDescent="0.2">
      <c r="A7003">
        <v>6942</v>
      </c>
      <c r="B7003" s="137">
        <f>'Expenditures 15-22'!K96</f>
        <v>1483601</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1483601</v>
      </c>
      <c r="D7012" s="2" t="str">
        <f t="shared" si="108"/>
        <v>Error?</v>
      </c>
    </row>
    <row r="7013" spans="1:4" x14ac:dyDescent="0.2">
      <c r="A7013">
        <v>6952</v>
      </c>
      <c r="B7013" s="137">
        <f>'Expenditures 15-22'!K100</f>
        <v>1483601</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0</v>
      </c>
      <c r="D7797" s="2" t="str">
        <f t="shared" si="127"/>
        <v>Error?</v>
      </c>
      <c r="E7797" s="4" t="s">
        <v>2020</v>
      </c>
    </row>
    <row r="7798" spans="1:5" x14ac:dyDescent="0.2">
      <c r="A7798">
        <v>7737</v>
      </c>
      <c r="B7798" s="137">
        <f>'Contracts Paid in CY 29'!F141</f>
        <v>0</v>
      </c>
      <c r="D7798" s="2" t="str">
        <f t="shared" si="127"/>
        <v>Error?</v>
      </c>
      <c r="E7798" s="4" t="s">
        <v>2020</v>
      </c>
    </row>
    <row r="7799" spans="1:5" x14ac:dyDescent="0.2">
      <c r="A7799">
        <v>7738</v>
      </c>
      <c r="B7799" s="137">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4" zoomScale="110" zoomScaleNormal="110" workbookViewId="0">
      <selection activeCell="L29" sqref="L29"/>
    </sheetView>
  </sheetViews>
  <sheetFormatPr defaultColWidth="9.140625" defaultRowHeight="12.75" x14ac:dyDescent="0.2"/>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8" t="str">
        <f>COVER!A17</f>
        <v>Moraine Area Career System</v>
      </c>
      <c r="B7" s="2399"/>
      <c r="C7" s="2399"/>
      <c r="D7" s="2436"/>
      <c r="E7" s="2437">
        <f>COVER!A13</f>
        <v>7016218046</v>
      </c>
      <c r="F7" s="2438"/>
      <c r="G7" s="2405" t="str">
        <f>COVER!T23</f>
        <v>006-003346</v>
      </c>
      <c r="H7" s="2406"/>
      <c r="I7" s="2406"/>
      <c r="J7" s="2406"/>
      <c r="K7" s="2406"/>
      <c r="L7" s="2407"/>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08"/>
      <c r="B9" s="2409"/>
      <c r="C9" s="2409"/>
      <c r="D9" s="2409"/>
      <c r="E9" s="2409"/>
      <c r="F9" s="2410"/>
      <c r="G9" s="2411" t="str">
        <f>COVER!T13</f>
        <v>RSM US LLP</v>
      </c>
      <c r="H9" s="2412"/>
      <c r="I9" s="2412"/>
      <c r="J9" s="2412"/>
      <c r="K9" s="2412"/>
      <c r="L9" s="2413"/>
    </row>
    <row r="10" spans="1:29" ht="13.5" customHeight="1" x14ac:dyDescent="0.2">
      <c r="A10" s="2395" t="str">
        <f>COVER!A38</f>
        <v>Debbie Canna</v>
      </c>
      <c r="B10" s="2396"/>
      <c r="C10" s="2396"/>
      <c r="D10" s="2396"/>
      <c r="E10" s="2396"/>
      <c r="F10" s="2397"/>
      <c r="G10" s="2411" t="str">
        <f>COVER!T17</f>
        <v>One South Wacker Drive Suite 800</v>
      </c>
      <c r="H10" s="2424"/>
      <c r="I10" s="2424"/>
      <c r="J10" s="2424"/>
      <c r="K10" s="2424"/>
      <c r="L10" s="2425"/>
    </row>
    <row r="11" spans="1:29" ht="13.5" customHeight="1" x14ac:dyDescent="0.2">
      <c r="A11" s="1184" t="s">
        <v>1599</v>
      </c>
      <c r="B11" s="1185"/>
      <c r="C11" s="1186"/>
      <c r="D11" s="1191"/>
      <c r="E11" s="1186"/>
      <c r="F11" s="1190"/>
      <c r="G11" s="2411" t="str">
        <f>COVER!T19</f>
        <v>Chicago</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john.george@rsmus.com</v>
      </c>
      <c r="J13" s="2433"/>
      <c r="K13" s="2433"/>
      <c r="L13" s="2434"/>
    </row>
    <row r="14" spans="1:29" ht="13.5" customHeight="1" x14ac:dyDescent="0.2">
      <c r="A14" s="2411" t="str">
        <f>COVER!A19</f>
        <v>4625 West 107th Street</v>
      </c>
      <c r="B14" s="2424"/>
      <c r="C14" s="2424"/>
      <c r="D14" s="2424"/>
      <c r="E14" s="2424"/>
      <c r="F14" s="2425"/>
      <c r="G14" s="1195" t="s">
        <v>1247</v>
      </c>
      <c r="H14" s="1193"/>
      <c r="I14" s="1193"/>
      <c r="J14" s="1193"/>
      <c r="K14" s="1193"/>
      <c r="L14" s="1194"/>
    </row>
    <row r="15" spans="1:29" ht="13.5" customHeight="1" x14ac:dyDescent="0.2">
      <c r="A15" s="2411" t="str">
        <f>COVER!A21</f>
        <v>Oak Lawn</v>
      </c>
      <c r="B15" s="2424"/>
      <c r="C15" s="2424"/>
      <c r="D15" s="2424"/>
      <c r="E15" s="2424"/>
      <c r="F15" s="2425"/>
      <c r="G15" s="2421" t="str">
        <f>COVER!T15</f>
        <v>John George</v>
      </c>
      <c r="H15" s="2422"/>
      <c r="I15" s="2422"/>
      <c r="J15" s="2422"/>
      <c r="K15" s="2422"/>
      <c r="L15" s="2423"/>
    </row>
    <row r="16" spans="1:29" ht="12.2" customHeight="1" x14ac:dyDescent="0.2">
      <c r="A16" s="2401">
        <f>COVER!A25</f>
        <v>60453</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5" t="s">
        <v>1246</v>
      </c>
      <c r="H17" s="1193"/>
      <c r="I17" s="1193"/>
      <c r="J17" s="1193"/>
      <c r="K17" s="1197" t="s">
        <v>1245</v>
      </c>
      <c r="L17" s="1190"/>
      <c r="M17" s="1183"/>
    </row>
    <row r="18" spans="1:13" ht="12.2" customHeight="1" x14ac:dyDescent="0.2">
      <c r="A18" s="2395"/>
      <c r="B18" s="2396"/>
      <c r="C18" s="2396"/>
      <c r="D18" s="2396"/>
      <c r="E18" s="2396"/>
      <c r="F18" s="2397"/>
      <c r="G18" s="2398" t="str">
        <f>COVER!T21</f>
        <v>312-634-3400</v>
      </c>
      <c r="H18" s="2399"/>
      <c r="I18" s="2399"/>
      <c r="J18" s="2399"/>
      <c r="K18" s="2398">
        <f>COVER!X21</f>
        <v>0</v>
      </c>
      <c r="L18" s="240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3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1.1"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1.1"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4" zoomScale="125" zoomScaleNormal="125" workbookViewId="0">
      <selection activeCell="A46" sqref="A46"/>
    </sheetView>
  </sheetViews>
  <sheetFormatPr defaultColWidth="10.5703125" defaultRowHeight="11.25" x14ac:dyDescent="0.2"/>
  <cols>
    <col min="1" max="1" width="1.5703125" style="1217" customWidth="1"/>
    <col min="2" max="2" width="2.5703125" style="1221" customWidth="1"/>
    <col min="3" max="3" width="3.42578125" style="1231" customWidth="1"/>
    <col min="4" max="4" width="97.5703125" style="1221" customWidth="1"/>
    <col min="5" max="5" width="4.140625" style="1221" customWidth="1"/>
    <col min="6" max="16384" width="10.5703125" style="1221"/>
  </cols>
  <sheetData>
    <row r="1" spans="1:11" s="1214" customFormat="1" ht="12.75" x14ac:dyDescent="0.2">
      <c r="A1" s="2439" t="str">
        <f>'Single Audit Cover'!A7</f>
        <v>Moraine Area Career System</v>
      </c>
      <c r="B1" s="2435"/>
      <c r="C1" s="2435"/>
      <c r="D1" s="2435"/>
    </row>
    <row r="2" spans="1:11" s="1214" customFormat="1" ht="12.75" x14ac:dyDescent="0.2">
      <c r="A2" s="2440">
        <f>'Single Audit Cover'!E7</f>
        <v>7016218046</v>
      </c>
      <c r="B2" s="2441"/>
      <c r="C2" s="2441"/>
      <c r="D2" s="2441"/>
    </row>
    <row r="3" spans="1:11" s="1214" customFormat="1" ht="12.75" x14ac:dyDescent="0.2">
      <c r="A3" s="2439" t="s">
        <v>1593</v>
      </c>
      <c r="B3" s="2435"/>
      <c r="C3" s="2435"/>
      <c r="D3" s="2435"/>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5703125" defaultRowHeight="12.75" x14ac:dyDescent="0.2"/>
  <cols>
    <col min="1" max="1" width="31.85546875" style="316" customWidth="1"/>
    <col min="2" max="2" width="29.5703125" style="1257" customWidth="1"/>
    <col min="3" max="3" width="1.42578125" style="1257" customWidth="1"/>
    <col min="4" max="4" width="24.42578125" style="1258" customWidth="1"/>
    <col min="5" max="5" width="5" style="316" customWidth="1"/>
    <col min="6" max="16384" width="15.5703125" style="316"/>
  </cols>
  <sheetData>
    <row r="1" spans="1:5" x14ac:dyDescent="0.2">
      <c r="A1" s="2443" t="str">
        <f>'Single Audit Cover'!A7</f>
        <v>Moraine Area Career System</v>
      </c>
      <c r="B1" s="2443"/>
      <c r="C1" s="2443"/>
      <c r="D1" s="2443"/>
      <c r="E1" s="2443"/>
    </row>
    <row r="2" spans="1:5" x14ac:dyDescent="0.2">
      <c r="A2" s="2444">
        <f>'Single Audit Cover'!E7</f>
        <v>7016218046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9" t="s">
        <v>1305</v>
      </c>
    </row>
    <row r="10" spans="1:5" x14ac:dyDescent="0.2">
      <c r="A10" s="1260" t="s">
        <v>1304</v>
      </c>
      <c r="B10" s="1261" t="s">
        <v>1303</v>
      </c>
      <c r="C10" s="1261"/>
      <c r="D10" s="1262">
        <f>SUM('Acct Summary 7-8'!C7:K7)</f>
        <v>702238</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702238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5"/>
      <c r="B24" s="2445"/>
      <c r="D24" s="1267"/>
    </row>
    <row r="25" spans="1:4" x14ac:dyDescent="0.2">
      <c r="A25" s="2442"/>
      <c r="B25" s="2442"/>
      <c r="D25" s="1267"/>
    </row>
    <row r="26" spans="1:4" x14ac:dyDescent="0.2">
      <c r="A26" s="2442"/>
      <c r="B26" s="2442"/>
      <c r="D26" s="1267"/>
    </row>
    <row r="27" spans="1:4" x14ac:dyDescent="0.2">
      <c r="A27" s="2442"/>
      <c r="B27" s="2442"/>
      <c r="D27" s="1267"/>
    </row>
    <row r="28" spans="1:4" x14ac:dyDescent="0.2">
      <c r="A28" s="2442"/>
      <c r="B28" s="2442"/>
      <c r="D28" s="1267"/>
    </row>
    <row r="29" spans="1:4" x14ac:dyDescent="0.2">
      <c r="A29" s="2442"/>
      <c r="B29" s="2442"/>
      <c r="D29" s="1267"/>
    </row>
    <row r="30" spans="1:4" x14ac:dyDescent="0.2">
      <c r="A30" s="2442"/>
      <c r="B30" s="2442"/>
      <c r="D30" s="1267"/>
    </row>
    <row r="32" spans="1:4" x14ac:dyDescent="0.2">
      <c r="A32" s="1259" t="s">
        <v>1295</v>
      </c>
      <c r="D32" s="1262">
        <f>SUM(D19:D30)</f>
        <v>702238</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2"/>
      <c r="B40" s="2442"/>
      <c r="D40" s="1267"/>
    </row>
    <row r="41" spans="1:4" x14ac:dyDescent="0.2">
      <c r="A41" s="2442"/>
      <c r="B41" s="2442"/>
      <c r="D41" s="1270"/>
    </row>
    <row r="42" spans="1:4" x14ac:dyDescent="0.2">
      <c r="A42" s="2442"/>
      <c r="B42" s="2442"/>
      <c r="D42" s="1270"/>
    </row>
    <row r="43" spans="1:4" x14ac:dyDescent="0.2">
      <c r="A43" s="2442"/>
      <c r="B43" s="2442"/>
      <c r="D43" s="1270"/>
    </row>
    <row r="44" spans="1:4" x14ac:dyDescent="0.2">
      <c r="A44" s="2442"/>
      <c r="B44" s="2442"/>
      <c r="D44" s="1270"/>
    </row>
    <row r="45" spans="1:4" x14ac:dyDescent="0.2">
      <c r="A45" s="2442"/>
      <c r="B45" s="2442"/>
      <c r="D45" s="1270"/>
    </row>
    <row r="47" spans="1:4" x14ac:dyDescent="0.2">
      <c r="B47" s="1271" t="s">
        <v>1289</v>
      </c>
      <c r="C47" s="1271"/>
      <c r="D47" s="1272">
        <f>SUM(D35:D45)</f>
        <v>0</v>
      </c>
    </row>
    <row r="49" spans="2:4" x14ac:dyDescent="0.2">
      <c r="B49" s="1271" t="s">
        <v>1288</v>
      </c>
      <c r="C49" s="1271"/>
      <c r="D49" s="1272">
        <f>D32-D47</f>
        <v>702238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 zoomScale="120" zoomScaleNormal="120" workbookViewId="0">
      <selection activeCell="B18" sqref="B18"/>
    </sheetView>
  </sheetViews>
  <sheetFormatPr defaultColWidth="8" defaultRowHeight="12.75" x14ac:dyDescent="0.2"/>
  <cols>
    <col min="1" max="1" width="1.42578125" style="316" customWidth="1"/>
    <col min="2" max="2" width="53.42578125" style="316" customWidth="1"/>
    <col min="3" max="3" width="14" style="1257" customWidth="1"/>
    <col min="4" max="4" width="16.5703125" style="1257" customWidth="1"/>
    <col min="5" max="5" width="7.5703125" style="316" customWidth="1"/>
    <col min="6" max="6" width="2.5703125" style="316" customWidth="1"/>
    <col min="7" max="7" width="3.42578125" style="316" customWidth="1"/>
    <col min="8" max="16384" width="8" style="316"/>
  </cols>
  <sheetData>
    <row r="1" spans="1:7" ht="13.5" customHeight="1" x14ac:dyDescent="0.2">
      <c r="A1" s="2448" t="str">
        <f>'Single Audit Cover'!A7</f>
        <v>Moraine Area Career System</v>
      </c>
      <c r="B1" s="2448"/>
      <c r="C1" s="2448"/>
      <c r="D1" s="2448"/>
      <c r="E1" s="2448"/>
      <c r="F1" s="2448"/>
    </row>
    <row r="2" spans="1:7" ht="13.5" customHeight="1" x14ac:dyDescent="0.2">
      <c r="A2" s="2449">
        <f>'Single Audit Cover'!E7</f>
        <v>7016218046</v>
      </c>
      <c r="B2" s="2449"/>
      <c r="C2" s="2449"/>
      <c r="D2" s="2449"/>
      <c r="E2" s="2449"/>
      <c r="F2" s="2449"/>
      <c r="G2" s="1274"/>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6"/>
      <c r="D5" s="316"/>
    </row>
    <row r="6" spans="1:7" ht="13.5" customHeight="1" x14ac:dyDescent="0.2">
      <c r="A6" s="1275" t="s">
        <v>1831</v>
      </c>
      <c r="C6" s="316"/>
      <c r="D6" s="316"/>
    </row>
    <row r="7" spans="1:7" ht="60.95" customHeight="1" x14ac:dyDescent="0.2">
      <c r="A7" s="2447" t="s">
        <v>1832</v>
      </c>
      <c r="B7" s="2447"/>
      <c r="C7" s="2447"/>
      <c r="D7" s="2447"/>
      <c r="E7" s="2447"/>
      <c r="F7" s="2447"/>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47" t="s">
        <v>1834</v>
      </c>
      <c r="B13" s="2447"/>
      <c r="C13" s="2447"/>
      <c r="D13" s="2447"/>
      <c r="E13" s="2447"/>
      <c r="F13" s="2447"/>
    </row>
    <row r="14" spans="1:7" ht="9.75" customHeight="1" x14ac:dyDescent="0.2">
      <c r="C14" s="1259"/>
      <c r="D14" s="1259"/>
    </row>
    <row r="15" spans="1:7" ht="13.5" customHeight="1" x14ac:dyDescent="0.2">
      <c r="C15" s="1870" t="s">
        <v>1332</v>
      </c>
      <c r="D15" s="2453" t="s">
        <v>1331</v>
      </c>
      <c r="E15" s="2453"/>
      <c r="F15" s="2453"/>
    </row>
    <row r="16" spans="1:7" ht="13.5" customHeight="1" x14ac:dyDescent="0.2">
      <c r="A16" s="1281"/>
      <c r="B16" s="1275" t="s">
        <v>1330</v>
      </c>
      <c r="C16" s="1870" t="s">
        <v>1329</v>
      </c>
      <c r="D16" s="2454" t="s">
        <v>1670</v>
      </c>
      <c r="E16" s="2454"/>
      <c r="F16" s="2454"/>
    </row>
    <row r="17" spans="1:6" ht="20.45" customHeight="1" x14ac:dyDescent="0.2">
      <c r="A17" s="1282"/>
      <c r="B17" s="1283" t="s">
        <v>2104</v>
      </c>
      <c r="C17" s="1284"/>
      <c r="D17" s="2452"/>
      <c r="E17" s="2452"/>
      <c r="F17" s="2452"/>
    </row>
    <row r="18" spans="1:6" ht="20.85" customHeight="1" x14ac:dyDescent="0.2">
      <c r="A18" s="1282"/>
      <c r="B18" s="1283"/>
      <c r="C18" s="1284"/>
      <c r="D18" s="2452"/>
      <c r="E18" s="2452"/>
      <c r="F18" s="2452"/>
    </row>
    <row r="19" spans="1:6" ht="20.85" customHeight="1" x14ac:dyDescent="0.2">
      <c r="A19" s="1282"/>
      <c r="B19" s="1283"/>
      <c r="C19" s="1284"/>
      <c r="D19" s="2452"/>
      <c r="E19" s="2452"/>
      <c r="F19" s="2452"/>
    </row>
    <row r="20" spans="1:6" ht="20.85" customHeight="1" x14ac:dyDescent="0.2">
      <c r="A20" s="1282"/>
      <c r="B20" s="1283"/>
      <c r="C20" s="1284"/>
      <c r="D20" s="2452"/>
      <c r="E20" s="2452"/>
      <c r="F20" s="2452"/>
    </row>
    <row r="21" spans="1:6" ht="20.85" customHeight="1" x14ac:dyDescent="0.2">
      <c r="A21" s="1282"/>
      <c r="B21" s="1283"/>
      <c r="C21" s="1284"/>
      <c r="D21" s="2452"/>
      <c r="E21" s="2452"/>
      <c r="F21" s="2452"/>
    </row>
    <row r="22" spans="1:6" ht="20.85" customHeight="1" x14ac:dyDescent="0.2">
      <c r="A22" s="1282"/>
      <c r="B22" s="1283"/>
      <c r="C22" s="1284"/>
      <c r="D22" s="2452"/>
      <c r="E22" s="2452"/>
      <c r="F22" s="2452"/>
    </row>
    <row r="23" spans="1:6" ht="20.85" customHeight="1" x14ac:dyDescent="0.2">
      <c r="A23" s="1282"/>
      <c r="B23" s="1283"/>
      <c r="C23" s="1284"/>
      <c r="D23" s="2452"/>
      <c r="E23" s="2452"/>
      <c r="F23" s="2452"/>
    </row>
    <row r="24" spans="1:6" ht="20.85" customHeight="1" x14ac:dyDescent="0.2">
      <c r="A24" s="1282"/>
      <c r="B24" s="1283"/>
      <c r="C24" s="1284"/>
      <c r="D24" s="2452"/>
      <c r="E24" s="2452"/>
      <c r="F24" s="2452"/>
    </row>
    <row r="25" spans="1:6" ht="20.85" customHeight="1" x14ac:dyDescent="0.2">
      <c r="A25" s="1282"/>
      <c r="B25" s="1283"/>
      <c r="C25" s="1284"/>
      <c r="D25" s="2452"/>
      <c r="E25" s="2452"/>
      <c r="F25" s="2452"/>
    </row>
    <row r="26" spans="1:6" ht="20.85" customHeight="1" x14ac:dyDescent="0.2">
      <c r="A26" s="1282"/>
      <c r="B26" s="1283"/>
      <c r="C26" s="1284"/>
      <c r="D26" s="2452"/>
      <c r="E26" s="2452"/>
      <c r="F26" s="2452"/>
    </row>
    <row r="27" spans="1:6" ht="20.85" customHeight="1" x14ac:dyDescent="0.2">
      <c r="A27" s="1282"/>
      <c r="B27" s="1283"/>
      <c r="C27" s="1284"/>
      <c r="D27" s="2452"/>
      <c r="E27" s="2452"/>
      <c r="F27" s="2452"/>
    </row>
    <row r="28" spans="1:6" ht="20.85" customHeight="1" x14ac:dyDescent="0.2">
      <c r="A28" s="1282"/>
      <c r="B28" s="1283"/>
      <c r="C28" s="1284"/>
      <c r="D28" s="2452"/>
      <c r="E28" s="2452"/>
      <c r="F28" s="2452"/>
    </row>
    <row r="29" spans="1:6" ht="20.85" customHeight="1" x14ac:dyDescent="0.2">
      <c r="A29" s="1282"/>
      <c r="B29" s="1283"/>
      <c r="C29" s="1284"/>
      <c r="D29" s="2452"/>
      <c r="E29" s="2452"/>
      <c r="F29" s="2452"/>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56" t="s">
        <v>1835</v>
      </c>
      <c r="B32" s="2456"/>
      <c r="C32" s="2456"/>
      <c r="D32" s="2456"/>
      <c r="E32" s="2456"/>
      <c r="F32" s="2456"/>
    </row>
    <row r="33" spans="1:6" ht="13.5" customHeight="1" x14ac:dyDescent="0.2">
      <c r="A33" s="327" t="s">
        <v>1509</v>
      </c>
      <c r="B33" s="327"/>
      <c r="C33" s="1287">
        <v>0</v>
      </c>
      <c r="D33" s="1927"/>
      <c r="E33" s="1285"/>
    </row>
    <row r="34" spans="1:6" ht="13.5" customHeight="1" x14ac:dyDescent="0.2">
      <c r="A34" s="327" t="s">
        <v>1949</v>
      </c>
      <c r="B34" s="327"/>
      <c r="C34" s="1288">
        <v>0</v>
      </c>
      <c r="D34" s="1927" t="s">
        <v>1671</v>
      </c>
      <c r="E34" s="2457">
        <f>+C33+C34</f>
        <v>0</v>
      </c>
      <c r="F34" s="2458"/>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9" t="s">
        <v>1672</v>
      </c>
      <c r="C49" s="2459"/>
      <c r="D49" s="2459"/>
      <c r="E49" s="1398"/>
    </row>
    <row r="50" spans="1:5" s="1299" customFormat="1" ht="3.75" customHeight="1" x14ac:dyDescent="0.2">
      <c r="A50" s="1298"/>
      <c r="B50" s="1869"/>
      <c r="C50" s="1869"/>
      <c r="D50" s="1869"/>
      <c r="E50" s="1398"/>
    </row>
    <row r="51" spans="1:5" s="1299" customFormat="1" ht="20.25" customHeight="1" x14ac:dyDescent="0.2">
      <c r="A51" s="1300">
        <v>6</v>
      </c>
      <c r="B51" s="2455" t="s">
        <v>1632</v>
      </c>
      <c r="C51" s="2455"/>
      <c r="D51" s="2455"/>
    </row>
    <row r="52" spans="1:5" ht="14.25" customHeight="1" x14ac:dyDescent="0.2">
      <c r="A52" s="1300"/>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6" customWidth="1"/>
    <col min="2" max="2" width="32.85546875" style="316" customWidth="1"/>
    <col min="3" max="3" width="8.5703125" style="1356" customWidth="1"/>
    <col min="4" max="4" width="12.5703125" style="1357" customWidth="1"/>
    <col min="5" max="6" width="11.5703125" style="316" customWidth="1"/>
    <col min="7" max="7" width="11.5703125" style="1257" customWidth="1"/>
    <col min="8" max="8" width="13.5703125" style="1257" bestFit="1" customWidth="1"/>
    <col min="9" max="9" width="11.5703125" style="1257" customWidth="1"/>
    <col min="10" max="10" width="13.5703125" style="1257" customWidth="1"/>
    <col min="11" max="12" width="11.5703125" style="1257" customWidth="1"/>
    <col min="13" max="13" width="11.5703125" style="316" customWidth="1"/>
    <col min="14" max="14" width="2.5703125" style="316" customWidth="1"/>
    <col min="15" max="16384" width="33.5703125" style="316"/>
  </cols>
  <sheetData>
    <row r="1" spans="2:14" ht="11.85" customHeight="1" x14ac:dyDescent="0.2">
      <c r="B1" s="2404" t="str">
        <f>'Single Audit Cover'!A7</f>
        <v>Moraine Area Career System</v>
      </c>
      <c r="C1" s="2460"/>
      <c r="D1" s="2460"/>
      <c r="E1" s="2460"/>
      <c r="F1" s="2460"/>
      <c r="G1" s="2460"/>
      <c r="H1" s="2460"/>
      <c r="I1" s="2460"/>
      <c r="J1" s="2460"/>
      <c r="K1" s="2460"/>
      <c r="L1" s="2460"/>
      <c r="M1" s="2460"/>
    </row>
    <row r="2" spans="2:14" ht="15" x14ac:dyDescent="0.2">
      <c r="B2" s="2449">
        <f>'Single Audit Cover'!E7</f>
        <v>7016218046</v>
      </c>
      <c r="C2" s="2449"/>
      <c r="D2" s="2449"/>
      <c r="E2" s="2449"/>
      <c r="F2" s="2449"/>
      <c r="G2" s="2449"/>
      <c r="H2" s="2449"/>
      <c r="I2" s="2449"/>
      <c r="J2" s="2449"/>
      <c r="K2" s="2449"/>
      <c r="L2" s="2449"/>
      <c r="M2" s="2449"/>
      <c r="N2" s="1301"/>
    </row>
    <row r="3" spans="2:14" ht="15" x14ac:dyDescent="0.2">
      <c r="B3" s="2461" t="s">
        <v>1281</v>
      </c>
      <c r="C3" s="2461"/>
      <c r="D3" s="2461"/>
      <c r="E3" s="2461"/>
      <c r="F3" s="2461"/>
      <c r="G3" s="2461"/>
      <c r="H3" s="2461"/>
      <c r="I3" s="2461"/>
      <c r="J3" s="2461"/>
      <c r="K3" s="2461"/>
      <c r="L3" s="2461"/>
      <c r="M3" s="2461"/>
      <c r="N3" s="1301"/>
    </row>
    <row r="4" spans="2:14" ht="15" x14ac:dyDescent="0.2">
      <c r="B4" s="2462" t="str">
        <f>'Single Audit Cover'!A4</f>
        <v>Year Ending June 30, 2018</v>
      </c>
      <c r="C4" s="2462"/>
      <c r="D4" s="2462"/>
      <c r="E4" s="2462"/>
      <c r="F4" s="2462"/>
      <c r="G4" s="2462"/>
      <c r="H4" s="2462"/>
      <c r="I4" s="2462"/>
      <c r="J4" s="2462"/>
      <c r="K4" s="2462"/>
      <c r="L4" s="2462"/>
      <c r="M4" s="246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2104</v>
      </c>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12" sqref="A12"/>
    </sheetView>
  </sheetViews>
  <sheetFormatPr defaultColWidth="9.140625" defaultRowHeight="12.75" x14ac:dyDescent="0.2"/>
  <cols>
    <col min="1" max="1" width="1.42578125" style="1299" customWidth="1"/>
    <col min="2" max="2" width="24.42578125" style="1356" customWidth="1"/>
    <col min="3" max="3" width="29.5703125" style="316" customWidth="1"/>
    <col min="4" max="4" width="9.42578125" style="316" customWidth="1"/>
    <col min="5" max="5" width="5.42578125" style="1257"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7" t="str">
        <f>'Single Audit Cover'!A7</f>
        <v>Moraine Area Career System</v>
      </c>
      <c r="C1" s="2468"/>
      <c r="D1" s="2468"/>
      <c r="E1" s="2468"/>
      <c r="F1" s="2468"/>
      <c r="G1" s="2468"/>
      <c r="H1" s="2468"/>
      <c r="I1" s="2468"/>
      <c r="J1" s="1421"/>
    </row>
    <row r="2" spans="2:10" s="316" customFormat="1" ht="12.75" customHeight="1" x14ac:dyDescent="0.2">
      <c r="B2" s="2469">
        <f>'Single Audit Cover'!E7</f>
        <v>7016218046</v>
      </c>
      <c r="C2" s="2470"/>
      <c r="D2" s="2470"/>
      <c r="E2" s="2470"/>
      <c r="F2" s="2470"/>
      <c r="G2" s="2470"/>
      <c r="H2" s="2470"/>
      <c r="I2" s="2470"/>
      <c r="J2" s="1421"/>
    </row>
    <row r="3" spans="2:10" s="316" customFormat="1" ht="12.75" customHeight="1" x14ac:dyDescent="0.2">
      <c r="B3" s="2471" t="s">
        <v>1347</v>
      </c>
      <c r="C3" s="2472"/>
      <c r="D3" s="2472"/>
      <c r="E3" s="2472"/>
      <c r="F3" s="2472"/>
      <c r="G3" s="2472"/>
      <c r="H3" s="2472"/>
      <c r="I3" s="2472"/>
      <c r="J3" s="1422"/>
    </row>
    <row r="4" spans="2:10" s="316" customFormat="1" ht="12.75" customHeight="1" x14ac:dyDescent="0.2">
      <c r="B4" s="2471" t="str">
        <f>'Single Audit Cover'!A4</f>
        <v>Year Ending June 30, 2018</v>
      </c>
      <c r="C4" s="2472"/>
      <c r="D4" s="2472"/>
      <c r="E4" s="2472"/>
      <c r="F4" s="2472"/>
      <c r="G4" s="2472"/>
      <c r="H4" s="2472"/>
      <c r="I4" s="2472"/>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71" t="s">
        <v>1346</v>
      </c>
      <c r="C7" s="2472"/>
      <c r="D7" s="2472"/>
      <c r="E7" s="2472"/>
      <c r="F7" s="2472"/>
      <c r="G7" s="2472"/>
      <c r="H7" s="2472"/>
      <c r="I7" s="2472"/>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73"/>
      <c r="D11" s="2473"/>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74"/>
      <c r="E29" s="2474"/>
      <c r="F29" s="2474"/>
      <c r="G29" s="2474"/>
      <c r="H29" s="2474"/>
      <c r="I29" s="2474"/>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5" t="s">
        <v>1854</v>
      </c>
      <c r="D37" s="2476"/>
      <c r="E37" s="2476"/>
      <c r="F37" s="2477"/>
      <c r="G37" s="2475" t="s">
        <v>1674</v>
      </c>
      <c r="H37" s="2476"/>
      <c r="I37" s="2477"/>
    </row>
    <row r="38" spans="2:9" ht="16.5" customHeight="1" x14ac:dyDescent="0.2">
      <c r="B38" s="1443"/>
      <c r="C38" s="2463"/>
      <c r="D38" s="2464"/>
      <c r="E38" s="2464"/>
      <c r="F38" s="2465"/>
      <c r="G38" s="2478"/>
      <c r="H38" s="2479"/>
      <c r="I38" s="2480"/>
    </row>
    <row r="39" spans="2:9" ht="16.5" customHeight="1" x14ac:dyDescent="0.2">
      <c r="B39" s="1443"/>
      <c r="C39" s="2463"/>
      <c r="D39" s="2464"/>
      <c r="E39" s="2464"/>
      <c r="F39" s="2465"/>
      <c r="G39" s="2466"/>
      <c r="H39" s="2466"/>
      <c r="I39" s="2466"/>
    </row>
    <row r="40" spans="2:9" ht="16.5" customHeight="1" x14ac:dyDescent="0.2">
      <c r="B40" s="1443"/>
      <c r="C40" s="2463"/>
      <c r="D40" s="2464"/>
      <c r="E40" s="2464"/>
      <c r="F40" s="2465"/>
      <c r="G40" s="2466"/>
      <c r="H40" s="2466"/>
      <c r="I40" s="2466"/>
    </row>
    <row r="41" spans="2:9" ht="16.5" customHeight="1" x14ac:dyDescent="0.2">
      <c r="B41" s="1443"/>
      <c r="C41" s="2463"/>
      <c r="D41" s="2464"/>
      <c r="E41" s="2464"/>
      <c r="F41" s="2465"/>
      <c r="G41" s="2466"/>
      <c r="H41" s="2466"/>
      <c r="I41" s="2466"/>
    </row>
    <row r="42" spans="2:9" ht="16.5" customHeight="1" x14ac:dyDescent="0.2">
      <c r="B42" s="1443"/>
      <c r="C42" s="2463"/>
      <c r="D42" s="2464"/>
      <c r="E42" s="2464"/>
      <c r="F42" s="2465"/>
      <c r="G42" s="2466"/>
      <c r="H42" s="2466"/>
      <c r="I42" s="2466"/>
    </row>
    <row r="43" spans="2:9" ht="16.5" customHeight="1" x14ac:dyDescent="0.2">
      <c r="B43" s="1443"/>
      <c r="C43" s="2481" t="s">
        <v>1675</v>
      </c>
      <c r="D43" s="2482"/>
      <c r="E43" s="2482"/>
      <c r="F43" s="2483"/>
      <c r="G43" s="2484">
        <f>SUM(G38:I42)</f>
        <v>0</v>
      </c>
      <c r="H43" s="2484"/>
      <c r="I43" s="2484"/>
    </row>
    <row r="44" spans="2:9" ht="12.75" customHeight="1" x14ac:dyDescent="0.2"/>
    <row r="45" spans="2:9" ht="12.75" customHeight="1" x14ac:dyDescent="0.2">
      <c r="B45" s="1434" t="s">
        <v>1952</v>
      </c>
      <c r="D45" s="2485">
        <v>0</v>
      </c>
      <c r="E45" s="2486"/>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7"/>
      <c r="F49" s="2487"/>
      <c r="G49" s="2487"/>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7" t="str">
        <f>'Single Audit Cover'!A7</f>
        <v>Moraine Area Career System</v>
      </c>
      <c r="C1" s="2467"/>
      <c r="D1" s="2467"/>
      <c r="E1" s="2467"/>
      <c r="F1" s="2467"/>
      <c r="G1" s="2467"/>
      <c r="H1" s="2467"/>
      <c r="I1" s="2467"/>
      <c r="J1" s="2467"/>
      <c r="K1" s="2467"/>
      <c r="L1" s="1373"/>
      <c r="M1" s="1373"/>
    </row>
    <row r="2" spans="1:13" ht="12" customHeight="1" x14ac:dyDescent="0.2">
      <c r="B2" s="2469">
        <f>'Single Audit Cover'!E7</f>
        <v>7016218046</v>
      </c>
      <c r="C2" s="2469"/>
      <c r="D2" s="2469"/>
      <c r="E2" s="2469"/>
      <c r="F2" s="2469"/>
      <c r="G2" s="2469"/>
      <c r="H2" s="2469"/>
      <c r="I2" s="2469"/>
      <c r="J2" s="2469"/>
      <c r="K2" s="2469"/>
      <c r="L2" s="1374"/>
      <c r="M2" s="1375"/>
    </row>
    <row r="3" spans="1:13" ht="10.35" customHeight="1" x14ac:dyDescent="0.2">
      <c r="B3" s="2490" t="s">
        <v>1347</v>
      </c>
      <c r="C3" s="2490"/>
      <c r="D3" s="2490"/>
      <c r="E3" s="2490"/>
      <c r="F3" s="2490"/>
      <c r="G3" s="2490"/>
      <c r="H3" s="2490"/>
      <c r="I3" s="2490"/>
      <c r="J3" s="2490"/>
      <c r="K3" s="2490"/>
      <c r="L3" s="1376"/>
      <c r="M3" s="1376"/>
    </row>
    <row r="4" spans="1:13" ht="14.25" customHeight="1" x14ac:dyDescent="0.2">
      <c r="B4" s="2491" t="str">
        <f>'Single Audit Cover'!A4</f>
        <v>Year Ending June 30, 2018</v>
      </c>
      <c r="C4" s="2491"/>
      <c r="D4" s="2491"/>
      <c r="E4" s="2491"/>
      <c r="F4" s="2491"/>
      <c r="G4" s="2491"/>
      <c r="H4" s="2491"/>
      <c r="I4" s="2491"/>
      <c r="J4" s="2491"/>
      <c r="K4" s="2491"/>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t="s">
        <v>2104</v>
      </c>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3"/>
      <c r="C20" s="2493"/>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8"/>
      <c r="C29" s="2488"/>
      <c r="D29" s="2489"/>
      <c r="E29" s="2489"/>
      <c r="F29" s="2489"/>
      <c r="G29" s="2489"/>
      <c r="H29" s="2489"/>
      <c r="I29" s="2489"/>
      <c r="J29" s="2489"/>
      <c r="K29" s="2489"/>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88"/>
      <c r="C32" s="2488"/>
      <c r="D32" s="2489"/>
      <c r="E32" s="2489"/>
      <c r="F32" s="2489"/>
      <c r="G32" s="2489"/>
      <c r="H32" s="2489"/>
      <c r="I32" s="2489"/>
      <c r="J32" s="2489"/>
      <c r="K32" s="2489"/>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C21" sqref="C21"/>
    </sheetView>
  </sheetViews>
  <sheetFormatPr defaultColWidth="9.140625" defaultRowHeight="12.75" x14ac:dyDescent="0.2"/>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4" t="str">
        <f>'Single Audit Cover'!A7</f>
        <v>Moraine Area Career System</v>
      </c>
      <c r="C1" s="2494"/>
      <c r="D1" s="2494"/>
      <c r="E1" s="2494"/>
      <c r="F1" s="2494"/>
      <c r="G1" s="2494"/>
      <c r="H1" s="2494"/>
      <c r="I1" s="2494"/>
      <c r="J1" s="2494"/>
      <c r="K1" s="2494"/>
      <c r="L1" s="1464"/>
    </row>
    <row r="2" spans="1:12" ht="12.75" customHeight="1" x14ac:dyDescent="0.2">
      <c r="B2" s="2495">
        <f>'Single Audit Cover'!E7</f>
        <v>7016218046</v>
      </c>
      <c r="C2" s="2495"/>
      <c r="D2" s="2495"/>
      <c r="E2" s="2495"/>
      <c r="F2" s="2495"/>
      <c r="G2" s="2495"/>
      <c r="H2" s="2495"/>
      <c r="I2" s="2495"/>
      <c r="J2" s="2495"/>
      <c r="K2" s="2495"/>
      <c r="L2" s="1465"/>
    </row>
    <row r="3" spans="1:12" ht="12.75" customHeight="1" x14ac:dyDescent="0.2">
      <c r="B3" s="2490" t="s">
        <v>1347</v>
      </c>
      <c r="C3" s="2490"/>
      <c r="D3" s="2490"/>
      <c r="E3" s="2490"/>
      <c r="F3" s="2490"/>
      <c r="G3" s="2490"/>
      <c r="H3" s="2490"/>
      <c r="I3" s="2490"/>
      <c r="J3" s="2490"/>
      <c r="K3" s="2490"/>
      <c r="L3" s="1376"/>
    </row>
    <row r="4" spans="1:12" ht="12.75" customHeight="1" x14ac:dyDescent="0.2">
      <c r="B4" s="2490" t="str">
        <f>'Single Audit Cover'!A4</f>
        <v>Year Ending June 30, 2018</v>
      </c>
      <c r="C4" s="2490"/>
      <c r="D4" s="2490"/>
      <c r="E4" s="2490"/>
      <c r="F4" s="2490"/>
      <c r="G4" s="2490"/>
      <c r="H4" s="2490"/>
      <c r="I4" s="2490"/>
      <c r="J4" s="2490"/>
      <c r="K4" s="2490"/>
      <c r="L4" s="1376"/>
    </row>
    <row r="5" spans="1:12" ht="5.25" customHeight="1" x14ac:dyDescent="0.2">
      <c r="B5" s="1259" t="s">
        <v>1231</v>
      </c>
      <c r="C5" s="1259"/>
      <c r="L5" s="321"/>
    </row>
    <row r="6" spans="1:12" ht="30.75" customHeight="1" x14ac:dyDescent="0.2">
      <c r="A6" s="321"/>
      <c r="B6" s="2496" t="s">
        <v>1375</v>
      </c>
      <c r="C6" s="2496"/>
      <c r="D6" s="2496"/>
      <c r="E6" s="2496"/>
      <c r="F6" s="2496"/>
      <c r="G6" s="2496"/>
      <c r="H6" s="2496"/>
      <c r="I6" s="2496"/>
      <c r="J6" s="2496"/>
      <c r="K6" s="2496"/>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74"/>
      <c r="G12" s="2474"/>
      <c r="H12" s="2474"/>
      <c r="I12" s="2474"/>
      <c r="J12" s="2474"/>
      <c r="K12" s="2474"/>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7"/>
      <c r="E14" s="2497"/>
      <c r="F14" s="2497"/>
      <c r="H14" s="1474" t="s">
        <v>1370</v>
      </c>
      <c r="I14" s="2498"/>
      <c r="J14" s="2498"/>
      <c r="K14" s="2498"/>
      <c r="L14" s="321"/>
    </row>
    <row r="15" spans="1:12" ht="9.6" customHeight="1" x14ac:dyDescent="0.2">
      <c r="B15" s="1386"/>
      <c r="C15" s="1386"/>
      <c r="D15" s="1372"/>
      <c r="E15" s="1259"/>
      <c r="F15" s="1259"/>
      <c r="G15" s="1285"/>
      <c r="H15" s="1259"/>
      <c r="I15" s="1475"/>
      <c r="J15" s="1293"/>
      <c r="K15" s="1290"/>
      <c r="L15" s="321"/>
    </row>
    <row r="16" spans="1:12" ht="13.5" customHeight="1" x14ac:dyDescent="0.2">
      <c r="B16" s="1386" t="s">
        <v>1369</v>
      </c>
      <c r="C16" s="1386"/>
      <c r="D16" s="2498"/>
      <c r="E16" s="2498"/>
      <c r="F16" s="2498"/>
      <c r="G16" s="2498"/>
      <c r="H16" s="2498"/>
      <c r="I16" s="2498"/>
      <c r="J16" s="2498"/>
      <c r="K16" s="2498"/>
      <c r="L16" s="321"/>
    </row>
    <row r="17" spans="2:12" ht="13.5" customHeight="1" x14ac:dyDescent="0.2">
      <c r="B17" s="1386" t="s">
        <v>1368</v>
      </c>
      <c r="C17" s="1386"/>
      <c r="D17" s="2499"/>
      <c r="E17" s="2499"/>
      <c r="F17" s="2499"/>
      <c r="G17" s="2499"/>
      <c r="H17" s="2499"/>
      <c r="I17" s="2499"/>
      <c r="J17" s="2499"/>
      <c r="K17" s="2499"/>
      <c r="L17" s="321"/>
    </row>
    <row r="18" spans="2:12" ht="9.6"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89" t="s">
        <v>2104</v>
      </c>
      <c r="C20" s="2489"/>
      <c r="D20" s="2489"/>
      <c r="E20" s="2489"/>
      <c r="F20" s="2489"/>
      <c r="G20" s="2489"/>
      <c r="H20" s="2489"/>
      <c r="I20" s="2489"/>
      <c r="J20" s="2489"/>
      <c r="K20" s="248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89"/>
      <c r="C23" s="2489"/>
      <c r="D23" s="2489"/>
      <c r="E23" s="2489"/>
      <c r="F23" s="2489"/>
      <c r="G23" s="2489"/>
      <c r="H23" s="2489"/>
      <c r="I23" s="2489"/>
      <c r="J23" s="2489"/>
      <c r="K23" s="2489"/>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89"/>
      <c r="C26" s="2489"/>
      <c r="D26" s="2489"/>
      <c r="E26" s="2489"/>
      <c r="F26" s="2489"/>
      <c r="G26" s="2489"/>
      <c r="H26" s="2489"/>
      <c r="I26" s="2489"/>
      <c r="J26" s="2489"/>
      <c r="K26" s="2489"/>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89"/>
      <c r="C29" s="2489"/>
      <c r="D29" s="2489"/>
      <c r="E29" s="2489"/>
      <c r="F29" s="2489"/>
      <c r="G29" s="2489"/>
      <c r="H29" s="2489"/>
      <c r="I29" s="2489"/>
      <c r="J29" s="2489"/>
      <c r="K29" s="2489"/>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89"/>
      <c r="C32" s="2489"/>
      <c r="D32" s="2489"/>
      <c r="E32" s="2489"/>
      <c r="F32" s="2489"/>
      <c r="G32" s="2489"/>
      <c r="H32" s="2489"/>
      <c r="I32" s="2489"/>
      <c r="J32" s="2489"/>
      <c r="K32" s="2489"/>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89"/>
      <c r="C35" s="2489"/>
      <c r="D35" s="2489"/>
      <c r="E35" s="2489"/>
      <c r="F35" s="2489"/>
      <c r="G35" s="2489"/>
      <c r="H35" s="2489"/>
      <c r="I35" s="2489"/>
      <c r="J35" s="2489"/>
      <c r="K35" s="2489"/>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89"/>
      <c r="C38" s="2489"/>
      <c r="D38" s="2489"/>
      <c r="E38" s="2489"/>
      <c r="F38" s="2489"/>
      <c r="G38" s="2489"/>
      <c r="H38" s="2489"/>
      <c r="I38" s="2489"/>
      <c r="J38" s="2489"/>
      <c r="K38" s="2489"/>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89"/>
      <c r="C41" s="2489"/>
      <c r="D41" s="2489"/>
      <c r="E41" s="2489"/>
      <c r="F41" s="2489"/>
      <c r="G41" s="2489"/>
      <c r="H41" s="2489"/>
      <c r="I41" s="2489"/>
      <c r="J41" s="2489"/>
      <c r="K41" s="2489"/>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81" customFormat="1" ht="12.75" customHeight="1" x14ac:dyDescent="0.2">
      <c r="B1" s="2467" t="str">
        <f>'Single Audit Cover'!A7</f>
        <v>Moraine Area Career System</v>
      </c>
      <c r="C1" s="2467"/>
      <c r="D1" s="2467"/>
      <c r="E1" s="1490"/>
    </row>
    <row r="2" spans="2:5" s="1281" customFormat="1" ht="12.75" customHeight="1" x14ac:dyDescent="0.2">
      <c r="B2" s="2469">
        <f>'Single Audit Cover'!E7</f>
        <v>7016218046</v>
      </c>
      <c r="C2" s="2469"/>
      <c r="D2" s="2469"/>
      <c r="E2" s="1491"/>
    </row>
    <row r="3" spans="2:5" ht="12.75" customHeight="1" x14ac:dyDescent="0.2">
      <c r="B3" s="2490" t="s">
        <v>1869</v>
      </c>
      <c r="C3" s="2490"/>
      <c r="D3" s="2490"/>
      <c r="E3" s="1273"/>
    </row>
    <row r="4" spans="2:5" s="1281" customFormat="1" ht="12.75" customHeight="1" x14ac:dyDescent="0.2">
      <c r="B4" s="2500" t="str">
        <f>'Single Audit Cover'!A4</f>
        <v>Year Ending June 30, 2018</v>
      </c>
      <c r="C4" s="2500"/>
      <c r="D4" s="2500"/>
      <c r="E4" s="1492"/>
    </row>
    <row r="5" spans="2:5" s="1281" customFormat="1" ht="40.3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t="s">
        <v>2104</v>
      </c>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schemas.openxmlformats.org/package/2006/metadata/core-properties"/>
    <ds:schemaRef ds:uri="http://purl.org/dc/elements/1.1/"/>
    <ds:schemaRef ds:uri="http://purl.org/dc/terms/"/>
    <ds:schemaRef ds:uri="http://schemas.microsoft.com/sharepoint/v3"/>
    <ds:schemaRef ds:uri="http://schemas.microsoft.com/office/2006/documentManagement/types"/>
    <ds:schemaRef ds:uri="http://schemas.microsoft.com/office/infopath/2007/PartnerControls"/>
    <ds:schemaRef ds:uri="http://www.w3.org/XML/1998/namespace"/>
    <ds:schemaRef ds:uri="4d435f69-8686-490b-bd6d-b153bf22ab50"/>
    <ds:schemaRef ds:uri="http://purl.org/dc/dcmitype/"/>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2018-08-16T16:16:55Z</cp:lastPrinted>
  <dcterms:created xsi:type="dcterms:W3CDTF">2003-10-29T19:06:34Z</dcterms:created>
  <dcterms:modified xsi:type="dcterms:W3CDTF">2018-11-19T21:36:41Z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