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881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4" i="179" l="1"/>
  <c r="I12" i="11" l="1"/>
  <c r="E13" i="11"/>
  <c r="E12" i="11"/>
  <c r="M20" i="179" l="1"/>
  <c r="J20" i="179"/>
  <c r="I20" i="179"/>
  <c r="I27" i="179" s="1"/>
  <c r="F20" i="179"/>
  <c r="F27" i="179" s="1"/>
  <c r="D35" i="171" s="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D17" i="171" l="1"/>
  <c r="D12" i="171"/>
  <c r="H137" i="29"/>
  <c r="D285" i="29"/>
  <c r="L137" i="29"/>
  <c r="L285" i="29"/>
  <c r="H357" i="29"/>
  <c r="K356" i="29"/>
  <c r="K357" i="29" s="1"/>
  <c r="K15" i="4" s="1"/>
  <c r="L357" i="29"/>
  <c r="E137" i="29"/>
  <c r="E139" i="29" s="1"/>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D7765" i="106" s="1"/>
  <c r="B7764" i="106"/>
  <c r="D7764" i="106" s="1"/>
  <c r="J85" i="28"/>
  <c r="B7758" i="106" s="1"/>
  <c r="D7758" i="106" s="1"/>
  <c r="J88" i="28"/>
  <c r="K6" i="29"/>
  <c r="B7763" i="106" s="1"/>
  <c r="B7762" i="106"/>
  <c r="K12" i="12"/>
  <c r="B7719" i="106" s="1"/>
  <c r="D7719" i="106" s="1"/>
  <c r="K23" i="12"/>
  <c r="J12" i="12"/>
  <c r="B7718" i="106" s="1"/>
  <c r="D7718" i="106" s="1"/>
  <c r="J21" i="12"/>
  <c r="B7727" i="106" s="1"/>
  <c r="D7727" i="106" s="1"/>
  <c r="B7729" i="106"/>
  <c r="D7729" i="106" s="1"/>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C228" i="5"/>
  <c r="C259" i="5"/>
  <c r="B6833" i="106" s="1"/>
  <c r="D6833" i="106" s="1"/>
  <c r="B7761" i="106"/>
  <c r="D7761" i="106" s="1"/>
  <c r="L127" i="29"/>
  <c r="L129" i="29" s="1"/>
  <c r="L139" i="29"/>
  <c r="L149" i="29"/>
  <c r="I7" i="145"/>
  <c r="I6" i="145"/>
  <c r="D82" i="36"/>
  <c r="D78" i="36"/>
  <c r="K75" i="29"/>
  <c r="F52" i="34" s="1"/>
  <c r="K130" i="29"/>
  <c r="F56" i="34"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F26" i="108"/>
  <c r="E27" i="108"/>
  <c r="G27" i="108"/>
  <c r="F31" i="108"/>
  <c r="G28" i="108"/>
  <c r="G30"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B2633" i="106"/>
  <c r="D2633" i="106" s="1"/>
  <c r="D7" i="118"/>
  <c r="D8" i="118"/>
  <c r="D9" i="118"/>
  <c r="H14" i="118"/>
  <c r="H19" i="118"/>
  <c r="H24" i="118"/>
  <c r="L22" i="37"/>
  <c r="B1746" i="106"/>
  <c r="D1746" i="106" s="1"/>
  <c r="E35" i="108" l="1"/>
  <c r="D26" i="108"/>
  <c r="F41" i="34"/>
  <c r="F27" i="108"/>
  <c r="F45" i="34"/>
  <c r="E30" i="108"/>
  <c r="B7047" i="106"/>
  <c r="D7047" i="106" s="1"/>
  <c r="B3454" i="106"/>
  <c r="D3454" i="106" s="1"/>
  <c r="B2864" i="106"/>
  <c r="D2864" i="106" s="1"/>
  <c r="B2027" i="106"/>
  <c r="D2027" i="106" s="1"/>
  <c r="B274" i="106"/>
  <c r="D274" i="106" s="1"/>
  <c r="B2026" i="106"/>
  <c r="D2026" i="106" s="1"/>
  <c r="B2029" i="106"/>
  <c r="D2029" i="106" s="1"/>
  <c r="B276" i="106"/>
  <c r="D276" i="106" s="1"/>
  <c r="B2028" i="106"/>
  <c r="D2028" i="106" s="1"/>
  <c r="B275" i="106"/>
  <c r="D275" i="106" s="1"/>
  <c r="F64" i="34"/>
  <c r="F69" i="34"/>
  <c r="G33" i="108"/>
  <c r="D36" i="108"/>
  <c r="L5" i="11"/>
  <c r="B2056" i="106" s="1"/>
  <c r="D2056" i="106" s="1"/>
  <c r="H342" i="29"/>
  <c r="B7221" i="106" s="1"/>
  <c r="D7221" i="106" s="1"/>
  <c r="D6103" i="106"/>
  <c r="D5" i="4"/>
  <c r="B3406" i="106" s="1"/>
  <c r="D3406" i="106" s="1"/>
  <c r="J23" i="12"/>
  <c r="L13" i="11"/>
  <c r="B2060" i="106" s="1"/>
  <c r="D2060" i="106" s="1"/>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G15" i="145"/>
  <c r="D14" i="4"/>
  <c r="B2570" i="106" s="1"/>
  <c r="D2570" i="106" s="1"/>
  <c r="F37" i="108"/>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D37" i="108"/>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G26" i="108"/>
  <c r="B1223" i="106"/>
  <c r="D1223" i="106" s="1"/>
  <c r="B1274" i="106"/>
  <c r="D1274" i="106" s="1"/>
  <c r="G38" i="108"/>
  <c r="G34" i="108"/>
  <c r="F28"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J24" i="12"/>
  <c r="B7730" i="106"/>
  <c r="D7730" i="106" s="1"/>
  <c r="B7270" i="106"/>
  <c r="B7235" i="106" l="1"/>
  <c r="D7235" i="106" s="1"/>
  <c r="B1266" i="106"/>
  <c r="D1266" i="106" s="1"/>
  <c r="G6" i="4"/>
  <c r="B2604" i="106" s="1"/>
  <c r="D2604" i="106" s="1"/>
  <c r="B5770" i="106"/>
  <c r="D5770" i="106" s="1"/>
  <c r="D41" i="108"/>
  <c r="E43" i="108" s="1"/>
  <c r="M23" i="3"/>
  <c r="B273" i="106"/>
  <c r="D273" i="106" s="1"/>
  <c r="C4" i="4"/>
  <c r="B2551" i="106" s="1"/>
  <c r="D2551" i="106" s="1"/>
  <c r="H77" i="4"/>
  <c r="B3299" i="106" s="1"/>
  <c r="D3299" i="106" s="1"/>
  <c r="B1328" i="106"/>
  <c r="D1328" i="106" s="1"/>
  <c r="D7253" i="106"/>
  <c r="F41" i="108"/>
  <c r="G43" i="108" s="1"/>
  <c r="F66" i="34"/>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K16" i="4"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B279" i="106"/>
  <c r="D279" i="106" s="1"/>
  <c r="B7224" i="106"/>
  <c r="D7224" i="106" s="1"/>
  <c r="J17" i="4"/>
  <c r="J19" i="4" s="1"/>
  <c r="B6229" i="106" s="1"/>
  <c r="D6229" i="106" s="1"/>
  <c r="F24" i="37"/>
  <c r="B7051" i="106"/>
  <c r="D7051" i="106" s="1"/>
  <c r="F6" i="4"/>
  <c r="B2593" i="106" s="1"/>
  <c r="D2593" i="106" s="1"/>
  <c r="D7" i="4"/>
  <c r="B2567" i="106" s="1"/>
  <c r="D2567" i="106" s="1"/>
  <c r="F275" i="5"/>
  <c r="B5720" i="106" s="1"/>
  <c r="D5720" i="106" s="1"/>
  <c r="B5719" i="106"/>
  <c r="D5719" i="106" s="1"/>
  <c r="B1145" i="106"/>
  <c r="D1145" i="106" s="1"/>
  <c r="G41" i="108"/>
  <c r="G44" i="108" s="1"/>
  <c r="G45" i="108" s="1"/>
  <c r="C6" i="4"/>
  <c r="B2553" i="106" s="1"/>
  <c r="D2553" i="106" s="1"/>
  <c r="J8" i="4"/>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6227" i="106" l="1"/>
  <c r="D6227" i="106" s="1"/>
  <c r="J20" i="4"/>
  <c r="B6230" i="106" s="1"/>
  <c r="D6230" i="106" s="1"/>
  <c r="M41" i="3"/>
  <c r="B280" i="106"/>
  <c r="D280" i="106" s="1"/>
  <c r="F8" i="4"/>
  <c r="D8" i="146" s="1"/>
  <c r="D8" i="4"/>
  <c r="D10" i="4" s="1"/>
  <c r="B4123" i="106" s="1"/>
  <c r="D4123" i="106" s="1"/>
  <c r="B6223" i="106"/>
  <c r="D6223" i="106" s="1"/>
  <c r="K17" i="4"/>
  <c r="K20" i="4" s="1"/>
  <c r="B3678" i="106"/>
  <c r="D3678" i="106" s="1"/>
  <c r="F76" i="34"/>
  <c r="J10" i="4"/>
  <c r="B6225" i="106" s="1"/>
  <c r="D6225" i="106" s="1"/>
  <c r="B2658" i="106"/>
  <c r="D2658" i="106" s="1"/>
  <c r="H10" i="4"/>
  <c r="B4127" i="106" s="1"/>
  <c r="D4127" i="106" s="1"/>
  <c r="B2917" i="106"/>
  <c r="D2917" i="106" s="1"/>
  <c r="D53" i="3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B2568" i="106"/>
  <c r="D2568" i="106" s="1"/>
  <c r="J78" i="4"/>
  <c r="B6263" i="106" s="1"/>
  <c r="D6263" i="106" s="1"/>
  <c r="H13" i="118"/>
  <c r="C8" i="146"/>
  <c r="D20" i="4"/>
  <c r="B2574" i="106" s="1"/>
  <c r="D2574" i="106" s="1"/>
  <c r="F10" i="4"/>
  <c r="B4125" i="106" s="1"/>
  <c r="D4125" i="106" s="1"/>
  <c r="B2595" i="106"/>
  <c r="D2595" i="106" s="1"/>
  <c r="B281" i="106"/>
  <c r="D281" i="106" s="1"/>
  <c r="D54" i="36"/>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C10" i="146" l="1"/>
  <c r="F8" i="146"/>
  <c r="J81" i="4"/>
  <c r="B6215" i="106" s="1"/>
  <c r="D6215" i="106" s="1"/>
  <c r="D78" i="4"/>
  <c r="B3239" i="106" s="1"/>
  <c r="D3239" i="106" s="1"/>
  <c r="J41" i="3"/>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F10" i="146" l="1"/>
  <c r="D64" i="36"/>
  <c r="B6266" i="106"/>
  <c r="D6266" i="106" s="1"/>
  <c r="J82" i="4"/>
  <c r="J83" i="4" s="1"/>
  <c r="B6283" i="106" s="1"/>
  <c r="D6283" i="106" s="1"/>
  <c r="D81" i="4"/>
  <c r="D58" i="36" s="1"/>
  <c r="D51" i="36"/>
  <c r="B6216" i="106"/>
  <c r="D6216" i="106" s="1"/>
  <c r="B123" i="106"/>
  <c r="D123" i="106" s="1"/>
  <c r="D41" i="3"/>
  <c r="B3567" i="106"/>
  <c r="D3567" i="106" s="1"/>
  <c r="K41" i="3"/>
  <c r="B212" i="106"/>
  <c r="D212" i="106" s="1"/>
  <c r="H41" i="3"/>
  <c r="B2912" i="106"/>
  <c r="D2912" i="106" s="1"/>
  <c r="I41" i="3"/>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B6274" i="106" l="1"/>
  <c r="D6274" i="106" s="1"/>
  <c r="B1644" i="106"/>
  <c r="D1644" i="106" s="1"/>
  <c r="D82" i="4"/>
  <c r="B6268" i="106" s="1"/>
  <c r="D6268" i="106" s="1"/>
  <c r="C11" i="146"/>
  <c r="B189" i="106"/>
  <c r="D189" i="106" s="1"/>
  <c r="G41" i="3"/>
  <c r="N21" i="3"/>
  <c r="B140" i="106"/>
  <c r="D140" i="106" s="1"/>
  <c r="E41" i="3"/>
  <c r="B170" i="106"/>
  <c r="D170" i="106" s="1"/>
  <c r="F41" i="3"/>
  <c r="B3568" i="106"/>
  <c r="D3568" i="106" s="1"/>
  <c r="D52" i="36"/>
  <c r="B213" i="106"/>
  <c r="D213" i="106" s="1"/>
  <c r="D49" i="36"/>
  <c r="B124" i="106"/>
  <c r="D124" i="106" s="1"/>
  <c r="D45" i="36"/>
  <c r="J16" i="37"/>
  <c r="B4269" i="106" s="1"/>
  <c r="D4269" i="106" s="1"/>
  <c r="D76" i="36"/>
  <c r="B92" i="106"/>
  <c r="D92" i="106" s="1"/>
  <c r="C41" i="3"/>
  <c r="D50" i="36"/>
  <c r="B2913" i="106"/>
  <c r="D2913"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B171" i="106"/>
  <c r="D171" i="106" s="1"/>
  <c r="D47" i="36"/>
  <c r="B282" i="106"/>
  <c r="D282" i="106" s="1"/>
  <c r="N23" i="3"/>
  <c r="B190" i="106"/>
  <c r="D190" i="106" s="1"/>
  <c r="D48"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<sst xmlns="http://schemas.openxmlformats.org/spreadsheetml/2006/main" count="5088" uniqueCount="2140">
  <si>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</si>
  <si>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</si>
  <si>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</si>
  <si>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</si>
  <si>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</si>
  <si>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</si>
  <si>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</si>
  <si>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</si>
  <si>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</si>
  <si>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</si>
  <si>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</si>
  <si>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</si>
  <si>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</si>
  <si>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</si>
  <si>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</si>
  <si>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</si>
  <si>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</si>
  <si>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</si>
  <si>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</si>
  <si>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</si>
  <si>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</si>
  <si>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</si>
  <si>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</si>
  <si>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</si>
  <si>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</si>
  <si>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</si>
  <si>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</si>
  <si>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</si>
  <si>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</si>
  <si>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</si>
  <si>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</si>
  <si>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</si>
  <si>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</si>
  <si>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</si>
  <si>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</si>
  <si>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</si>
  <si>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</si>
  <si>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</si>
  <si>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</si>
  <si>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</si>
  <si>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</si>
  <si>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</si>
  <si>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</si>
  <si>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</si>
  <si>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</si>
  <si>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</si>
  <si>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</si>
  <si>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</si>
  <si>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</si>
  <si>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</si>
  <si>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</si>
  <si>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</si>
  <si>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</si>
  <si>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</si>
  <si>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</si>
  <si>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</si>
  <si>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</si>
  <si>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</si>
  <si>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</si>
  <si>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</si>
  <si>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</si>
  <si>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</si>
  <si>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</si>
  <si>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</si>
  <si>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</si>
  <si>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</si>
  <si>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</si>
  <si>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</si>
  <si>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</si>
  <si>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</si>
  <si>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</si>
  <si>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</si>
  <si>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</si>
  <si>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</si>
  <si>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</si>
  <si>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</si>
  <si>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</si>
  <si>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</si>
  <si>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</si>
  <si>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</si>
  <si>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</si>
  <si>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</si>
  <si>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</si>
  <si>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</si>
  <si>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</si>
  <si>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</si>
  <si>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</si>
  <si>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</si>
  <si>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</si>
  <si>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</si>
  <si>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</si>
  <si>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</si>
  <si>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</si>
  <si>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</si>
  <si>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</si>
  <si>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</si>
  <si>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</si>
  <si>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</si>
  <si>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</si>
  <si>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</si>
  <si>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</si>
  <si>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</si>
  <si>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</si>
  <si>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</si>
  <si>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</si>
  <si>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</si>
  <si>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</si>
  <si>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</si>
  <si>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</si>
  <si>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</si>
  <si>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</si>
  <si>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</si>
  <si>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</si>
  <si>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</si>
  <si>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</si>
  <si>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</si>
  <si>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</si>
  <si>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</si>
  <si>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</si>
  <si>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</si>
  <si>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</si>
  <si>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</si>
  <si>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</si>
  <si>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</si>
  <si>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</si>
  <si>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</si>
  <si>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</si>
  <si>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</si>
  <si>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</si>
  <si>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</si>
  <si>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</si>
  <si>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</si>
  <si>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</si>
  <si>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</si>
  <si>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</si>
  <si>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</si>
  <si>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</si>
  <si>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</si>
  <si>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</si>
  <si>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</si>
  <si>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</si>
  <si>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</si>
  <si>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</si>
  <si>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</si>
  <si>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</si>
  <si>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</si>
  <si>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</si>
  <si>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</si>
  <si>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</si>
  <si>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</si>
  <si>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</si>
  <si>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</si>
  <si>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</si>
  <si>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</si>
  <si>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</si>
  <si>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</si>
  <si>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</si>
  <si>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</si>
  <si>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</si>
  <si>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</si>
  <si>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</si>
  <si>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</si>
  <si>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</si>
  <si>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</si>
  <si>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</si>
  <si>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</si>
  <si>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</si>
  <si>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</si>
  <si>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</si>
  <si>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</si>
  <si>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</si>
  <si>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</si>
  <si>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</si>
  <si>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</si>
  <si>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</si>
  <si>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</si>
  <si>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</si>
  <si>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</si>
  <si>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</si>
  <si>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</si>
  <si>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</si>
  <si>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</si>
  <si>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</si>
  <si>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</si>
  <si>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</si>
  <si>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</si>
  <si>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</si>
  <si>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</si>
  <si>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</si>
  <si>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</si>
  <si>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</si>
  <si>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</si>
  <si>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</si>
  <si>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</si>
  <si>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</si>
  <si>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</si>
  <si>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</si>
  <si>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</si>
  <si>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</si>
  <si>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</si>
  <si>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</si>
  <si>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</si>
  <si>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</si>
  <si>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</si>
  <si>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</si>
  <si>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</si>
  <si>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</si>
  <si>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</si>
  <si>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</si>
  <si>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</si>
  <si>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</si>
  <si>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</si>
  <si>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</si>
  <si>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</si>
  <si>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</si>
  <si>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</si>
  <si>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</si>
  <si>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</si>
  <si>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</si>
  <si>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</si>
  <si>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</si>
  <si>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</si>
  <si>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</si>
  <si>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</si>
  <si>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</si>
  <si>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</si>
  <si>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</si>
  <si>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</si>
  <si>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</si>
  <si>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</si>
  <si>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</si>
  <si>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</si>
  <si>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</si>
  <si>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</si>
  <si>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</si>
  <si>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</si>
  <si>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</si>
  <si>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</si>
  <si>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</si>
  <si>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</si>
  <si>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</si>
  <si>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</si>
  <si>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</si>
  <si>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</si>
  <si>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</si>
  <si>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</si>
  <si>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</si>
  <si>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</si>
  <si>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</si>
  <si>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</si>
  <si>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</si>
  <si>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</si>
  <si>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</si>
  <si>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</si>
  <si>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</si>
  <si>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</si>
  <si>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</si>
  <si>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</si>
  <si>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</si>
  <si>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</si>
  <si>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</si>
  <si>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</si>
  <si>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</si>
  <si>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</si>
  <si>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</si>
  <si>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</si>
  <si>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</si>
  <si>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</si>
  <si>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</si>
  <si>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</si>
  <si>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</si>
  <si>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</si>
  <si>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</si>
  <si>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</si>
  <si>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</si>
  <si>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</si>
  <si>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</si>
  <si>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</si>
  <si>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</si>
  <si>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</si>
  <si>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</si>
  <si>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</si>
  <si>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</si>
  <si>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</si>
  <si>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</si>
  <si>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</si>
  <si>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</si>
  <si>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</si>
  <si>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</si>
  <si>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</si>
  <si>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</si>
  <si>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</si>
  <si>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</si>
  <si>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</si>
  <si>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</si>
  <si>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</si>
  <si>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</si>
  <si>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</si>
  <si>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</si>
  <si>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</si>
  <si>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</si>
  <si>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</si>
  <si>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</si>
  <si>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</si>
  <si>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</si>
  <si>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</si>
  <si>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</si>
  <si>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</si>
  <si>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</si>
  <si>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</si>
  <si>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</si>
  <si>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</si>
  <si>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</si>
  <si>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</si>
  <si>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</si>
  <si>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</si>
  <si>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</si>
  <si>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</si>
  <si>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</si>
  <si>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</si>
  <si>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</si>
  <si>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</si>
  <si>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</si>
  <si>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</si>
  <si>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</si>
  <si>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</si>
  <si>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</si>
  <si>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</si>
  <si>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</si>
  <si>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</si>
  <si>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</si>
  <si>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</si>
  <si>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</si>
  <si>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</si>
  <si>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</si>
  <si>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</si>
  <si>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</si>
  <si>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</si>
  <si>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</si>
  <si>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</si>
  <si>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</si>
  <si>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</si>
  <si>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</si>
  <si>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</si>
  <si>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</si>
  <si>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</si>
  <si>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</si>
  <si>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</si>
  <si>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</si>
  <si>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</si>
  <si>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</si>
  <si>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</si>
  <si>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</si>
  <si>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</si>
  <si>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</si>
  <si>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</si>
  <si>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</si>
  <si>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</si>
  <si>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</si>
  <si>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</si>
  <si>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</si>
  <si>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</si>
  <si>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</si>
  <si>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</si>
  <si>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</si>
  <si>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</si>
  <si>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</si>
  <si>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</si>
  <si>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</si>
  <si>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</si>
  <si>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</si>
  <si>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</si>
  <si>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</si>
  <si>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</si>
  <si>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</si>
  <si>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</si>
  <si>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</si>
  <si>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</si>
  <si>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</si>
  <si>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</si>
  <si>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</si>
  <si>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</si>
  <si>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</si>
  <si>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</si>
  <si>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</si>
  <si>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</si>
  <si>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</si>
  <si>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</si>
  <si>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</si>
  <si>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</si>
  <si>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</si>
  <si>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</si>
  <si>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</si>
  <si>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</si>
  <si>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</si>
  <si>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</si>
  <si>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</si>
  <si>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</si>
  <si>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</si>
  <si>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</si>
  <si>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</si>
  <si>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</si>
  <si>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</si>
  <si>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</si>
  <si>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</si>
  <si>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</si>
  <si>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</si>
  <si>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</si>
  <si>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</si>
  <si>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</si>
  <si>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</si>
  <si>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</si>
  <si>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</si>
  <si>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</si>
  <si>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</si>
  <si>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</si>
  <si>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</si>
  <si>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</si>
  <si>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</si>
  <si>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</si>
  <si>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</si>
  <si>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</si>
  <si>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</si>
  <si>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</si>
  <si>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</si>
  <si>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</si>
  <si>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</si>
  <si>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</si>
  <si>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</si>
  <si>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</si>
  <si>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</si>
  <si>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</si>
  <si>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</si>
  <si>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</si>
  <si>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</si>
  <si>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</si>
  <si>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</si>
  <si>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</si>
  <si>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</si>
  <si>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</si>
  <si>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</si>
  <si>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</si>
  <si>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</si>
  <si>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</si>
  <si>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</si>
  <si>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</si>
  <si>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</si>
  <si>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</si>
  <si>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</si>
  <si>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</si>
  <si>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</si>
  <si>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</si>
  <si>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</si>
  <si>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</si>
  <si>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</si>
  <si>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</si>
  <si>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</si>
  <si>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</si>
  <si>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</si>
  <si>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</si>
  <si>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</si>
  <si>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</si>
  <si>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</si>
  <si>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</si>
  <si>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</si>
  <si>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</si>
  <si>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</si>
  <si>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</si>
  <si>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</si>
  <si>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</si>
  <si>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</si>
  <si>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</si>
  <si>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</si>
  <si>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</si>
  <si>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</si>
  <si>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</si>
  <si>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</si>
  <si>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</si>
  <si>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</si>
  <si>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</si>
  <si>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</si>
  <si>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</si>
  <si>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</si>
  <si>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</si>
  <si>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</si>
  <si>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</si>
  <si>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</si>
  <si>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</si>
  <si>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</si>
  <si>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</si>
  <si>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</si>
  <si>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</si>
  <si>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</si>
  <si>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</si>
  <si>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</si>
  <si>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</si>
  <si>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</si>
  <si>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</si>
  <si>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</si>
  <si>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</si>
  <si>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</si>
  <si>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</si>
  <si>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</si>
  <si>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</si>
  <si>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</si>
  <si>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</si>
  <si>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</si>
  <si>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</si>
  <si>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</si>
  <si>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</si>
  <si>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</si>
  <si>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</si>
  <si>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</si>
  <si>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</si>
  <si>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</si>
  <si>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</si>
  <si>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</si>
  <si>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</si>
  <si>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</si>
  <si>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</si>
  <si>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</si>
  <si>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</si>
  <si>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</si>
  <si>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</si>
  <si>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</si>
  <si>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</si>
  <si>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</si>
  <si>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</si>
  <si>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</si>
  <si>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</si>
  <si>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</si>
  <si>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</si>
  <si>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</si>
  <si>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</si>
  <si>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</si>
  <si>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</si>
  <si>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</si>
  <si>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</si>
  <si>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</si>
  <si>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</si>
  <si>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</si>
  <si>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</si>
  <si>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</si>
  <si>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</si>
  <si>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</si>
  <si>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</si>
  <si>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</si>
  <si>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</si>
  <si>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</si>
  <si>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</si>
  <si>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</si>
  <si>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</si>
  <si>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</si>
  <si>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</si>
  <si>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</si>
  <si>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</si>
  <si>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</si>
  <si>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</si>
  <si>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</si>
  <si>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</si>
  <si>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</si>
  <si>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</si>
  <si>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</si>
  <si>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</si>
  <si>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</si>
  <si>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</si>
  <si>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</si>
  <si>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</si>
  <si>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</si>
  <si>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</si>
  <si>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</si>
  <si>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</si>
  <si>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</si>
  <si>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</si>
  <si>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</si>
  <si>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</si>
  <si>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</si>
  <si>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</si>
  <si>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</si>
  <si>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</si>
  <si>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</si>
  <si>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</si>
  <si>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</si>
  <si>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</si>
  <si>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</si>
  <si>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</si>
  <si>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</si>
  <si>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</si>
  <si>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</si>
  <si>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</si>
  <si>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</si>
  <si>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</si>
  <si>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</si>
  <si>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</si>
  <si>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</si>
  <si>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</si>
  <si>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</si>
  <si>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</si>
  <si>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</si>
  <si>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</si>
  <si>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</si>
  <si>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</si>
  <si>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</si>
  <si>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</si>
  <si>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</si>
  <si>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</si>
  <si>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</si>
  <si>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</si>
  <si>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</si>
  <si>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</si>
  <si>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</si>
  <si>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</si>
  <si>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</si>
  <si>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</si>
  <si>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</si>
  <si>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</si>
  <si>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</si>
  <si>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</si>
  <si>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</si>
  <si>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</si>
  <si>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</si>
  <si>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</si>
  <si>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</si>
  <si>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</si>
  <si>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</si>
  <si>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</si>
  <si>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</si>
  <si>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</si>
  <si>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</si>
  <si>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</si>
  <si>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</si>
  <si>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</si>
  <si>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</si>
  <si>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</si>
  <si>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</si>
  <si>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</si>
  <si>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</si>
  <si>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</si>
  <si>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</si>
  <si>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</si>
  <si>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</si>
  <si>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</si>
  <si>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</si>
  <si>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</si>
  <si>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</si>
  <si>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</si>
  <si>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</si>
  <si>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</si>
  <si>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</si>
  <si>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</si>
  <si>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</si>
  <si>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</si>
  <si>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</si>
  <si>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</si>
  <si>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</si>
  <si>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</si>
  <si>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</si>
  <si>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</si>
  <si>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</si>
  <si>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</si>
  <si>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</si>
  <si>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</si>
  <si>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</si>
  <si>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</si>
  <si>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</si>
  <si>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</si>
  <si>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</si>
  <si>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</si>
  <si>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</si>
  <si>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</si>
  <si>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</si>
  <si>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</si>
  <si>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</si>
  <si>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</si>
  <si>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</si>
  <si>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</si>
  <si>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</si>
  <si>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</si>
  <si>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</si>
  <si>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</si>
  <si>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</si>
  <si>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</si>
  <si>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</si>
  <si>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</si>
  <si>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</si>
  <si>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</si>
  <si>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</si>
  <si>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</si>
  <si>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</si>
  <si>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</si>
  <si>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</si>
  <si>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</si>
  <si>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</si>
  <si>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</si>
  <si>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</si>
  <si>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</si>
  <si>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</si>
  <si>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</si>
  <si>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</si>
  <si>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</si>
  <si>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</si>
  <si>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</si>
  <si>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</si>
  <si>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</si>
  <si>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</si>
  <si>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</si>
  <si>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</si>
  <si>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</si>
  <si>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</si>
  <si>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</si>
  <si>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</si>
  <si>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</si>
  <si>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</si>
  <si>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</si>
  <si>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</si>
  <si>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</si>
  <si>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</si>
  <si>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</si>
  <si>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</si>
  <si>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</si>
  <si>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</si>
  <si>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</si>
  <si>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</si>
  <si>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</si>
  <si>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</si>
  <si>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</si>
  <si>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</si>
  <si>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</si>
  <si>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</si>
  <si>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</si>
  <si>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</si>
  <si>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</si>
  <si>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</si>
  <si>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</si>
  <si>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</si>
  <si>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</si>
  <si>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</si>
  <si>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</si>
  <si>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</si>
  <si>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</si>
  <si>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</si>
  <si>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</si>
  <si>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</si>
  <si>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</si>
  <si>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</si>
  <si>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</si>
  <si>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</si>
  <si>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</si>
  <si>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</si>
  <si>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</si>
  <si>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</si>
  <si>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</si>
  <si>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</si>
  <si>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</si>
  <si>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</si>
  <si>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</si>
  <si>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</si>
  <si>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</si>
  <si>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</si>
  <si>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</si>
  <si>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</si>
  <si>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</si>
  <si>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</si>
  <si>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</si>
  <si>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</si>
  <si>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</si>
  <si>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</si>
  <si>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</si>
  <si>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</si>
  <si>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</si>
  <si>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</si>
  <si>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</si>
  <si>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</si>
  <si>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</si>
  <si>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</si>
  <si>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</si>
  <si>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</si>
  <si>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</si>
  <si>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</si>
  <si>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</si>
  <si>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</si>
  <si>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</si>
  <si>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</si>
  <si>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</si>
  <si>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</si>
  <si>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</si>
  <si>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</si>
  <si>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</si>
  <si>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</si>
  <si>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</si>
  <si>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</si>
  <si>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</si>
  <si>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</si>
  <si>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</si>
  <si>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</si>
  <si>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</si>
  <si>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</si>
  <si>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</si>
  <si>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</si>
  <si>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</si>
  <si>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</si>
  <si>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</si>
  <si>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</si>
  <si>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</si>
  <si>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</si>
  <si>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</si>
  <si>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</si>
  <si>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</si>
  <si>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</si>
  <si>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</si>
  <si>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</si>
  <si>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</si>
  <si>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</si>
  <si>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</si>
  <si>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</si>
  <si>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</si>
  <si>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</si>
  <si>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</si>
  <si>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</si>
  <si>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</si>
  <si>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</si>
  <si>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</si>
  <si>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</si>
  <si>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</si>
  <si>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</si>
  <si>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</si>
  <si>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</si>
  <si>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</si>
  <si>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</si>
  <si>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</si>
  <si>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</si>
  <si>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</si>
  <si>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</si>
  <si>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</si>
  <si>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</si>
  <si>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</si>
  <si>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</si>
  <si>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</si>
  <si>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</si>
  <si>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</si>
  <si>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</si>
  <si>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</si>
  <si>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</si>
  <si>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</si>
  <si>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</si>
  <si>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</si>
  <si>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</si>
  <si>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</si>
  <si>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</si>
  <si>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</si>
  <si>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</si>
  <si>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</si>
  <si>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</si>
  <si>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</si>
  <si>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</si>
  <si>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</si>
  <si>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</si>
  <si>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</si>
  <si>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</si>
  <si>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</si>
  <si>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</si>
  <si>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</si>
  <si>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</si>
  <si>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</si>
  <si>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</si>
  <si>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</si>
  <si>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</si>
  <si>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</si>
  <si>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</si>
  <si>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</si>
  <si>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</si>
  <si>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</si>
  <si>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</si>
  <si>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</si>
  <si>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</si>
  <si>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</si>
  <si>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</si>
  <si>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</si>
  <si>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</si>
  <si>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</si>
  <si>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</si>
  <si>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</si>
  <si>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</si>
  <si>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</si>
  <si>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</si>
  <si>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</si>
  <si>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</si>
  <si>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</si>
  <si>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</si>
  <si>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</si>
  <si>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</si>
  <si>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</si>
  <si>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</si>
  <si>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</si>
  <si>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</si>
  <si>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</si>
  <si>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</si>
  <si>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</si>
  <si>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</si>
  <si>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</si>
  <si>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</si>
  <si>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</si>
  <si>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</si>
  <si>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</si>
  <si>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</si>
  <si>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</si>
  <si>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</si>
  <si>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</si>
  <si>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</si>
  <si>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</si>
  <si>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</si>
  <si>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</si>
  <si>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</si>
  <si>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</si>
  <si>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</si>
  <si>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</si>
  <si>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</si>
  <si>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</si>
  <si>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</si>
  <si>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</si>
  <si>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</si>
  <si>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</si>
  <si>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</si>
  <si>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</si>
  <si>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</si>
  <si>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</si>
  <si>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</si>
  <si>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</si>
  <si>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</si>
  <si>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</si>
  <si>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</si>
  <si>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</si>
  <si>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</si>
  <si>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</si>
  <si>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</si>
  <si>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</si>
  <si>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</si>
  <si>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</si>
  <si>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</si>
  <si>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</si>
  <si>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</si>
  <si>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</si>
  <si>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</si>
  <si>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</si>
  <si>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</si>
  <si>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</si>
  <si>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</si>
  <si>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</si>
  <si>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</si>
  <si>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</si>
  <si>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</si>
  <si>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</si>
  <si>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</si>
  <si>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</si>
  <si>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</si>
  <si>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</si>
  <si>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</si>
  <si>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</si>
  <si>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</si>
  <si>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</si>
  <si>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</si>
  <si>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</si>
  <si>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</si>
  <si>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</si>
  <si>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</si>
  <si>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</si>
  <si>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</si>
  <si>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</si>
  <si>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</si>
  <si>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</si>
  <si>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</si>
  <si>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</si>
  <si>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</si>
  <si>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</si>
  <si>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</si>
  <si>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</si>
  <si>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</si>
  <si>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</si>
  <si>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</si>
  <si>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</si>
  <si>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</si>
  <si>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</si>
  <si>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</si>
  <si>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</si>
  <si>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</si>
  <si>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</si>
  <si>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</si>
  <si>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</si>
  <si>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</si>
  <si>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</si>
  <si>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</si>
  <si>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</si>
  <si>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</si>
  <si>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</si>
  <si>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</si>
  <si>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</si>
  <si>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</si>
  <si>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</si>
  <si>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</si>
  <si>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</si>
  <si>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</si>
  <si>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</si>
  <si>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</si>
  <si>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</si>
  <si>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</si>
  <si>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</si>
  <si>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</si>
  <si>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</si>
  <si>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</si>
  <si>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</si>
  <si>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</si>
  <si>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</si>
  <si>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</si>
  <si>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</si>
  <si>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</si>
  <si>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</si>
  <si>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</si>
  <si>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</si>
  <si>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</si>
  <si>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</si>
  <si>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</si>
  <si>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</si>
  <si>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</si>
  <si>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</si>
  <si>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</si>
  <si>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</si>
  <si>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</si>
  <si>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</si>
  <si>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</si>
  <si>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</si>
  <si>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</si>
  <si>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</si>
  <si>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</si>
  <si>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</si>
  <si>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</si>
  <si>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</si>
  <si>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</si>
  <si>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</si>
  <si>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</si>
  <si>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</si>
  <si>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</si>
  <si>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</si>
  <si>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</si>
  <si>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</si>
  <si>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</si>
  <si>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</si>
  <si>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</si>
  <si>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</si>
  <si>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</si>
  <si>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</si>
  <si>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</si>
  <si>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</si>
  <si>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</si>
  <si>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</si>
  <si>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</si>
  <si>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</si>
  <si>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</si>
  <si>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</si>
  <si>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</si>
  <si>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</si>
  <si>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</si>
  <si>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</si>
  <si>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</si>
  <si>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</si>
  <si>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</si>
  <si>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</si>
  <si>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</si>
  <si>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</si>
  <si>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</si>
  <si>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</si>
  <si>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</si>
  <si>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</si>
  <si>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</si>
  <si>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</si>
  <si>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</si>
  <si>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</si>
  <si>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</si>
  <si>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</si>
  <si>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</si>
  <si>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</si>
  <si>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</si>
  <si>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</si>
  <si>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</si>
  <si>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</si>
  <si>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</si>
  <si>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</si>
  <si>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</si>
  <si>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</si>
  <si>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</si>
  <si>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</si>
  <si>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</si>
  <si>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</si>
  <si>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</si>
  <si>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</si>
  <si>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</si>
  <si>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</si>
  <si>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</si>
  <si>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</si>
  <si>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</si>
  <si>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</si>
  <si>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</si>
  <si>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</si>
  <si>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</si>
  <si>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</si>
  <si>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</si>
  <si>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</si>
  <si>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</si>
  <si>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</si>
  <si>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</si>
  <si>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</si>
  <si>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</si>
  <si>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</si>
  <si>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</si>
  <si>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</si>
  <si>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</si>
  <si>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</si>
  <si>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</si>
  <si>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</si>
  <si>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</si>
  <si>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</si>
  <si>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</si>
  <si>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</si>
  <si>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</si>
  <si>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</si>
  <si>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</si>
  <si>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</si>
  <si>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</si>
  <si>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</si>
  <si>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</si>
  <si>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</si>
  <si>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</si>
  <si>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</si>
  <si>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</si>
  <si>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</si>
  <si>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</si>
  <si>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</si>
  <si>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</si>
  <si>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</si>
  <si>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</si>
  <si>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</si>
  <si>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</si>
  <si>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</si>
  <si>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</si>
  <si>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</si>
  <si>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</si>
  <si>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</si>
  <si>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</si>
  <si>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</si>
  <si>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</si>
  <si>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</si>
  <si>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</si>
  <si>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</si>
  <si>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</si>
  <si>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</si>
  <si>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</si>
  <si>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</si>
  <si>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</si>
  <si>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</si>
  <si>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</si>
  <si>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</si>
  <si>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</si>
  <si>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</si>
  <si>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</si>
  <si>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</si>
  <si>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</si>
  <si>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</si>
  <si>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</si>
  <si>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</si>
  <si>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</si>
  <si>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</si>
  <si>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</si>
  <si>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</si>
  <si>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</si>
  <si>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</si>
  <si>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</si>
  <si>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</si>
  <si>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</si>
  <si>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</si>
  <si>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</si>
  <si>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</si>
  <si>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</si>
  <si>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</si>
  <si>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</si>
  <si>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</si>
  <si>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</si>
  <si>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</si>
  <si>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</si>
  <si>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</si>
  <si>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</si>
  <si>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</si>
  <si>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</si>
  <si>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</si>
  <si>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</si>
  <si>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</si>
  <si>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</si>
  <si>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</si>
  <si>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</si>
  <si>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</si>
  <si>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</si>
  <si>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</si>
  <si>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</si>
  <si>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</si>
  <si>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</si>
  <si>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</si>
  <si>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</si>
  <si>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</si>
  <si>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</si>
  <si>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</si>
  <si>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</si>
  <si>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</si>
  <si>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</si>
  <si>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</si>
  <si>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</si>
  <si>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</si>
  <si>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</si>
  <si>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</si>
  <si>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</si>
  <si>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</si>
  <si>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</si>
  <si>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</si>
  <si>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</si>
  <si>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</si>
  <si>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</si>
  <si>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</si>
  <si>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</si>
  <si>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</si>
  <si>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</si>
  <si>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</si>
  <si>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</si>
  <si>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</si>
  <si>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</si>
  <si>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</si>
  <si>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</si>
  <si>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</si>
  <si>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</si>
  <si>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</si>
  <si>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</si>
  <si>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</si>
  <si>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</si>
  <si>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</si>
  <si>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</si>
  <si>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</si>
  <si>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</si>
  <si>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</si>
  <si>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</si>
  <si>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</si>
  <si>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</si>
  <si>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</si>
  <si>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</si>
  <si>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</si>
  <si>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</si>
  <si>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</si>
  <si>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</si>
  <si>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</si>
  <si>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</si>
  <si>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</si>
  <si>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</si>
  <si>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</si>
  <si>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</si>
  <si>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</si>
  <si>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</si>
  <si>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</si>
  <si>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</si>
  <si>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</si>
  <si>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</si>
  <si>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</si>
  <si>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</si>
  <si>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</si>
  <si>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</si>
  <si>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</si>
  <si>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</si>
  <si>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</si>
  <si>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</si>
  <si>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</si>
  <si>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</si>
  <si>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</si>
  <si>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</si>
  <si>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</si>
  <si>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</si>
  <si>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</si>
  <si>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</si>
  <si>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</si>
  <si>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</si>
  <si>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</si>
  <si>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</si>
  <si>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</si>
  <si>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</si>
  <si>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</si>
  <si>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</si>
  <si>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</si>
  <si>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</si>
  <si>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</si>
  <si>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</si>
  <si>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</si>
  <si>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</si>
  <si>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</si>
  <si>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</si>
  <si>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</si>
  <si>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</si>
  <si>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</si>
  <si>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</si>
  <si>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</si>
  <si>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</si>
  <si>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</si>
  <si>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</si>
  <si>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</si>
  <si>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</si>
  <si>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</si>
  <si>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</si>
  <si>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</si>
  <si>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</si>
  <si>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</si>
  <si>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</si>
  <si>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</si>
  <si>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</si>
  <si>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</si>
  <si>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</si>
  <si>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</si>
  <si>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</si>
  <si>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</si>
  <si>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</si>
  <si>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</si>
  <si>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</si>
  <si>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</si>
  <si>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</si>
  <si>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</si>
  <si>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</si>
  <si>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</si>
  <si>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</si>
  <si>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</si>
  <si>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</si>
  <si>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</si>
  <si>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</si>
  <si>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</si>
  <si>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</si>
  <si>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</si>
  <si>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</si>
  <si>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</si>
  <si>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</si>
  <si>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</si>
  <si>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</si>
  <si>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</si>
  <si>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</si>
  <si>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</si>
  <si>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</si>
  <si>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</si>
  <si>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</si>
  <si>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</si>
  <si>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</si>
  <si>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</si>
  <si>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</si>
  <si>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</si>
  <si>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</si>
  <si>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</si>
  <si>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</si>
  <si>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</si>
  <si>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</si>
  <si>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</si>
  <si>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</si>
  <si>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</si>
  <si>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</si>
  <si>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</si>
  <si>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</si>
  <si>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</si>
  <si>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</si>
  <si>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</si>
  <si>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</si>
  <si>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</si>
  <si>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</si>
  <si>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</si>
  <si>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</si>
  <si>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</si>
  <si>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</si>
  <si>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</si>
  <si>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</si>
  <si>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</si>
  <si>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</si>
  <si>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</si>
  <si>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</si>
  <si>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</si>
  <si>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</si>
  <si>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</si>
  <si>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</si>
  <si>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</si>
  <si>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</si>
  <si>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</si>
  <si>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</si>
  <si>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</si>
  <si>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</si>
  <si>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</si>
  <si>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</si>
  <si>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</si>
  <si>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</si>
  <si>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</si>
  <si>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</si>
  <si>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</si>
  <si>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</si>
  <si>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</si>
  <si>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</si>
  <si>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</si>
  <si>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</si>
  <si>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</si>
  <si>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</si>
  <si>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</si>
  <si>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</si>
  <si>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</si>
  <si>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</si>
  <si>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</si>
  <si>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</si>
  <si>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</si>
  <si>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</si>
  <si>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</si>
  <si>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</si>
  <si>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</si>
  <si>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</si>
  <si>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</si>
  <si>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</si>
  <si>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</si>
  <si>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</si>
  <si>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</si>
  <si>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</si>
  <si>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</si>
  <si>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</si>
  <si>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</si>
  <si>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</si>
  <si>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</si>
  <si>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</si>
  <si>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</si>
  <si>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</si>
  <si>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</si>
  <si>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</si>
  <si>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</si>
  <si>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</si>
  <si>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</si>
  <si>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</si>
  <si>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</si>
  <si>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</si>
  <si>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</si>
  <si>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</si>
  <si>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</si>
  <si>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</si>
  <si>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</si>
  <si>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</si>
  <si>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</si>
  <si>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</si>
  <si>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</si>
  <si>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</si>
  <si>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</si>
  <si>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</si>
  <si>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</si>
  <si>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</si>
  <si>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</si>
  <si>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</si>
  <si>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</si>
  <si>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</si>
  <si>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</si>
  <si>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</si>
  <si>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</si>
  <si>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</si>
  <si>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</si>
  <si>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</si>
  <si>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</si>
  <si>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</si>
  <si>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</si>
  <si>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</si>
  <si>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</si>
  <si>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</si>
  <si>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</si>
  <si>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</si>
  <si>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</si>
  <si>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</si>
  <si>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</si>
  <si>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</si>
  <si>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</si>
  <si>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</si>
  <si>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</si>
  <si>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</si>
  <si>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</si>
  <si>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</si>
  <si>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</si>
  <si>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</si>
  <si>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</si>
  <si>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</si>
  <si>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</si>
  <si>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</si>
  <si>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</si>
  <si>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</si>
  <si>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</si>
  <si>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</si>
  <si>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</si>
  <si>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</si>
  <si>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</si>
  <si>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</si>
  <si>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</si>
  <si>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</si>
  <si>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</si>
  <si>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</si>
  <si>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</si>
  <si>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</si>
  <si>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</si>
  <si>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</si>
  <si>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</si>
  <si>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</si>
  <si>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</si>
  <si>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</si>
  <si>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</si>
  <si>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</si>
  <si>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</si>
  <si>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</si>
  <si>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</si>
  <si>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</si>
  <si>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</si>
  <si>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</si>
  <si>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</si>
  <si>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</si>
  <si>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</si>
  <si>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</si>
  <si>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</si>
  <si>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</si>
  <si>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</si>
  <si>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</si>
  <si>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</si>
  <si>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</si>
  <si>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</si>
  <si>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</si>
  <si>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</si>
  <si>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</si>
  <si>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</si>
  <si>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</si>
  <si>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</si>
  <si>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</si>
  <si>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</si>
  <si>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</si>
  <si>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</si>
  <si>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</si>
  <si>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</si>
  <si>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</si>
  <si>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</si>
  <si>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</si>
  <si>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</si>
  <si>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</si>
  <si>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</si>
  <si>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</si>
  <si>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</si>
  <si>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</si>
  <si>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</si>
  <si>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</si>
  <si>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</si>
  <si>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</si>
  <si>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</si>
  <si>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</si>
  <si>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</si>
  <si>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</si>
  <si>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</si>
  <si>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</si>
  <si>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</si>
  <si>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</si>
  <si>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</si>
  <si>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</si>
  <si>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</si>
  <si>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</si>
  <si>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</si>
  <si>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</si>
  <si>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</si>
  <si>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</si>
  <si>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</si>
  <si>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</si>
  <si>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</si>
  <si>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</si>
  <si>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</si>
  <si>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</si>
  <si>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</si>
  <si>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</si>
  <si>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</si>
  <si>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</si>
  <si>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</si>
  <si>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</si>
  <si>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</si>
  <si>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</si>
  <si>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</si>
  <si>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</si>
  <si>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</si>
  <si>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</si>
  <si>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</si>
  <si>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</si>
  <si>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</si>
  <si>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</si>
  <si>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</si>
  <si>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</si>
  <si>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</si>
  <si>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</si>
  <si>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</si>
  <si>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</si>
  <si>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</si>
  <si>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</si>
  <si>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</si>
  <si>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</si>
  <si>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</si>
  <si>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</si>
  <si>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</si>
  <si>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</si>
  <si>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</si>
  <si>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</si>
  <si>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</si>
  <si>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</si>
  <si>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</si>
  <si>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</si>
  <si>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</si>
  <si>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</si>
  <si>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</si>
  <si>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</si>
  <si>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</si>
  <si>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</si>
  <si>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</si>
  <si>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</si>
  <si>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</si>
  <si>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</si>
  <si>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</si>
  <si>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</si>
  <si>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</si>
  <si>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</si>
  <si>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</si>
  <si>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</si>
  <si>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</si>
  <si>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</si>
  <si>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</si>
  <si>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</si>
  <si>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</si>
  <si>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</si>
  <si>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</si>
  <si>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</si>
  <si>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</si>
  <si>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</si>
  <si>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</si>
  <si>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</si>
  <si>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</si>
  <si>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</si>
  <si>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</si>
  <si>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</si>
  <si>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</si>
  <si>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</si>
  <si>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</si>
  <si>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</si>
  <si>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</si>
  <si>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</si>
  <si>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</si>
  <si>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</si>
  <si>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</si>
  <si>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</si>
  <si>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</si>
  <si>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</si>
  <si>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</si>
  <si>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</si>
  <si>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</si>
  <si>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</si>
  <si>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</si>
  <si>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</si>
  <si>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</si>
  <si>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</si>
  <si>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</si>
  <si>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</si>
  <si>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</si>
  <si>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</si>
  <si>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</si>
  <si>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</si>
  <si>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</si>
  <si>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</si>
  <si>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</si>
  <si>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</si>
  <si>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</si>
  <si>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</si>
  <si>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</si>
  <si>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</si>
  <si>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</si>
  <si>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</si>
  <si>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</si>
  <si>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</si>
  <si>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</si>
  <si>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</si>
  <si>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</si>
  <si>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</si>
  <si>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</si>
  <si>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</si>
  <si>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</si>
  <si>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</si>
  <si>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</si>
  <si>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</si>
  <si>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</si>
  <si>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</si>
  <si>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</si>
  <si>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</si>
  <si>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</si>
  <si>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</si>
  <si>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</si>
  <si>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</si>
  <si>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</si>
  <si>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</si>
  <si>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</si>
  <si>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</si>
  <si>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</si>
  <si>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</si>
  <si>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</si>
  <si>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</si>
  <si>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</si>
  <si>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</si>
  <si>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</si>
  <si>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</si>
  <si>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</si>
  <si>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</si>
  <si>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</si>
  <si>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</si>
  <si>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</si>
  <si>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</si>
  <si>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</si>
  <si>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</si>
  <si>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</si>
  <si>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</si>
  <si>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</si>
  <si>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</si>
  <si>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</si>
  <si>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</si>
  <si>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</si>
  <si>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</si>
  <si>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</si>
  <si>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</si>
  <si>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</si>
  <si>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</si>
  <si>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</si>
  <si>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</si>
  <si>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</si>
  <si>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</si>
  <si>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</si>
  <si>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</si>
  <si>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</si>
  <si>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</si>
  <si>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</si>
  <si>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</si>
  <si>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</si>
  <si>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</si>
  <si>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</si>
  <si>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</si>
  <si>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</si>
  <si>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</si>
  <si>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</si>
  <si>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</si>
  <si>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</si>
  <si>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</si>
  <si>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</si>
  <si>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</si>
  <si>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</si>
  <si>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</si>
  <si>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</si>
  <si>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</si>
  <si>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</si>
  <si>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</si>
  <si>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</si>
  <si>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</si>
  <si>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</si>
  <si>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</si>
  <si>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</si>
  <si>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</si>
  <si>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</si>
  <si>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</si>
  <si>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</si>
  <si>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</si>
  <si>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</si>
  <si>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</si>
  <si>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</si>
  <si>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</si>
  <si>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</si>
  <si>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</si>
  <si>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</si>
  <si>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</si>
  <si>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</si>
  <si>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</si>
  <si>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</si>
  <si>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</si>
  <si>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</si>
  <si>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</si>
  <si>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</si>
  <si>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</si>
  <si>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</si>
  <si>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</si>
  <si>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</si>
  <si>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</si>
  <si>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</si>
  <si>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</si>
  <si>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</si>
  <si>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</si>
  <si>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</si>
  <si>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</si>
  <si>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</si>
  <si>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</si>
  <si>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</si>
  <si>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</si>
  <si>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</si>
  <si>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</si>
  <si>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</si>
  <si>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</si>
  <si>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</si>
  <si>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</si>
  <si>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</si>
  <si>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</si>
  <si>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</si>
  <si>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</si>
  <si>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</si>
  <si>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</si>
  <si>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</si>
  <si>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</si>
  <si>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</si>
  <si>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</si>
  <si>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</si>
  <si>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</si>
  <si>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</si>
  <si>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</si>
  <si>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</si>
  <si>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</si>
  <si>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</si>
  <si>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</si>
  <si>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</si>
  <si>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</si>
  <si>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</si>
  <si>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</si>
  <si>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</si>
  <si>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</si>
  <si>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</si>
  <si>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</si>
  <si>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</si>
  <si>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</si>
  <si>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</si>
  <si>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</si>
  <si>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</si>
  <si>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</si>
  <si>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</si>
  <si>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</si>
  <si>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</si>
  <si>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</si>
  <si>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</si>
  <si>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</si>
  <si>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</si>
  <si>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</si>
  <si>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</si>
  <si>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</si>
  <si>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</si>
  <si>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</si>
  <si>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</si>
  <si>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</si>
  <si>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</si>
  <si>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</si>
  <si>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</si>
  <si>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</si>
  <si>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</si>
  <si>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</si>
  <si>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</si>
  <si>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</si>
  <si>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</si>
  <si>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</si>
  <si>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</si>
  <si>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</si>
  <si>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</si>
  <si>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</si>
  <si>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</si>
  <si>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</si>
  <si>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</si>
  <si>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</si>
  <si>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</si>
  <si>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</si>
  <si>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</si>
  <si>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</si>
  <si>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</si>
  <si>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</si>
  <si>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</si>
  <si>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</si>
  <si>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</si>
  <si>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</si>
  <si>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</si>
  <si>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</si>
  <si>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</si>
  <si>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</si>
  <si>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</si>
  <si>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</si>
  <si>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</si>
  <si>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</si>
  <si>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</si>
  <si>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</si>
  <si>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</si>
  <si>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</si>
  <si>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</si>
  <si>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</si>
  <si>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</si>
  <si>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</si>
  <si>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</si>
  <si>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</si>
  <si>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</si>
  <si>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</si>
  <si>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</si>
  <si>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</si>
  <si>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</si>
  <si>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</si>
  <si>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</si>
  <si>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</si>
  <si>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</si>
  <si>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</si>
  <si>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</si>
  <si>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</si>
  <si>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</si>
  <si>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</si>
  <si>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</si>
  <si>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</si>
  <si>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</si>
  <si>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</si>
  <si>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</si>
  <si>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</si>
  <si>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</si>
  <si>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</si>
  <si>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</si>
  <si>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</si>
  <si>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</si>
  <si>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</si>
  <si>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</si>
  <si>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</si>
  <si>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</si>
  <si>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</si>
  <si>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</si>
  <si>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</si>
  <si>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</si>
  <si>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</si>
  <si>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</si>
  <si>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</si>
  <si>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</si>
  <si>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</si>
  <si>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</si>
  <si>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</si>
  <si>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</si>
  <si>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</si>
  <si>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</si>
  <si>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</si>
  <si>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</si>
  <si>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</si>
  <si>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</si>
  <si>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</si>
  <si>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</si>
  <si>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</si>
  <si>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</si>
  <si>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</si>
  <si>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</si>
  <si>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</si>
  <si>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</si>
  <si>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</si>
  <si>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</si>
  <si>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</si>
  <si>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</si>
  <si>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</si>
  <si>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</si>
  <si>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</si>
  <si>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</si>
  <si>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</si>
  <si>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</si>
  <si>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</si>
  <si>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</si>
  <si>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</si>
  <si>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</si>
  <si>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</si>
  <si>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</si>
  <si>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</si>
  <si>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</si>
  <si>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</si>
  <si>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</si>
  <si>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</si>
  <si>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</si>
  <si>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</si>
  <si>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</si>
  <si>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</si>
  <si>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</si>
  <si>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</si>
  <si>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</si>
  <si>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</si>
  <si>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</si>
  <si>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</si>
  <si>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</si>
  <si>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</si>
  <si>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</si>
  <si>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</si>
  <si>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</si>
  <si>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</si>
  <si>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</si>
  <si>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</si>
  <si>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</si>
  <si>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</si>
  <si>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</si>
  <si>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</si>
  <si>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</si>
  <si>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</si>
  <si>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</si>
  <si>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</si>
  <si>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</si>
  <si>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</si>
  <si>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</si>
  <si>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</si>
  <si>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</si>
  <si>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</si>
  <si>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</si>
  <si>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</si>
  <si>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</si>
  <si>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</si>
  <si>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</si>
  <si>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</si>
  <si>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</si>
  <si>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</si>
  <si>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</si>
  <si>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</si>
  <si>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</si>
  <si>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</si>
  <si>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</si>
  <si>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</si>
  <si>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</si>
  <si>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</si>
  <si>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</si>
  <si>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</si>
  <si>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</si>
  <si>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</si>
  <si>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</si>
  <si>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</si>
  <si>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</si>
  <si>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</si>
  <si>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</si>
  <si>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</si>
  <si>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</si>
  <si>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</si>
  <si>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</si>
  <si>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</si>
  <si>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</si>
  <si>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</si>
  <si>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</si>
  <si>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</si>
  <si>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</si>
  <si>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</si>
  <si>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</si>
  <si>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</si>
  <si>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</si>
  <si>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</si>
  <si>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</si>
  <si>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</si>
  <si>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</si>
  <si>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</si>
  <si>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</si>
  <si>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</si>
  <si>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</si>
  <si>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</si>
  <si>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</si>
  <si>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</si>
  <si>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</si>
  <si>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</si>
  <si>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</si>
  <si>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</si>
  <si>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</si>
  <si>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</si>
  <si>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</si>
  <si>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</si>
  <si>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</si>
  <si>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</si>
  <si>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</si>
  <si>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</si>
  <si>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</si>
  <si>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</si>
  <si>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</si>
  <si>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</si>
  <si>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</si>
  <si>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</si>
  <si>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</si>
  <si>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</si>
  <si>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</si>
  <si>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</si>
  <si>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</si>
  <si>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Department of Labor passed through</t>
  </si>
  <si>
    <t>President's Office of Employment Training</t>
  </si>
  <si>
    <t>(Cook County):</t>
  </si>
  <si>
    <t>2017-419</t>
  </si>
  <si>
    <t>WIA Youth Activities*</t>
  </si>
  <si>
    <t>U.S. Department of Education Passed Through</t>
  </si>
  <si>
    <t>State Board of Education</t>
  </si>
  <si>
    <t>IDEA Flow Through</t>
  </si>
  <si>
    <t>IDEA - Pre School Flow Through</t>
  </si>
  <si>
    <t>18-4600-00</t>
  </si>
  <si>
    <t>Subtotal CFDA "84"</t>
  </si>
  <si>
    <t>18-4620-00</t>
  </si>
  <si>
    <t>U.S. Department of Health &amp; Human Services</t>
  </si>
  <si>
    <t xml:space="preserve">Pass Through State of Illinois Department of </t>
  </si>
  <si>
    <t>Healthcare and Family Services</t>
  </si>
  <si>
    <t>Medicaid Administrative Outreach</t>
  </si>
  <si>
    <t>18-4991-00</t>
  </si>
  <si>
    <t>Total Federal Assistance</t>
  </si>
  <si>
    <t>N/A</t>
  </si>
  <si>
    <t>x</t>
  </si>
  <si>
    <t>06-016-2040-61</t>
  </si>
  <si>
    <t>COOK</t>
  </si>
  <si>
    <t>LAGRANGE AREA DEPARTMENT OF SPECIAL EDUCATION</t>
  </si>
  <si>
    <t>1301 WEST COSSITT AVENUE</t>
  </si>
  <si>
    <t>LAGRANGE</t>
  </si>
  <si>
    <t>BRIEGLER@LADSE.ORG</t>
  </si>
  <si>
    <t>X</t>
  </si>
  <si>
    <t>EDER, CASELLA &amp; CO</t>
  </si>
  <si>
    <t>KEVIN SMITH</t>
  </si>
  <si>
    <t>5400 WEST ELM STREET, SUITE 203</t>
  </si>
  <si>
    <t>MCHENRY</t>
  </si>
  <si>
    <t>IL</t>
  </si>
  <si>
    <t>815-344-1300</t>
  </si>
  <si>
    <t>815-344-1320</t>
  </si>
  <si>
    <t>CPAS@EDERCASELLA.COM</t>
  </si>
  <si>
    <t>066-005142</t>
  </si>
  <si>
    <t>Eder, Casella &amp; Co.</t>
  </si>
  <si>
    <t>10-2300-300</t>
  </si>
  <si>
    <t>10-2540-300</t>
  </si>
  <si>
    <t>First United Methodist Church of WS</t>
  </si>
  <si>
    <t>ED - Support Services General Admin - Purchased Services</t>
  </si>
  <si>
    <t>ED - Support Services Business - Purchased Services</t>
  </si>
  <si>
    <t>Medical, Dental, and Life Insurance with District 204</t>
  </si>
  <si>
    <t>Collective Liability Insurance Cooperative</t>
  </si>
  <si>
    <t>Lyons Township Treasurer's Office</t>
  </si>
  <si>
    <t>Snow Plowing with District 204</t>
  </si>
  <si>
    <t>Page 11, Line106 - Other Local Fees</t>
  </si>
  <si>
    <t>Page 11, Line 107 - Other Local Revenues</t>
  </si>
  <si>
    <t>Page 12, Line 171 - Other Restricted Revenue from State Sources</t>
  </si>
  <si>
    <t>Page 14, Line 272 - Other Restricted Revenue from Federal Sources</t>
  </si>
  <si>
    <t>Page 16, Line 83 - Other Payments to In-State Govt. Units</t>
  </si>
  <si>
    <t>E-Rate Revenue</t>
  </si>
  <si>
    <t>Miscellaneous Revenue</t>
  </si>
  <si>
    <t>Department of Human Services Revenue</t>
  </si>
  <si>
    <t>WIA Grant and Other Grant Revenue</t>
  </si>
  <si>
    <t>Medicaid fee for service and admin assessment fee</t>
  </si>
  <si>
    <t>IDEA - Flow Through</t>
  </si>
  <si>
    <t>Unmodified</t>
  </si>
  <si>
    <t>IDEA Pre School Flow Through</t>
  </si>
  <si>
    <t>NONE</t>
  </si>
  <si>
    <t xml:space="preserve"> * Grant year was extended through 12/31/18</t>
  </si>
  <si>
    <t>Prior period adjustment for tuition revenue and WIA grant</t>
  </si>
  <si>
    <t>Page 8, Line 80 - Other Changes in Fund Balance</t>
  </si>
  <si>
    <t>The accompanying Schedule of Expenditures of Federal Awards includes the federal grant activity of LaGrange Area Department of Special Education (LADSE)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</si>
  <si>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LADSE provided federal awards to subrecipients as follows:</t>
  </si>
  <si>
    <r>
      <t xml:space="preserve">The following amounts were expended in the form of non-cash assistance by LADSE and </t>
    </r>
    <r>
      <rPr>
        <b/>
        <sz val="9"/>
        <rFont val="Calibri"/>
        <family val="2"/>
        <scheme val="minor"/>
      </rPr>
      <t>should be</t>
    </r>
    <r>
      <rPr>
        <sz val="9"/>
        <rFont val="Calibri"/>
        <family val="2"/>
        <scheme val="minor"/>
      </rPr>
      <t xml:space="preserve"> included in the Schedule of Expenditures of Federal Awards: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</si>
</sst>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41" fillId="31" borderId="0" applyNumberFormat="0" applyBorder="0" applyAlignment="0" applyProtection="0"/>
    <xf numFmtId="0" fontId="141" fillId="35"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28" borderId="0" applyNumberFormat="0" applyBorder="0" applyAlignment="0" applyProtection="0"/>
    <xf numFmtId="0" fontId="141" fillId="32" borderId="0" applyNumberFormat="0" applyBorder="0" applyAlignment="0" applyProtection="0"/>
    <xf numFmtId="0" fontId="153" fillId="32"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6"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41" fillId="31" borderId="0" applyNumberFormat="0" applyBorder="0" applyAlignment="0" applyProtection="0"/>
    <xf numFmtId="0" fontId="141" fillId="38"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194" fontId="161" fillId="0" borderId="0" applyFill="0" applyBorder="0" applyProtection="0">
      <alignment horizontal="right"/>
    </xf>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 fontId="54" fillId="0" borderId="145" xfId="3" applyNumberFormat="1" applyFont="1" applyBorder="1" applyAlignment="1" applyProtection="1">
      <alignment horizontal="left" vertical="center" wrapText="1"/>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819150</xdr:colOff>
          <xdr:row>3</xdr:row>
          <xdr:rowOff>85725</xdr:rowOff>
        </xdr:from>
        <xdr:to>
          <xdr:col>1</xdr:col>
          <xdr:colOff>1733550</xdr:colOff>
          <xdr:row>7</xdr:row>
          <xdr:rowOff>123825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3A545E7-0E21-4006-8527-D01CA2248B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pageSetUpPr fitToPage="1"/>
  </sheetPr>
  <dimension ref="A1:AB48"/>
  <sheetViews>
    <sheetView showGridLines="0" tabSelected="1" topLeftCell="A7"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c r="C5" s="26" t="s">
        <v>966</v>
      </c>
      <c r="D5" s="84"/>
      <c r="E5" s="84"/>
      <c r="H5" s="38"/>
      <c r="I5" s="2041" t="s">
        <v>701</v>
      </c>
      <c r="J5" s="1986"/>
      <c r="K5" s="1986"/>
      <c r="L5" s="1986"/>
      <c r="M5" s="1986"/>
      <c r="N5" s="1986"/>
      <c r="O5" s="1986"/>
      <c r="P5" s="1986"/>
      <c r="Q5" s="1986"/>
      <c r="R5" s="1986"/>
      <c r="S5" s="1986"/>
    </row>
    <row r="6" spans="1:28" ht="14.1" customHeight="1" x14ac:dyDescent="0.2">
      <c r="B6" s="104" t="s">
        <v>2093</v>
      </c>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t="s">
        <v>2100</v>
      </c>
      <c r="P12" s="100" t="s">
        <v>211</v>
      </c>
      <c r="Q12" s="74"/>
      <c r="R12" s="30"/>
      <c r="S12" s="30"/>
      <c r="T12" s="85" t="s">
        <v>283</v>
      </c>
      <c r="U12" s="51"/>
      <c r="V12" s="51"/>
      <c r="W12" s="51"/>
      <c r="X12" s="51"/>
      <c r="Y12" s="45"/>
      <c r="Z12" s="45"/>
      <c r="AA12" s="46"/>
    </row>
    <row r="13" spans="1:28" ht="13.5" customHeight="1" x14ac:dyDescent="0.2">
      <c r="A13" s="2002" t="s">
        <v>2094</v>
      </c>
      <c r="B13" s="2003"/>
      <c r="C13" s="2003"/>
      <c r="D13" s="2003"/>
      <c r="E13" s="2003"/>
      <c r="F13" s="2003"/>
      <c r="G13" s="2003"/>
      <c r="H13" s="2004"/>
      <c r="I13" s="31"/>
      <c r="J13" s="30"/>
      <c r="K13" s="28"/>
      <c r="L13" s="30"/>
      <c r="M13" s="30"/>
      <c r="N13" s="30"/>
      <c r="O13" s="30"/>
      <c r="P13" s="30"/>
      <c r="Q13" s="30"/>
      <c r="R13" s="30"/>
      <c r="S13" s="30"/>
      <c r="T13" s="2007" t="s">
        <v>2101</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2095</v>
      </c>
      <c r="B15" s="2005"/>
      <c r="C15" s="2005"/>
      <c r="D15" s="2005"/>
      <c r="E15" s="2005"/>
      <c r="F15" s="2005"/>
      <c r="G15" s="2005"/>
      <c r="H15" s="2006"/>
      <c r="T15" s="1968" t="s">
        <v>2102</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2096</v>
      </c>
      <c r="B17" s="2030"/>
      <c r="C17" s="2030"/>
      <c r="D17" s="2030"/>
      <c r="E17" s="2030"/>
      <c r="F17" s="2030"/>
      <c r="G17" s="2030"/>
      <c r="H17" s="2031"/>
      <c r="T17" s="2017" t="s">
        <v>2103</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2097</v>
      </c>
      <c r="B19" s="2001"/>
      <c r="C19" s="2001"/>
      <c r="D19" s="2001"/>
      <c r="E19" s="2001"/>
      <c r="F19" s="2001"/>
      <c r="G19" s="2001"/>
      <c r="H19" s="1999"/>
      <c r="I19" s="30"/>
      <c r="J19" s="99"/>
      <c r="K19" s="40"/>
      <c r="L19" s="38"/>
      <c r="M19" s="112" t="s">
        <v>333</v>
      </c>
      <c r="P19" s="27"/>
      <c r="Q19" s="27"/>
      <c r="R19" s="27"/>
      <c r="S19" s="31"/>
      <c r="T19" s="2000" t="s">
        <v>2104</v>
      </c>
      <c r="U19" s="1998"/>
      <c r="V19" s="1998"/>
      <c r="W19" s="1999"/>
      <c r="X19" s="2015" t="s">
        <v>2105</v>
      </c>
      <c r="Y19" s="2016"/>
      <c r="Z19" s="2013">
        <v>60050</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2098</v>
      </c>
      <c r="B21" s="1998"/>
      <c r="C21" s="1998"/>
      <c r="D21" s="1998"/>
      <c r="E21" s="1998"/>
      <c r="F21" s="1998"/>
      <c r="G21" s="1998"/>
      <c r="H21" s="1999"/>
      <c r="I21" s="2023" t="s">
        <v>699</v>
      </c>
      <c r="J21" s="1986"/>
      <c r="K21" s="1986"/>
      <c r="L21" s="1986"/>
      <c r="M21" s="1986"/>
      <c r="N21" s="1986"/>
      <c r="O21" s="1986"/>
      <c r="P21" s="1986"/>
      <c r="Q21" s="1986"/>
      <c r="R21" s="1986"/>
      <c r="S21" s="1987"/>
      <c r="T21" s="1965" t="s">
        <v>2106</v>
      </c>
      <c r="U21" s="1966"/>
      <c r="V21" s="1966"/>
      <c r="W21" s="1966"/>
      <c r="X21" s="1979" t="s">
        <v>2107</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2099</v>
      </c>
      <c r="B23" s="2021"/>
      <c r="C23" s="2021"/>
      <c r="D23" s="2021"/>
      <c r="E23" s="2021"/>
      <c r="F23" s="2021"/>
      <c r="G23" s="2021"/>
      <c r="H23" s="2022"/>
      <c r="T23" s="1960" t="s">
        <v>2109</v>
      </c>
      <c r="U23" s="1961"/>
      <c r="V23" s="1961"/>
      <c r="W23" s="1961"/>
      <c r="X23" s="1976">
        <v>44530</v>
      </c>
      <c r="Y23" s="1977"/>
      <c r="Z23" s="1977"/>
      <c r="AA23" s="1978"/>
    </row>
    <row r="24" spans="1:27" ht="14.1" customHeight="1" x14ac:dyDescent="0.2">
      <c r="A24" s="88" t="s">
        <v>698</v>
      </c>
      <c r="B24" s="49"/>
      <c r="C24" s="49"/>
      <c r="D24" s="49"/>
      <c r="E24" s="49"/>
      <c r="F24" s="49"/>
      <c r="G24" s="49"/>
      <c r="H24" s="61"/>
      <c r="J24" s="2062" t="str">
        <f>IF(B5="x",IF(AUDITCHECK!D29="AFR form Incomplete.","",IF(AUDITCHECK!D29="Deficit reduction plan is required.","School District must complete a deficit reduction plan in the 2018-2019 Budget",)),"")</f>
        <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60525</v>
      </c>
      <c r="B25" s="1998"/>
      <c r="C25" s="1998"/>
      <c r="D25" s="1998"/>
      <c r="E25" s="1998"/>
      <c r="F25" s="1998"/>
      <c r="G25" s="1998"/>
      <c r="H25" s="1999"/>
      <c r="I25" s="113"/>
      <c r="J25" s="2064"/>
      <c r="K25" s="2064"/>
      <c r="L25" s="2064"/>
      <c r="M25" s="2064"/>
      <c r="N25" s="2064"/>
      <c r="O25" s="2064"/>
      <c r="P25" s="2064"/>
      <c r="Q25" s="2064"/>
      <c r="R25" s="2064"/>
      <c r="S25" s="2065"/>
      <c r="T25" s="1957" t="s">
        <v>2108</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2100</v>
      </c>
      <c r="F29" s="141" t="s">
        <v>1383</v>
      </c>
      <c r="G29" s="114"/>
      <c r="I29" s="54"/>
      <c r="J29" s="148" t="s">
        <v>2100</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2100</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2100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c r="B42" s="2047"/>
      <c r="C42" s="2048"/>
      <c r="D42" s="2061"/>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9" t="s">
        <v>1902</v>
      </c>
      <c r="B2" s="1548" t="s">
        <v>2034</v>
      </c>
      <c r="C2" s="715" t="s">
        <v>1907</v>
      </c>
      <c r="D2" s="715" t="s">
        <v>1908</v>
      </c>
      <c r="E2" s="715" t="s">
        <v>1909</v>
      </c>
      <c r="F2" s="715" t="s">
        <v>1910</v>
      </c>
    </row>
    <row r="3" spans="1:6" ht="12" customHeight="1" x14ac:dyDescent="0.2">
      <c r="A3" s="2200"/>
      <c r="B3" s="1545"/>
      <c r="C3" s="1546"/>
      <c r="D3" s="1547" t="s">
        <v>274</v>
      </c>
      <c r="E3" s="1546"/>
      <c r="F3" s="1547" t="s">
        <v>275</v>
      </c>
    </row>
    <row r="4" spans="1:6" ht="13.7" customHeight="1" x14ac:dyDescent="0.2">
      <c r="A4" s="716" t="s">
        <v>1217</v>
      </c>
      <c r="B4" s="1769">
        <f>'Revenues 9-14'!C5</f>
        <v>0</v>
      </c>
      <c r="C4" s="1544"/>
      <c r="D4" s="1772">
        <f>B4-C4</f>
        <v>0</v>
      </c>
      <c r="E4" s="1544"/>
      <c r="F4" s="1772">
        <f>E4-C4</f>
        <v>0</v>
      </c>
    </row>
    <row r="5" spans="1:6" ht="13.7" customHeight="1" x14ac:dyDescent="0.2">
      <c r="A5" s="716" t="s">
        <v>925</v>
      </c>
      <c r="B5" s="1770">
        <f>'Revenues 9-14'!D5</f>
        <v>0</v>
      </c>
      <c r="C5" s="585"/>
      <c r="D5" s="1773">
        <f t="shared" ref="D5:D18" si="0">B5-C5</f>
        <v>0</v>
      </c>
      <c r="E5" s="585"/>
      <c r="F5" s="1773">
        <f>E5-C5</f>
        <v>0</v>
      </c>
    </row>
    <row r="6" spans="1:6" ht="13.7" customHeight="1" x14ac:dyDescent="0.2">
      <c r="A6" s="716" t="s">
        <v>431</v>
      </c>
      <c r="B6" s="1770">
        <f>'Revenues 9-14'!E5</f>
        <v>0</v>
      </c>
      <c r="C6" s="585"/>
      <c r="D6" s="1773">
        <f t="shared" si="0"/>
        <v>0</v>
      </c>
      <c r="E6" s="585"/>
      <c r="F6" s="1773">
        <f t="shared" ref="F6:F18" si="1">E6-C6</f>
        <v>0</v>
      </c>
    </row>
    <row r="7" spans="1:6" ht="13.7" customHeight="1" x14ac:dyDescent="0.2">
      <c r="A7" s="716" t="s">
        <v>157</v>
      </c>
      <c r="B7" s="1770">
        <f>'Revenues 9-14'!F5</f>
        <v>0</v>
      </c>
      <c r="C7" s="585"/>
      <c r="D7" s="1773">
        <f t="shared" si="0"/>
        <v>0</v>
      </c>
      <c r="E7" s="585"/>
      <c r="F7" s="1773">
        <f t="shared" si="1"/>
        <v>0</v>
      </c>
    </row>
    <row r="8" spans="1:6" ht="13.7" customHeight="1" x14ac:dyDescent="0.2">
      <c r="A8" s="716" t="s">
        <v>1241</v>
      </c>
      <c r="B8" s="1770">
        <f>'Revenues 9-14'!G5</f>
        <v>0</v>
      </c>
      <c r="C8" s="585"/>
      <c r="D8" s="1773">
        <f t="shared" si="0"/>
        <v>0</v>
      </c>
      <c r="E8" s="585"/>
      <c r="F8" s="1773">
        <f t="shared" si="1"/>
        <v>0</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0</v>
      </c>
      <c r="C10" s="585"/>
      <c r="D10" s="1773">
        <f t="shared" si="0"/>
        <v>0</v>
      </c>
      <c r="E10" s="585"/>
      <c r="F10" s="1773">
        <f t="shared" si="1"/>
        <v>0</v>
      </c>
    </row>
    <row r="11" spans="1:6" x14ac:dyDescent="0.2">
      <c r="A11" s="716" t="s">
        <v>429</v>
      </c>
      <c r="B11" s="1770">
        <f>'Revenues 9-14'!J5</f>
        <v>0</v>
      </c>
      <c r="C11" s="585"/>
      <c r="D11" s="1773">
        <f t="shared" si="0"/>
        <v>0</v>
      </c>
      <c r="E11" s="585"/>
      <c r="F11" s="1773">
        <f t="shared" si="1"/>
        <v>0</v>
      </c>
    </row>
    <row r="12" spans="1:6" ht="13.7" customHeight="1" x14ac:dyDescent="0.2">
      <c r="A12" s="716" t="s">
        <v>159</v>
      </c>
      <c r="B12" s="1770">
        <f>'Revenues 9-14'!K5</f>
        <v>0</v>
      </c>
      <c r="C12" s="585"/>
      <c r="D12" s="1773">
        <f t="shared" si="0"/>
        <v>0</v>
      </c>
      <c r="E12" s="585"/>
      <c r="F12" s="1773">
        <f t="shared" si="1"/>
        <v>0</v>
      </c>
    </row>
    <row r="13" spans="1:6" ht="13.7" customHeight="1" x14ac:dyDescent="0.2">
      <c r="A13" s="716" t="s">
        <v>993</v>
      </c>
      <c r="B13" s="1770">
        <f>SUM('Revenues 9-14'!C6:D6)</f>
        <v>0</v>
      </c>
      <c r="C13" s="585"/>
      <c r="D13" s="1773">
        <f t="shared" si="0"/>
        <v>0</v>
      </c>
      <c r="E13" s="585"/>
      <c r="F13" s="1773">
        <f t="shared" si="1"/>
        <v>0</v>
      </c>
    </row>
    <row r="14" spans="1:6" ht="13.7" customHeight="1" x14ac:dyDescent="0.2">
      <c r="A14" s="716" t="s">
        <v>430</v>
      </c>
      <c r="B14" s="1770">
        <f>SUM('Revenues 9-14'!C7:D7,'Revenues 9-14'!F7:H7)</f>
        <v>0</v>
      </c>
      <c r="C14" s="585"/>
      <c r="D14" s="1773">
        <f t="shared" si="0"/>
        <v>0</v>
      </c>
      <c r="E14" s="585"/>
      <c r="F14" s="1773">
        <f t="shared" si="1"/>
        <v>0</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0</v>
      </c>
      <c r="C16" s="585"/>
      <c r="D16" s="1773">
        <f t="shared" si="0"/>
        <v>0</v>
      </c>
      <c r="E16" s="585"/>
      <c r="F16" s="1773">
        <f t="shared" si="1"/>
        <v>0</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0</v>
      </c>
      <c r="C19" s="1771">
        <f>SUM(C4:C18)</f>
        <v>0</v>
      </c>
      <c r="D19" s="1771">
        <f>SUM(D4:D18)</f>
        <v>0</v>
      </c>
      <c r="E19" s="1771">
        <f>SUM(E4:E18)</f>
        <v>0</v>
      </c>
      <c r="F19" s="1771">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K59"/>
  <sheetViews>
    <sheetView showGridLines="0" defaultGridColor="0" colorId="8" zoomScale="110" zoomScaleNormal="110" workbookViewId="0">
      <selection sqref="A1:C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1902</v>
      </c>
      <c r="B2" s="2215"/>
      <c r="C2" s="1907" t="s">
        <v>2035</v>
      </c>
      <c r="D2" s="724" t="s">
        <v>2042</v>
      </c>
      <c r="E2" s="724" t="s">
        <v>2043</v>
      </c>
      <c r="F2" s="1907" t="s">
        <v>2036</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5">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03" t="s">
        <v>652</v>
      </c>
      <c r="B15" s="2204"/>
      <c r="C15" s="1775">
        <f>SUM(C6:C14)</f>
        <v>0</v>
      </c>
      <c r="D15" s="1775">
        <f>SUM(D6:D14)</f>
        <v>0</v>
      </c>
      <c r="E15" s="1775">
        <f>SUM(E6:E14)</f>
        <v>0</v>
      </c>
      <c r="F15" s="1775">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5">
        <f>SUM(C17+D17)-E17</f>
        <v>0</v>
      </c>
    </row>
    <row r="18" spans="1:11" ht="12.75" customHeight="1" thickTop="1" thickBot="1" x14ac:dyDescent="0.25">
      <c r="A18" s="2226" t="s">
        <v>6</v>
      </c>
      <c r="B18" s="2227"/>
      <c r="C18" s="727"/>
      <c r="D18" s="585"/>
      <c r="E18" s="727"/>
      <c r="F18" s="1775">
        <f>SUM(C18+D18)-E18</f>
        <v>0</v>
      </c>
    </row>
    <row r="19" spans="1:11" ht="12.75" customHeight="1" thickTop="1" thickBot="1" x14ac:dyDescent="0.25">
      <c r="A19" s="2226" t="s">
        <v>406</v>
      </c>
      <c r="B19" s="2227"/>
      <c r="C19" s="727"/>
      <c r="D19" s="585"/>
      <c r="E19" s="727"/>
      <c r="F19" s="1775">
        <f>SUM(C19+D19)-E19</f>
        <v>0</v>
      </c>
    </row>
    <row r="20" spans="1:11" ht="12.75" customHeight="1" thickTop="1" thickBot="1" x14ac:dyDescent="0.25">
      <c r="A20" s="2226" t="s">
        <v>468</v>
      </c>
      <c r="B20" s="2227"/>
      <c r="C20" s="727"/>
      <c r="D20" s="585"/>
      <c r="E20" s="727"/>
      <c r="F20" s="1775">
        <f>SUM(C20+D20)-E20</f>
        <v>0</v>
      </c>
    </row>
    <row r="21" spans="1:11" ht="14.25" thickTop="1" thickBot="1" x14ac:dyDescent="0.25">
      <c r="A21" s="2203" t="s">
        <v>653</v>
      </c>
      <c r="B21" s="2204"/>
      <c r="C21" s="1775">
        <f>SUM(C17:C20)</f>
        <v>0</v>
      </c>
      <c r="D21" s="1775">
        <f>SUM(D17:D20)</f>
        <v>0</v>
      </c>
      <c r="E21" s="1775">
        <f>SUM(E17:E20)</f>
        <v>0</v>
      </c>
      <c r="F21" s="1775">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5">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5">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5">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49" t="s">
        <v>1131</v>
      </c>
      <c r="B30" s="731" t="s">
        <v>1186</v>
      </c>
      <c r="C30" s="1908" t="s">
        <v>604</v>
      </c>
      <c r="D30" s="1908" t="s">
        <v>1772</v>
      </c>
      <c r="E30" s="1908" t="s">
        <v>2037</v>
      </c>
      <c r="F30" s="1908" t="s">
        <v>2038</v>
      </c>
      <c r="G30" s="1908" t="s">
        <v>2041</v>
      </c>
      <c r="H30" s="1908" t="s">
        <v>2039</v>
      </c>
      <c r="I30" s="1908" t="s">
        <v>2040</v>
      </c>
      <c r="J30" s="1909" t="s">
        <v>2</v>
      </c>
      <c r="K30" s="732"/>
    </row>
    <row r="31" spans="1:11" ht="12" customHeight="1" x14ac:dyDescent="0.2">
      <c r="A31" s="733"/>
      <c r="B31" s="734"/>
      <c r="C31" s="735"/>
      <c r="D31" s="736"/>
      <c r="E31" s="735"/>
      <c r="F31" s="735"/>
      <c r="G31" s="735"/>
      <c r="H31" s="735"/>
      <c r="I31" s="1776">
        <f>((E31+F31)-H31)+G31</f>
        <v>0</v>
      </c>
      <c r="J31" s="735"/>
      <c r="K31" s="737"/>
    </row>
    <row r="32" spans="1:11" ht="12" customHeight="1" x14ac:dyDescent="0.2">
      <c r="A32" s="733"/>
      <c r="B32" s="734"/>
      <c r="C32" s="735"/>
      <c r="D32" s="736"/>
      <c r="E32" s="735"/>
      <c r="F32" s="735"/>
      <c r="G32" s="735"/>
      <c r="H32" s="735"/>
      <c r="I32" s="1776">
        <f>((E32+F32)-H32)+G32</f>
        <v>0</v>
      </c>
      <c r="J32" s="735"/>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0</v>
      </c>
      <c r="D49" s="746"/>
      <c r="E49" s="1776">
        <f t="shared" ref="E49:J49" si="2">SUM(E31:E48)</f>
        <v>0</v>
      </c>
      <c r="F49" s="1776">
        <f t="shared" si="2"/>
        <v>0</v>
      </c>
      <c r="G49" s="1776">
        <f t="shared" si="2"/>
        <v>0</v>
      </c>
      <c r="H49" s="1776">
        <f t="shared" si="2"/>
        <v>0</v>
      </c>
      <c r="I49" s="1776">
        <f t="shared" si="2"/>
        <v>0</v>
      </c>
      <c r="J49" s="1776">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pageSetUpPr fitToPage="1"/>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0"/>
      <c r="I1" s="761"/>
      <c r="J1" s="433"/>
    </row>
    <row r="2" spans="1:11" ht="26.25" x14ac:dyDescent="0.2">
      <c r="A2" s="2233" t="s">
        <v>1776</v>
      </c>
      <c r="B2" s="2234"/>
      <c r="C2" s="2234"/>
      <c r="D2" s="2234"/>
      <c r="E2" s="2235"/>
      <c r="F2" s="762" t="s">
        <v>960</v>
      </c>
      <c r="G2" s="763" t="s">
        <v>1773</v>
      </c>
      <c r="H2" s="763" t="s">
        <v>430</v>
      </c>
      <c r="I2" s="763" t="s">
        <v>1220</v>
      </c>
      <c r="J2" s="763" t="s">
        <v>1916</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1917</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7"/>
      <c r="G12" s="1778">
        <f>SUM(G5:G11)</f>
        <v>0</v>
      </c>
      <c r="H12" s="1778">
        <f>SUM(H5:H11)</f>
        <v>0</v>
      </c>
      <c r="I12" s="1778">
        <f>SUM(I5:I11)</f>
        <v>0</v>
      </c>
      <c r="J12" s="1778">
        <f>SUM(J5:J11)</f>
        <v>0</v>
      </c>
      <c r="K12" s="1778">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1913</v>
      </c>
      <c r="B19" s="2265"/>
      <c r="C19" s="2265"/>
      <c r="D19" s="2265"/>
      <c r="E19" s="2266"/>
      <c r="F19" s="790" t="s">
        <v>990</v>
      </c>
      <c r="G19" s="783"/>
      <c r="H19" s="783"/>
      <c r="I19" s="783"/>
      <c r="J19" s="766"/>
      <c r="K19" s="796"/>
    </row>
    <row r="20" spans="1:11" x14ac:dyDescent="0.2">
      <c r="A20" s="2244" t="s">
        <v>1918</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79"/>
      <c r="G21" s="793"/>
      <c r="H21" s="797"/>
      <c r="I21" s="797"/>
      <c r="J21" s="1780">
        <f>SUM(J18:J20)</f>
        <v>0</v>
      </c>
      <c r="K21" s="794"/>
    </row>
    <row r="22" spans="1:11" ht="13.5" thickTop="1" x14ac:dyDescent="0.2">
      <c r="A22" s="2230" t="s">
        <v>1919</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1"/>
      <c r="G23" s="1778">
        <f>SUM(G14:G16,G21,G22)</f>
        <v>0</v>
      </c>
      <c r="H23" s="1778">
        <f>SUM(H14:H16,H21,H22)</f>
        <v>0</v>
      </c>
      <c r="I23" s="1778">
        <f>SUM(I14:I16,I21,I22)</f>
        <v>0</v>
      </c>
      <c r="J23" s="1778">
        <f>SUM(J14:J16,J21,J22)</f>
        <v>0</v>
      </c>
      <c r="K23" s="1778">
        <f>SUM(K14:K16,K21,K22)</f>
        <v>0</v>
      </c>
    </row>
    <row r="24" spans="1:11" ht="14.25" thickTop="1" thickBot="1" x14ac:dyDescent="0.25">
      <c r="A24" s="2251" t="s">
        <v>2023</v>
      </c>
      <c r="B24" s="2250"/>
      <c r="C24" s="2250"/>
      <c r="D24" s="2250"/>
      <c r="E24" s="2250"/>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2033</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1" t="s">
        <v>1914</v>
      </c>
      <c r="B46" s="408" t="s">
        <v>1774</v>
      </c>
    </row>
    <row r="47" spans="1:11" s="824" customFormat="1" ht="12.75" customHeight="1" x14ac:dyDescent="0.2">
      <c r="A47" s="822"/>
      <c r="B47" s="823" t="s">
        <v>1775</v>
      </c>
      <c r="E47" s="823"/>
      <c r="K47" s="825"/>
    </row>
    <row r="48" spans="1:11" ht="12.75" customHeight="1" x14ac:dyDescent="0.2">
      <c r="A48" s="1552"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73" bottom="0.4" header="0.42"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2032</v>
      </c>
      <c r="B1" s="2270"/>
      <c r="C1" s="2271"/>
      <c r="D1" s="827"/>
      <c r="E1" s="828"/>
      <c r="F1" s="828"/>
      <c r="G1" s="829"/>
      <c r="H1" s="830"/>
      <c r="I1" s="831"/>
      <c r="J1" s="2267"/>
      <c r="K1" s="2268"/>
      <c r="L1" s="2268"/>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9" t="s">
        <v>948</v>
      </c>
      <c r="B3" s="1650">
        <v>210</v>
      </c>
      <c r="C3" s="836"/>
      <c r="D3" s="836"/>
      <c r="E3" s="836"/>
      <c r="F3" s="1780">
        <f>(C3+D3)-E3</f>
        <v>0</v>
      </c>
      <c r="G3" s="837"/>
      <c r="H3" s="836"/>
      <c r="I3" s="836"/>
      <c r="J3" s="836"/>
      <c r="K3" s="1789">
        <f>(H3+I3)-J3</f>
        <v>0</v>
      </c>
      <c r="L3" s="1789">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949</v>
      </c>
      <c r="B5" s="841">
        <v>221</v>
      </c>
      <c r="C5" s="842"/>
      <c r="D5" s="842"/>
      <c r="E5" s="842"/>
      <c r="F5" s="1780">
        <f>(C5+D5)-E5</f>
        <v>0</v>
      </c>
      <c r="G5" s="838"/>
      <c r="H5" s="843"/>
      <c r="I5" s="843"/>
      <c r="J5" s="843"/>
      <c r="K5" s="794"/>
      <c r="L5" s="1789">
        <f>F5-K5</f>
        <v>0</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1180</v>
      </c>
      <c r="B8" s="841">
        <v>231</v>
      </c>
      <c r="C8" s="845">
        <v>402203</v>
      </c>
      <c r="D8" s="845"/>
      <c r="E8" s="845"/>
      <c r="F8" s="1780">
        <f>(C8+D8)-E8</f>
        <v>402203</v>
      </c>
      <c r="G8" s="844">
        <v>50</v>
      </c>
      <c r="H8" s="766">
        <v>382948</v>
      </c>
      <c r="I8" s="766">
        <v>1510</v>
      </c>
      <c r="J8" s="766"/>
      <c r="K8" s="1789">
        <f>(H8+I8)-J8</f>
        <v>384458</v>
      </c>
      <c r="L8" s="1789">
        <f>F8-K8</f>
        <v>17745</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236553</v>
      </c>
      <c r="D10" s="847"/>
      <c r="E10" s="847"/>
      <c r="F10" s="1784">
        <f>(C10+D10)-E10</f>
        <v>236553</v>
      </c>
      <c r="G10" s="844">
        <v>20</v>
      </c>
      <c r="H10" s="848">
        <v>124725</v>
      </c>
      <c r="I10" s="848">
        <v>11828</v>
      </c>
      <c r="J10" s="848"/>
      <c r="K10" s="1789">
        <f>(H10+I10)-J10</f>
        <v>136553</v>
      </c>
      <c r="L10" s="1789">
        <f>F10-K10</f>
        <v>100000</v>
      </c>
    </row>
    <row r="11" spans="1:14" ht="13.5" thickTop="1" x14ac:dyDescent="0.2">
      <c r="A11" s="1652" t="s">
        <v>1198</v>
      </c>
      <c r="B11" s="1650">
        <v>250</v>
      </c>
      <c r="C11" s="782"/>
      <c r="D11" s="782"/>
      <c r="E11" s="782"/>
      <c r="F11" s="774"/>
      <c r="G11" s="844"/>
      <c r="H11" s="782"/>
      <c r="I11" s="782"/>
      <c r="J11" s="782"/>
      <c r="K11" s="774"/>
      <c r="L11" s="774"/>
    </row>
    <row r="12" spans="1:14" ht="13.5" thickBot="1" x14ac:dyDescent="0.25">
      <c r="A12" s="849" t="s">
        <v>1183</v>
      </c>
      <c r="B12" s="841">
        <v>251</v>
      </c>
      <c r="C12" s="845">
        <v>125509</v>
      </c>
      <c r="D12" s="845"/>
      <c r="E12" s="845">
        <f>1949+7304</f>
        <v>9253</v>
      </c>
      <c r="F12" s="1780">
        <f>(C12+D12)-E12</f>
        <v>116256</v>
      </c>
      <c r="G12" s="844">
        <v>10</v>
      </c>
      <c r="H12" s="766">
        <v>84917</v>
      </c>
      <c r="I12" s="766">
        <f>8746-600</f>
        <v>8146</v>
      </c>
      <c r="J12" s="766">
        <v>9253</v>
      </c>
      <c r="K12" s="1789">
        <f>(H12+I12)-J12</f>
        <v>83810</v>
      </c>
      <c r="L12" s="1789">
        <f>F12-K12</f>
        <v>32446</v>
      </c>
    </row>
    <row r="13" spans="1:14" ht="14.25" thickTop="1" thickBot="1" x14ac:dyDescent="0.25">
      <c r="A13" s="849" t="s">
        <v>1184</v>
      </c>
      <c r="B13" s="841">
        <v>252</v>
      </c>
      <c r="C13" s="845">
        <v>43614</v>
      </c>
      <c r="D13" s="845"/>
      <c r="E13" s="845">
        <f>1623+1300+6000+1178+1518</f>
        <v>11619</v>
      </c>
      <c r="F13" s="1780">
        <f>(C13+D13)-E13</f>
        <v>31995</v>
      </c>
      <c r="G13" s="844">
        <v>5</v>
      </c>
      <c r="H13" s="766">
        <v>42714</v>
      </c>
      <c r="I13" s="766">
        <v>600</v>
      </c>
      <c r="J13" s="766">
        <v>11319</v>
      </c>
      <c r="K13" s="1789">
        <f>(H13+I13)-J13</f>
        <v>31995</v>
      </c>
      <c r="L13" s="1789">
        <f>F13-K13</f>
        <v>0</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1" t="s">
        <v>549</v>
      </c>
      <c r="B15" s="1650">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807879</v>
      </c>
      <c r="D16" s="1780">
        <f>SUM(D3,D5:D6,D8:D10,D12:D15)</f>
        <v>0</v>
      </c>
      <c r="E16" s="1780">
        <f>SUM(E3,E5:E6,E8:E10,E12:E15)</f>
        <v>20872</v>
      </c>
      <c r="F16" s="1780">
        <f>SUM(F3,F5:F6,F8:F10,F12:F15)</f>
        <v>787007</v>
      </c>
      <c r="G16" s="844"/>
      <c r="H16" s="1780">
        <f>SUM(H3,H6,H8:H10,H12:H14,)</f>
        <v>635304</v>
      </c>
      <c r="I16" s="1780">
        <f>SUM(I3,I6,I8:I10,I12:I14,)</f>
        <v>22084</v>
      </c>
      <c r="J16" s="1780">
        <f>SUM(J3,J6,J8:J10,J12:J14,)</f>
        <v>20572</v>
      </c>
      <c r="K16" s="1780">
        <f>(H16+I16)-J16</f>
        <v>636816</v>
      </c>
      <c r="L16" s="1780">
        <f>F16-K16</f>
        <v>150191</v>
      </c>
    </row>
    <row r="17" spans="1:12" ht="15" customHeight="1" thickTop="1" thickBot="1" x14ac:dyDescent="0.25">
      <c r="A17" s="1653" t="s">
        <v>309</v>
      </c>
      <c r="B17" s="1650">
        <v>700</v>
      </c>
      <c r="C17" s="770"/>
      <c r="D17" s="770"/>
      <c r="E17" s="770"/>
      <c r="F17" s="1780">
        <f>SUM('Expenditures 15-22'!I114,'Expenditures 15-22'!I151,'Expenditures 15-22'!I210,'Expenditures 15-22'!I312,'Expenditures 15-22'!I342,'Expenditures 15-22'!I367)</f>
        <v>49677</v>
      </c>
      <c r="G17" s="838">
        <v>10</v>
      </c>
      <c r="H17" s="770"/>
      <c r="I17" s="1789">
        <f>F17/G17</f>
        <v>4967.7</v>
      </c>
      <c r="J17" s="770"/>
      <c r="K17" s="796"/>
      <c r="L17" s="796"/>
    </row>
    <row r="18" spans="1:12" ht="14.25" thickTop="1" thickBot="1" x14ac:dyDescent="0.25">
      <c r="A18" s="1787" t="s">
        <v>706</v>
      </c>
      <c r="B18" s="1788"/>
      <c r="C18" s="772"/>
      <c r="D18" s="772"/>
      <c r="E18" s="772"/>
      <c r="F18" s="851"/>
      <c r="G18" s="852"/>
      <c r="H18" s="774"/>
      <c r="I18" s="1780">
        <f>SUM(I16,I17)</f>
        <v>27051.7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H206"/>
  <sheetViews>
    <sheetView showGridLines="0" defaultGridColor="0" colorId="8" zoomScale="110" zoomScaleNormal="110" workbookViewId="0">
      <pane ySplit="5" topLeftCell="A161" activePane="bottomLeft" state="frozen"/>
      <selection pane="bottomLeft" activeCell="F53" sqref="F5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23064911</v>
      </c>
      <c r="G8" s="866"/>
    </row>
    <row r="9" spans="1:7" x14ac:dyDescent="0.2">
      <c r="A9" s="870" t="s">
        <v>480</v>
      </c>
      <c r="B9" s="871" t="s">
        <v>1986</v>
      </c>
      <c r="C9" s="872"/>
      <c r="D9" s="870" t="s">
        <v>522</v>
      </c>
      <c r="E9" s="869"/>
      <c r="F9" s="1933">
        <f>'Expenditures 15-22'!K151</f>
        <v>0</v>
      </c>
      <c r="G9" s="873"/>
    </row>
    <row r="10" spans="1:7" x14ac:dyDescent="0.2">
      <c r="A10" s="870" t="s">
        <v>520</v>
      </c>
      <c r="B10" s="871" t="s">
        <v>1987</v>
      </c>
      <c r="C10" s="872"/>
      <c r="D10" s="870" t="s">
        <v>522</v>
      </c>
      <c r="E10" s="869"/>
      <c r="F10" s="1933">
        <f>'Expenditures 15-22'!K174</f>
        <v>0</v>
      </c>
      <c r="G10" s="873"/>
    </row>
    <row r="11" spans="1:7" x14ac:dyDescent="0.2">
      <c r="A11" s="870" t="s">
        <v>481</v>
      </c>
      <c r="B11" s="871" t="s">
        <v>1988</v>
      </c>
      <c r="C11" s="872"/>
      <c r="D11" s="870" t="s">
        <v>522</v>
      </c>
      <c r="E11" s="869"/>
      <c r="F11" s="1933">
        <f>'Expenditures 15-22'!K210</f>
        <v>0</v>
      </c>
      <c r="G11" s="873"/>
    </row>
    <row r="12" spans="1:7" x14ac:dyDescent="0.2">
      <c r="A12" s="870" t="s">
        <v>482</v>
      </c>
      <c r="B12" s="871" t="s">
        <v>1989</v>
      </c>
      <c r="C12" s="872"/>
      <c r="D12" s="870" t="s">
        <v>522</v>
      </c>
      <c r="E12" s="869"/>
      <c r="F12" s="1933">
        <f>'Expenditures 15-22'!K295</f>
        <v>0</v>
      </c>
      <c r="G12" s="873"/>
    </row>
    <row r="13" spans="1:7" x14ac:dyDescent="0.2">
      <c r="A13" s="870" t="s">
        <v>108</v>
      </c>
      <c r="B13" s="871" t="s">
        <v>1990</v>
      </c>
      <c r="C13" s="872"/>
      <c r="D13" s="870" t="s">
        <v>522</v>
      </c>
      <c r="E13" s="869"/>
      <c r="F13" s="1933">
        <f>'Expenditures 15-22'!K342</f>
        <v>0</v>
      </c>
      <c r="G13" s="874"/>
    </row>
    <row r="14" spans="1:7" ht="12" customHeight="1" thickBot="1" x14ac:dyDescent="0.25">
      <c r="A14" s="1790"/>
      <c r="B14" s="1791"/>
      <c r="C14" s="1792"/>
      <c r="D14" s="1793" t="s">
        <v>522</v>
      </c>
      <c r="E14" s="1794" t="s">
        <v>1015</v>
      </c>
      <c r="F14" s="1795">
        <f>SUM(F8:F13)</f>
        <v>23064911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10694</v>
      </c>
      <c r="G52" s="866"/>
    </row>
    <row r="53" spans="1:7" x14ac:dyDescent="0.2">
      <c r="A53" s="870" t="s">
        <v>479</v>
      </c>
      <c r="B53" s="870" t="s">
        <v>1551</v>
      </c>
      <c r="C53" s="890">
        <f>'Expenditures 15-22'!B102</f>
        <v>4000</v>
      </c>
      <c r="D53" s="889" t="str">
        <f>'Expenditures 15-22'!A102</f>
        <v>Total Payments to Other Govt Units</v>
      </c>
      <c r="E53" s="869"/>
      <c r="F53" s="1937">
        <f>'Expenditures 15-22'!K102</f>
        <v>1861860</v>
      </c>
      <c r="G53" s="866"/>
    </row>
    <row r="54" spans="1:7" x14ac:dyDescent="0.2">
      <c r="A54" s="870" t="s">
        <v>479</v>
      </c>
      <c r="B54" s="870" t="s">
        <v>1552</v>
      </c>
      <c r="C54" s="890" t="s">
        <v>1039</v>
      </c>
      <c r="D54" s="886" t="s">
        <v>1157</v>
      </c>
      <c r="E54" s="869"/>
      <c r="F54" s="1937">
        <f>'Expenditures 15-22'!G114</f>
        <v>0</v>
      </c>
      <c r="G54" s="866"/>
    </row>
    <row r="55" spans="1:7" x14ac:dyDescent="0.2">
      <c r="A55" s="870" t="s">
        <v>479</v>
      </c>
      <c r="B55" s="870" t="s">
        <v>1553</v>
      </c>
      <c r="C55" s="890" t="s">
        <v>1039</v>
      </c>
      <c r="D55" s="886" t="s">
        <v>309</v>
      </c>
      <c r="E55" s="869"/>
      <c r="F55" s="1937">
        <f>'Expenditures 15-22'!I114</f>
        <v>49677</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7">
        <f>'Expenditures 15-22'!K139</f>
        <v>0</v>
      </c>
      <c r="G57" s="866"/>
    </row>
    <row r="58" spans="1:7" x14ac:dyDescent="0.2">
      <c r="A58" s="870" t="s">
        <v>480</v>
      </c>
      <c r="B58" s="870" t="s">
        <v>1992</v>
      </c>
      <c r="C58" s="887" t="s">
        <v>1039</v>
      </c>
      <c r="D58" s="886" t="s">
        <v>1157</v>
      </c>
      <c r="E58" s="869"/>
      <c r="F58" s="1939">
        <f>'Expenditures 15-22'!G151</f>
        <v>0</v>
      </c>
      <c r="G58" s="866"/>
    </row>
    <row r="59" spans="1:7" x14ac:dyDescent="0.2">
      <c r="A59" s="894" t="s">
        <v>480</v>
      </c>
      <c r="B59" s="857" t="s">
        <v>1993</v>
      </c>
      <c r="C59" s="895" t="s">
        <v>1039</v>
      </c>
      <c r="D59" s="857" t="s">
        <v>309</v>
      </c>
      <c r="F59" s="1940">
        <f>'Expenditures 15-22'!I151</f>
        <v>0</v>
      </c>
      <c r="G59" s="866"/>
    </row>
    <row r="60" spans="1:7" x14ac:dyDescent="0.2">
      <c r="A60" s="894" t="s">
        <v>520</v>
      </c>
      <c r="B60" s="857" t="s">
        <v>1994</v>
      </c>
      <c r="C60" s="895">
        <v>4000</v>
      </c>
      <c r="D60" s="857" t="s">
        <v>330</v>
      </c>
      <c r="F60" s="1938">
        <f>'Expenditures 15-22'!K160</f>
        <v>0</v>
      </c>
      <c r="G60" s="866"/>
    </row>
    <row r="61" spans="1:7" x14ac:dyDescent="0.2">
      <c r="A61" s="896" t="s">
        <v>520</v>
      </c>
      <c r="B61" s="896" t="s">
        <v>1995</v>
      </c>
      <c r="C61" s="897" t="str">
        <f>'Expenditures 15-22'!B170</f>
        <v>5300</v>
      </c>
      <c r="D61" s="898" t="s">
        <v>329</v>
      </c>
      <c r="E61" s="880"/>
      <c r="F61" s="1937">
        <f>'Expenditures 15-22'!K170</f>
        <v>0</v>
      </c>
      <c r="G61" s="866"/>
    </row>
    <row r="62" spans="1:7" x14ac:dyDescent="0.2">
      <c r="A62" s="870" t="s">
        <v>481</v>
      </c>
      <c r="B62" s="870" t="s">
        <v>1996</v>
      </c>
      <c r="C62" s="887">
        <f>'Expenditures 15-22'!B185</f>
        <v>3000</v>
      </c>
      <c r="D62" s="877" t="s">
        <v>469</v>
      </c>
      <c r="E62" s="869"/>
      <c r="F62" s="1937">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1998</v>
      </c>
      <c r="C64" s="897" t="str">
        <f>'Expenditures 15-22'!B206</f>
        <v>5300</v>
      </c>
      <c r="D64" s="893" t="s">
        <v>329</v>
      </c>
      <c r="E64" s="869"/>
      <c r="F64" s="1937">
        <f>'Expenditures 15-22'!K206</f>
        <v>0</v>
      </c>
      <c r="G64" s="866"/>
    </row>
    <row r="65" spans="1:8" x14ac:dyDescent="0.2">
      <c r="A65" s="870" t="s">
        <v>481</v>
      </c>
      <c r="B65" s="870" t="s">
        <v>1999</v>
      </c>
      <c r="C65" s="887" t="s">
        <v>1039</v>
      </c>
      <c r="D65" s="886" t="s">
        <v>1157</v>
      </c>
      <c r="E65" s="869"/>
      <c r="F65" s="1937">
        <f>'Expenditures 15-22'!G210</f>
        <v>0</v>
      </c>
      <c r="G65" s="866"/>
    </row>
    <row r="66" spans="1:8" x14ac:dyDescent="0.2">
      <c r="A66" s="870" t="s">
        <v>481</v>
      </c>
      <c r="B66" s="870" t="s">
        <v>2000</v>
      </c>
      <c r="C66" s="887" t="s">
        <v>1039</v>
      </c>
      <c r="D66" s="886" t="s">
        <v>309</v>
      </c>
      <c r="E66" s="869"/>
      <c r="F66" s="1937">
        <f>'Expenditures 15-22'!I210</f>
        <v>0</v>
      </c>
      <c r="G66" s="866"/>
    </row>
    <row r="67" spans="1:8" x14ac:dyDescent="0.2">
      <c r="A67" s="870" t="s">
        <v>482</v>
      </c>
      <c r="B67" s="870" t="s">
        <v>2001</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2003</v>
      </c>
      <c r="C70" s="887">
        <f>'Expenditures 15-22'!B221</f>
        <v>1300</v>
      </c>
      <c r="D70" s="888" t="str">
        <f>'Expenditures 15-22'!A221</f>
        <v>Adult/Continuing Education Programs</v>
      </c>
      <c r="E70" s="869"/>
      <c r="F70" s="1937">
        <f>'Expenditures 15-22'!K221</f>
        <v>0</v>
      </c>
      <c r="G70" s="866"/>
    </row>
    <row r="71" spans="1:8" x14ac:dyDescent="0.2">
      <c r="A71" s="870" t="s">
        <v>482</v>
      </c>
      <c r="B71" s="870" t="s">
        <v>2004</v>
      </c>
      <c r="C71" s="887">
        <f>'Expenditures 15-22'!B224</f>
        <v>1600</v>
      </c>
      <c r="D71" s="888" t="str">
        <f>'Expenditures 15-22'!A224</f>
        <v>Summer School Programs</v>
      </c>
      <c r="E71" s="869"/>
      <c r="F71" s="1937">
        <f>'Expenditures 15-22'!K224</f>
        <v>0</v>
      </c>
      <c r="G71" s="866"/>
    </row>
    <row r="72" spans="1:8" x14ac:dyDescent="0.2">
      <c r="A72" s="870" t="s">
        <v>482</v>
      </c>
      <c r="B72" s="870" t="s">
        <v>2005</v>
      </c>
      <c r="C72" s="887">
        <f>'Expenditures 15-22'!B280</f>
        <v>3000</v>
      </c>
      <c r="D72" s="877" t="s">
        <v>469</v>
      </c>
      <c r="E72" s="869"/>
      <c r="F72" s="1937">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2007</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2008</v>
      </c>
      <c r="E76" s="1794" t="s">
        <v>1015</v>
      </c>
      <c r="F76" s="1798">
        <f>SUM(F18:F74)</f>
        <v>1922231</v>
      </c>
      <c r="G76" s="866"/>
    </row>
    <row r="77" spans="1:8" s="894" customFormat="1" ht="12" customHeight="1" thickTop="1" thickBot="1" x14ac:dyDescent="0.25">
      <c r="A77" s="1799"/>
      <c r="B77" s="1796"/>
      <c r="C77" s="1792"/>
      <c r="D77" s="1797" t="s">
        <v>2009</v>
      </c>
      <c r="E77" s="1794"/>
      <c r="F77" s="1800">
        <f>(F14-F76)</f>
        <v>21142680</v>
      </c>
      <c r="G77" s="870"/>
    </row>
    <row r="78" spans="1:8" s="894" customFormat="1" ht="12" customHeight="1" thickTop="1" x14ac:dyDescent="0.2">
      <c r="A78" s="1801"/>
      <c r="B78" s="1796"/>
      <c r="C78" s="1792"/>
      <c r="D78" s="1797" t="s">
        <v>2056</v>
      </c>
      <c r="E78" s="1794"/>
      <c r="F78" s="899">
        <v>0</v>
      </c>
      <c r="G78" s="900"/>
      <c r="H78" s="870"/>
    </row>
    <row r="79" spans="1:8" s="894" customFormat="1" ht="12" customHeight="1" thickBot="1" x14ac:dyDescent="0.25">
      <c r="A79" s="1802"/>
      <c r="B79" s="1796"/>
      <c r="C79" s="1792"/>
      <c r="D79" s="1797" t="s">
        <v>2010</v>
      </c>
      <c r="E79" s="1794" t="s">
        <v>1015</v>
      </c>
      <c r="F79" s="1803"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0</v>
      </c>
      <c r="G94" s="913"/>
    </row>
    <row r="95" spans="1:7" x14ac:dyDescent="0.2">
      <c r="A95" s="909" t="s">
        <v>142</v>
      </c>
      <c r="B95" s="909" t="s">
        <v>177</v>
      </c>
      <c r="C95" s="911">
        <v>1700</v>
      </c>
      <c r="D95" s="919" t="str">
        <f>'Revenues 9-14'!A82</f>
        <v>Total District/School Activity Income</v>
      </c>
      <c r="E95" s="907"/>
      <c r="F95" s="1809">
        <f>SUM('Revenues 9-14'!C82,'Revenues 9-14'!D82)</f>
        <v>0</v>
      </c>
      <c r="G95" s="913"/>
    </row>
    <row r="96" spans="1:7" x14ac:dyDescent="0.2">
      <c r="A96" s="909" t="s">
        <v>479</v>
      </c>
      <c r="B96" s="909" t="s">
        <v>178</v>
      </c>
      <c r="C96" s="911">
        <f>'Revenues 9-14'!B84</f>
        <v>1811</v>
      </c>
      <c r="D96" s="912" t="str">
        <f>'Revenues 9-14'!A84</f>
        <v>Rentals - Regular Textbooks</v>
      </c>
      <c r="E96" s="907"/>
      <c r="F96" s="1809">
        <f>'Revenues 9-14'!C84</f>
        <v>0</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12363</v>
      </c>
      <c r="G104" s="913"/>
    </row>
    <row r="105" spans="1:7" x14ac:dyDescent="0.2">
      <c r="A105" s="909" t="s">
        <v>524</v>
      </c>
      <c r="B105" s="909" t="s">
        <v>842</v>
      </c>
      <c r="C105" s="914">
        <v>3100</v>
      </c>
      <c r="D105" s="920" t="str">
        <f>'Revenues 9-14'!A131</f>
        <v>Total Special Education</v>
      </c>
      <c r="E105" s="907"/>
      <c r="F105" s="1809">
        <f>SUM('Revenues 9-14'!C131:D131,'Revenues 9-14'!F131)</f>
        <v>412528</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0</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81752</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154869</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0</v>
      </c>
      <c r="G129" s="931"/>
    </row>
    <row r="130" spans="1:7" x14ac:dyDescent="0.2">
      <c r="A130" s="928" t="s">
        <v>689</v>
      </c>
      <c r="B130" s="928" t="s">
        <v>804</v>
      </c>
      <c r="C130" s="933">
        <v>4300</v>
      </c>
      <c r="D130" s="934" t="str">
        <f>'Revenues 9-14'!A211</f>
        <v>Total Title I</v>
      </c>
      <c r="E130" s="907"/>
      <c r="F130" s="1809">
        <f>SUM('Revenues 9-14'!C211,'Revenues 9-14'!D211,'Revenues 9-14'!F211,'Revenues 9-14'!G211)</f>
        <v>0</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4710469</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275717</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33697</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227312</v>
      </c>
      <c r="G174" s="928"/>
    </row>
    <row r="175" spans="1:7" x14ac:dyDescent="0.2">
      <c r="A175" s="1942" t="s">
        <v>5</v>
      </c>
      <c r="B175" s="1943" t="s">
        <v>2055</v>
      </c>
      <c r="C175" s="1944">
        <v>3100</v>
      </c>
      <c r="D175" s="1945" t="s">
        <v>2058</v>
      </c>
      <c r="E175" s="907"/>
      <c r="F175" s="1929"/>
      <c r="G175" s="928"/>
    </row>
    <row r="176" spans="1:7" x14ac:dyDescent="0.2">
      <c r="A176" s="1942" t="s">
        <v>685</v>
      </c>
      <c r="B176" s="1943" t="s">
        <v>2055</v>
      </c>
      <c r="C176" s="1944">
        <v>3300</v>
      </c>
      <c r="D176" s="1945" t="s">
        <v>2059</v>
      </c>
      <c r="E176" s="907"/>
      <c r="F176" s="1929"/>
      <c r="G176" s="928"/>
    </row>
    <row r="177" spans="1:7" ht="6" customHeight="1" x14ac:dyDescent="0.2">
      <c r="A177" s="928"/>
      <c r="B177" s="928"/>
      <c r="C177" s="950"/>
      <c r="D177" s="928"/>
      <c r="E177" s="907"/>
      <c r="F177" s="951"/>
      <c r="G177" s="948"/>
    </row>
    <row r="178" spans="1:7" x14ac:dyDescent="0.2">
      <c r="A178" s="1790"/>
      <c r="B178" s="1804"/>
      <c r="C178" s="1805"/>
      <c r="D178" s="1806" t="s">
        <v>2011</v>
      </c>
      <c r="E178" s="1807" t="s">
        <v>1015</v>
      </c>
      <c r="F178" s="1808">
        <f>SUM(F84:F136,F161:F176)</f>
        <v>5908707</v>
      </c>
    </row>
    <row r="179" spans="1:7" ht="12" customHeight="1" x14ac:dyDescent="0.2">
      <c r="A179" s="1790"/>
      <c r="B179" s="1804"/>
      <c r="C179" s="1805"/>
      <c r="D179" s="1806" t="s">
        <v>2012</v>
      </c>
      <c r="E179" s="1807"/>
      <c r="F179" s="1809">
        <f>'PCTC-OEPP 27-28'!F77-F178</f>
        <v>15233973</v>
      </c>
    </row>
    <row r="180" spans="1:7" ht="12" customHeight="1" x14ac:dyDescent="0.2">
      <c r="A180" s="1790"/>
      <c r="B180" s="1804"/>
      <c r="C180" s="1805"/>
      <c r="D180" s="1806" t="s">
        <v>1921</v>
      </c>
      <c r="E180" s="1807"/>
      <c r="F180" s="1809">
        <f>'Cap Outlay Deprec 26'!I18</f>
        <v>27051.7</v>
      </c>
    </row>
    <row r="181" spans="1:7" ht="12" customHeight="1" x14ac:dyDescent="0.2">
      <c r="A181" s="1790"/>
      <c r="B181" s="1804"/>
      <c r="C181" s="1805"/>
      <c r="D181" s="1806" t="s">
        <v>2013</v>
      </c>
      <c r="E181" s="1807"/>
      <c r="F181" s="1809">
        <f>F179+F180</f>
        <v>15261024.699999999</v>
      </c>
    </row>
    <row r="182" spans="1:7" ht="12" customHeight="1" x14ac:dyDescent="0.2">
      <c r="A182" s="1790"/>
      <c r="B182" s="1810"/>
      <c r="C182" s="1805"/>
      <c r="D182" s="1806" t="str">
        <f>D78</f>
        <v>9 Month ADA from District Average Daily Attendance/Prior General State Aid Inquiry 2017-2018</v>
      </c>
      <c r="E182" s="1807"/>
      <c r="F182" s="1811">
        <f>'PCTC-OEPP 27-28'!F78</f>
        <v>0</v>
      </c>
      <c r="G182" s="931"/>
    </row>
    <row r="183" spans="1:7" ht="12" customHeight="1" thickBot="1" x14ac:dyDescent="0.25">
      <c r="A183" s="1790"/>
      <c r="B183" s="1810"/>
      <c r="C183" s="1805"/>
      <c r="D183" s="1806" t="s">
        <v>2014</v>
      </c>
      <c r="E183" s="1807" t="s">
        <v>1626</v>
      </c>
      <c r="F183" s="1812"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6" customFormat="1" ht="12.2" customHeight="1" x14ac:dyDescent="0.2">
      <c r="A186" s="1946" t="s">
        <v>2062</v>
      </c>
      <c r="B186" s="1947"/>
      <c r="C186" s="1948"/>
      <c r="D186" s="1947"/>
      <c r="E186" s="1948"/>
      <c r="F186" s="1947"/>
      <c r="G186" s="1947"/>
    </row>
    <row r="187" spans="1:7" s="1946" customFormat="1" ht="12.2" customHeight="1" x14ac:dyDescent="0.2">
      <c r="A187" s="1949" t="s">
        <v>2063</v>
      </c>
      <c r="C187" s="1948"/>
      <c r="D187" s="1947"/>
      <c r="E187" s="1948"/>
      <c r="F187" s="1947"/>
      <c r="G187" s="1947"/>
    </row>
    <row r="188" spans="1:7" ht="12" customHeight="1" x14ac:dyDescent="0.2">
      <c r="C188" s="950"/>
      <c r="D188" s="931"/>
      <c r="E188" s="950"/>
      <c r="F188" s="931"/>
      <c r="G188" s="931"/>
    </row>
    <row r="189" spans="1:7" x14ac:dyDescent="0.2">
      <c r="A189" s="1950" t="s">
        <v>2061</v>
      </c>
      <c r="B189" s="1951"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41"/>
  <sheetViews>
    <sheetView showGridLines="0" workbookViewId="0">
      <pane ySplit="16" topLeftCell="A17" activePane="bottomLeft" state="frozen"/>
      <selection pane="bottomLeft" activeCell="C23" sqref="C23"/>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1937</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6" t="s">
        <v>1922</v>
      </c>
      <c r="B4" s="2287"/>
      <c r="C4" s="2287"/>
      <c r="D4" s="2287"/>
      <c r="E4" s="2287"/>
      <c r="F4" s="2287"/>
      <c r="G4" s="2288"/>
    </row>
    <row r="5" spans="1:7" x14ac:dyDescent="0.25">
      <c r="A5" s="2289"/>
      <c r="B5" s="2290"/>
      <c r="C5" s="2290"/>
      <c r="D5" s="2290"/>
      <c r="E5" s="2290"/>
      <c r="F5" s="2290"/>
      <c r="G5" s="2291"/>
    </row>
    <row r="6" spans="1:7" ht="18.75" x14ac:dyDescent="0.25">
      <c r="A6" s="1554" t="s">
        <v>1923</v>
      </c>
      <c r="B6" s="1555"/>
      <c r="C6" s="1555"/>
      <c r="D6" s="1555"/>
      <c r="E6" s="1555"/>
      <c r="F6" s="1555"/>
      <c r="G6" s="1556"/>
    </row>
    <row r="7" spans="1:7" ht="30.75" customHeight="1" x14ac:dyDescent="0.25">
      <c r="A7" s="2292" t="s">
        <v>2072</v>
      </c>
      <c r="B7" s="2293"/>
      <c r="C7" s="2293"/>
      <c r="D7" s="2293"/>
      <c r="E7" s="2293"/>
      <c r="F7" s="2293"/>
      <c r="G7" s="2294"/>
    </row>
    <row r="8" spans="1:7" ht="15.75" customHeight="1" x14ac:dyDescent="0.25">
      <c r="A8" s="2295" t="s">
        <v>2021</v>
      </c>
      <c r="B8" s="2296"/>
      <c r="C8" s="2296"/>
      <c r="D8" s="2296"/>
      <c r="E8" s="2296"/>
      <c r="F8" s="2296"/>
      <c r="G8" s="2297"/>
    </row>
    <row r="9" spans="1:7" ht="35.25" customHeight="1" x14ac:dyDescent="0.25">
      <c r="A9" s="2292" t="s">
        <v>2020</v>
      </c>
      <c r="B9" s="2293"/>
      <c r="C9" s="2293"/>
      <c r="D9" s="2293"/>
      <c r="E9" s="2293"/>
      <c r="F9" s="2293"/>
      <c r="G9" s="2294"/>
    </row>
    <row r="10" spans="1:7" ht="15" customHeight="1" x14ac:dyDescent="0.25">
      <c r="A10" s="1557" t="s">
        <v>1924</v>
      </c>
      <c r="B10" s="1558"/>
      <c r="C10" s="1558"/>
      <c r="D10" s="1558"/>
      <c r="E10" s="1558"/>
      <c r="F10" s="1558"/>
      <c r="G10" s="1559"/>
    </row>
    <row r="11" spans="1:7" ht="17.25" customHeight="1" x14ac:dyDescent="0.25">
      <c r="A11" s="2292" t="s">
        <v>1938</v>
      </c>
      <c r="B11" s="2293"/>
      <c r="C11" s="2293"/>
      <c r="D11" s="2293"/>
      <c r="E11" s="2293"/>
      <c r="F11" s="2293"/>
      <c r="G11" s="2294"/>
    </row>
    <row r="12" spans="1:7" ht="15" customHeight="1" x14ac:dyDescent="0.25">
      <c r="A12" s="1557" t="s">
        <v>1929</v>
      </c>
      <c r="B12" s="1558"/>
      <c r="C12" s="1558"/>
      <c r="D12" s="1558"/>
      <c r="E12" s="1558"/>
      <c r="F12" s="1558"/>
      <c r="G12" s="1559"/>
    </row>
    <row r="13" spans="1:7" ht="32.25" customHeight="1" x14ac:dyDescent="0.25">
      <c r="A13" s="2283" t="s">
        <v>1930</v>
      </c>
      <c r="B13" s="2284"/>
      <c r="C13" s="2284"/>
      <c r="D13" s="2284"/>
      <c r="E13" s="2284"/>
      <c r="F13" s="2284"/>
      <c r="G13" s="2285"/>
    </row>
    <row r="14" spans="1:7" x14ac:dyDescent="0.25">
      <c r="A14" s="1681" t="s">
        <v>1939</v>
      </c>
      <c r="B14" s="1682"/>
      <c r="C14" s="1682"/>
      <c r="D14" s="1682"/>
      <c r="E14" s="1682"/>
      <c r="F14" s="1682"/>
      <c r="G14" s="1683"/>
    </row>
    <row r="15" spans="1:7" ht="61.5" customHeight="1" x14ac:dyDescent="0.25">
      <c r="A15" s="1566" t="s">
        <v>1931</v>
      </c>
      <c r="B15" s="1566" t="s">
        <v>1932</v>
      </c>
      <c r="C15" s="1566" t="s">
        <v>1933</v>
      </c>
      <c r="D15" s="1567" t="s">
        <v>1934</v>
      </c>
      <c r="E15" s="1567" t="s">
        <v>1925</v>
      </c>
      <c r="F15" s="1567" t="s">
        <v>1935</v>
      </c>
      <c r="G15" s="1567" t="s">
        <v>1936</v>
      </c>
    </row>
    <row r="16" spans="1:7" x14ac:dyDescent="0.25">
      <c r="A16" s="1668" t="s">
        <v>1940</v>
      </c>
      <c r="B16" s="1669" t="s">
        <v>1928</v>
      </c>
      <c r="C16" s="1670" t="s">
        <v>1926</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ht="30" x14ac:dyDescent="0.25">
      <c r="A17" s="1956" t="s">
        <v>2114</v>
      </c>
      <c r="B17" s="1954" t="s">
        <v>2111</v>
      </c>
      <c r="C17" s="1955" t="s">
        <v>2110</v>
      </c>
      <c r="D17" s="1865">
        <v>27450</v>
      </c>
      <c r="E17" s="1560">
        <f t="shared" ref="E17:E141" si="1">IF(D17&lt;=25000,D17,IF(D17&gt;25000,25000,0))</f>
        <v>25000</v>
      </c>
      <c r="F17" s="1813">
        <f t="shared" si="0"/>
        <v>25000</v>
      </c>
      <c r="G17" s="1814">
        <f>IF(F17=0,0,D17-F17)</f>
        <v>2450</v>
      </c>
      <c r="H17" s="1667"/>
    </row>
    <row r="18" spans="1:8" x14ac:dyDescent="0.25">
      <c r="A18" s="1956" t="s">
        <v>2115</v>
      </c>
      <c r="B18" s="1954" t="s">
        <v>2112</v>
      </c>
      <c r="C18" s="1955" t="s">
        <v>2113</v>
      </c>
      <c r="D18" s="1865">
        <v>31500</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6500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58950</v>
      </c>
      <c r="E141" s="1561">
        <f t="shared" si="1"/>
        <v>25000</v>
      </c>
      <c r="F141" s="1815">
        <f>SUM(F17:F140)</f>
        <v>50000</v>
      </c>
      <c r="G141" s="1816">
        <f>SUM(G17:G140)</f>
        <v>8950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pageSetUpPr fitToPage="1"/>
  </sheetPr>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3" t="s">
        <v>1942</v>
      </c>
      <c r="B11" s="2304"/>
      <c r="C11" s="2304"/>
      <c r="D11" s="230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8" t="s">
        <v>553</v>
      </c>
      <c r="E17" s="1659"/>
      <c r="F17" s="1658" t="s">
        <v>453</v>
      </c>
      <c r="G17" s="1660"/>
      <c r="H17" s="162"/>
      <c r="I17" s="162"/>
    </row>
    <row r="18" spans="1:9" s="259" customFormat="1" ht="11.25" x14ac:dyDescent="0.2">
      <c r="A18" s="989"/>
      <c r="C18" s="990" t="s">
        <v>454</v>
      </c>
      <c r="D18" s="1661" t="s">
        <v>455</v>
      </c>
      <c r="E18" s="1661" t="s">
        <v>55</v>
      </c>
      <c r="F18" s="1661" t="s">
        <v>455</v>
      </c>
      <c r="G18" s="1661"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6316132</v>
      </c>
      <c r="F19" s="1820"/>
      <c r="G19" s="1822">
        <f>'Expenditures 15-22'!K33-SUM('Expenditures 15-22'!G33,'Expenditures 15-22'!I33)+'Expenditures 15-22'!D229</f>
        <v>6316132</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11221269</v>
      </c>
      <c r="F21" s="1823"/>
      <c r="G21" s="1826">
        <f>'Expenditures 15-22'!K42-SUM('Expenditures 15-22'!G42,'Expenditures 15-22'!I42)+'Expenditures 15-22'!K120-SUM('Expenditures 15-22'!G120,'Expenditures 15-22'!I120)+'Expenditures 15-22'!K180-SUM('Expenditures 15-22'!G180,'Expenditures 15-22'!I180)+'Expenditures 15-22'!D238</f>
        <v>11221269</v>
      </c>
      <c r="H21" s="988"/>
      <c r="I21" s="162"/>
    </row>
    <row r="22" spans="1:9" s="669" customFormat="1" ht="12" customHeight="1" x14ac:dyDescent="0.2">
      <c r="A22" s="995" t="s">
        <v>585</v>
      </c>
      <c r="B22" s="996"/>
      <c r="C22" s="994">
        <v>2200</v>
      </c>
      <c r="D22" s="1823"/>
      <c r="E22" s="1825">
        <f>'Expenditures 15-22'!K47-SUM('Expenditures 15-22'!G47,'Expenditures 15-22'!I47)+'Expenditures 15-22'!D243</f>
        <v>351171</v>
      </c>
      <c r="F22" s="1823"/>
      <c r="G22" s="1826">
        <f>'Expenditures 15-22'!K47-SUM('Expenditures 15-22'!G47,'Expenditures 15-22'!I47)+'Expenditures 15-22'!D243</f>
        <v>351171</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521133</v>
      </c>
      <c r="F23" s="1823"/>
      <c r="G23" s="1825">
        <f>'Expenditures 15-22'!K53-SUM('Expenditures 15-22'!G53,'Expenditures 15-22'!I53)+'Expenditures 15-22'!D257+'Expenditures 15-22'!K330-SUM('Expenditures 15-22'!G330,'Expenditures 15-22'!I330)</f>
        <v>521133</v>
      </c>
      <c r="H23" s="988"/>
      <c r="I23" s="162"/>
    </row>
    <row r="24" spans="1:9" s="669" customFormat="1" ht="12" customHeight="1" x14ac:dyDescent="0.2">
      <c r="A24" s="995" t="s">
        <v>587</v>
      </c>
      <c r="B24" s="996"/>
      <c r="C24" s="994">
        <v>2400</v>
      </c>
      <c r="D24" s="1823"/>
      <c r="E24" s="1825">
        <f>'Expenditures 15-22'!K57-SUM('Expenditures 15-22'!G57,'Expenditures 15-22'!I57)+'Expenditures 15-22'!D261</f>
        <v>1113997</v>
      </c>
      <c r="F24" s="1823"/>
      <c r="G24" s="1826">
        <f>'Expenditures 15-22'!K57-SUM('Expenditures 15-22'!G57,'Expenditures 15-22'!I57)+'Expenditures 15-22'!D261</f>
        <v>1113997</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148608</v>
      </c>
      <c r="E26" s="1825">
        <f>'Expenditures 15-22'!K122-SUM('Expenditures 15-22'!G122,'Expenditures 15-22'!I122)+E7</f>
        <v>0</v>
      </c>
      <c r="F26" s="1825">
        <f>'Expenditures 15-22'!K59-SUM('Expenditures 15-22'!G59,'Expenditures 15-22'!I59)+'Expenditures 15-22'!D263-E7</f>
        <v>148608</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79388</v>
      </c>
      <c r="E27" s="1825">
        <f>E8</f>
        <v>0</v>
      </c>
      <c r="F27" s="1825">
        <f>'Expenditures 15-22'!K60-SUM('Expenditures 15-22'!G60,'Expenditures 15-22'!I60)+'Expenditures 15-22'!D264-E8</f>
        <v>79388</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544950</v>
      </c>
      <c r="F28" s="1827">
        <f>'Expenditures 15-22'!K61-SUM('Expenditures 15-22'!G61,'Expenditures 15-22'!I61)+'Expenditures 15-22'!K124-SUM('Expenditures 15-22'!G124,'Expenditures 15-22'!I124)+'Expenditures 15-22'!D266-E9</f>
        <v>544950</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116232</v>
      </c>
      <c r="F29" s="1823"/>
      <c r="G29" s="1826">
        <f>'Expenditures 15-22'!K62-SUM('Expenditures 15-22'!G62,'Expenditures 15-22'!I62)+'Expenditures 15-22'!K125-SUM('Expenditures 15-22'!G125,'Expenditures 15-22'!I125)+'Expenditures 15-22'!K182-SUM('Expenditures 15-22'!G182,'Expenditures 15-22'!I182)+'Expenditures 15-22'!D267</f>
        <v>116232</v>
      </c>
      <c r="H29" s="986"/>
    </row>
    <row r="30" spans="1:9" ht="12" customHeight="1" x14ac:dyDescent="0.2">
      <c r="A30" s="995" t="s">
        <v>102</v>
      </c>
      <c r="B30" s="998"/>
      <c r="C30" s="994">
        <v>2560</v>
      </c>
      <c r="D30" s="1823"/>
      <c r="E30" s="1825">
        <f>'Expenditures 15-22'!K63-SUM('Expenditures 15-22'!G63,'Expenditures 15-22'!I63)+'Expenditures 15-22'!D268-E10</f>
        <v>0</v>
      </c>
      <c r="F30" s="1823"/>
      <c r="G30" s="1825">
        <f>'Expenditures 15-22'!K63-SUM('Expenditures 15-22'!G63,'Expenditures 15-22'!I63)+'Expenditures 15-22'!D268-E10</f>
        <v>0</v>
      </c>
    </row>
    <row r="31" spans="1:9" ht="12" customHeight="1" x14ac:dyDescent="0.2">
      <c r="A31" s="995" t="s">
        <v>103</v>
      </c>
      <c r="B31" s="998"/>
      <c r="C31" s="994">
        <v>2570</v>
      </c>
      <c r="D31" s="1825">
        <f>'Expenditures 15-22'!K64-SUM('Expenditures 15-22'!G64,'Expenditures 15-22'!I64)+'Expenditures 15-22'!D269-E12</f>
        <v>85274</v>
      </c>
      <c r="E31" s="1825">
        <f>E12</f>
        <v>0</v>
      </c>
      <c r="F31" s="1825">
        <f>'Expenditures 15-22'!K64-SUM('Expenditures 15-22'!G64,'Expenditures 15-22'!I64)+'Expenditures 15-22'!D269-E12</f>
        <v>85274</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443520</v>
      </c>
      <c r="F33" s="1823"/>
      <c r="G33" s="1825">
        <f>'Expenditures 15-22'!K67-SUM('Expenditures 15-22'!G67,'Expenditures 15-22'!I67)+'Expenditures 15-22'!D272</f>
        <v>443520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107517</v>
      </c>
      <c r="F35" s="1823"/>
      <c r="G35" s="1825">
        <f>'Expenditures 15-22'!K69-SUM('Expenditures 15-22'!G69,'Expenditures 15-22'!I69)+'Expenditures 15-22'!D274</f>
        <v>107517</v>
      </c>
    </row>
    <row r="36" spans="1:7" ht="12" customHeight="1" x14ac:dyDescent="0.2">
      <c r="A36" s="995" t="s">
        <v>423</v>
      </c>
      <c r="B36" s="998"/>
      <c r="C36" s="994">
        <v>2640</v>
      </c>
      <c r="D36" s="1825">
        <f>'Expenditures 15-22'!K70-SUM('Expenditures 15-22'!G70,'Expenditures 15-22'!I70)+'Expenditures 15-22'!D275-E13</f>
        <v>93489</v>
      </c>
      <c r="E36" s="1825">
        <f>E13</f>
        <v>0</v>
      </c>
      <c r="F36" s="1825">
        <f>'Expenditures 15-22'!K70-SUM('Expenditures 15-22'!G70,'Expenditures 15-22'!I70)+'Expenditures 15-22'!D275-E13</f>
        <v>93489</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10694</v>
      </c>
      <c r="F39" s="1823"/>
      <c r="G39" s="1825">
        <f>'Expenditures 15-22'!K75-SUM('Expenditures 15-22'!G75,'Expenditures 15-22'!I75)+'Expenditures 15-22'!K130-SUM('Expenditures 15-22'!G130,'Expenditures 15-22'!I130)+'Expenditures 15-22'!K185-SUM('Expenditures 15-22'!G185,'Expenditures 15-22'!I185)+'Expenditures 15-22'!D280</f>
        <v>10694</v>
      </c>
    </row>
    <row r="40" spans="1:7" ht="12" customHeight="1" x14ac:dyDescent="0.2">
      <c r="A40" s="991" t="s">
        <v>1927</v>
      </c>
      <c r="B40" s="992"/>
      <c r="C40" s="994"/>
      <c r="D40" s="1823"/>
      <c r="E40" s="1827">
        <f>-'Contracts Paid in CY 29'!G141</f>
        <v>-8950</v>
      </c>
      <c r="F40" s="1823"/>
      <c r="G40" s="1827">
        <f>-'Contracts Paid in CY 29'!G141</f>
        <v>-8950</v>
      </c>
    </row>
    <row r="41" spans="1:7" ht="12" customHeight="1" x14ac:dyDescent="0.2">
      <c r="A41" s="999" t="s">
        <v>158</v>
      </c>
      <c r="B41" s="1000"/>
      <c r="C41" s="1001"/>
      <c r="D41" s="1827">
        <f>SUM(D19:D39)</f>
        <v>406759</v>
      </c>
      <c r="E41" s="1827">
        <f>SUM(E19:E40)</f>
        <v>20737665</v>
      </c>
      <c r="F41" s="1827">
        <f>SUM(F19:F39)</f>
        <v>951709</v>
      </c>
      <c r="G41" s="1827">
        <f>SUM(G19:G40)</f>
        <v>20192715</v>
      </c>
    </row>
    <row r="42" spans="1:7" x14ac:dyDescent="0.2">
      <c r="A42" s="988"/>
      <c r="B42" s="162"/>
      <c r="C42" s="1002"/>
      <c r="D42" s="2301" t="s">
        <v>543</v>
      </c>
      <c r="E42" s="2302"/>
      <c r="F42" s="1003" t="s">
        <v>544</v>
      </c>
      <c r="G42" s="1004"/>
    </row>
    <row r="43" spans="1:7" ht="12" customHeight="1" x14ac:dyDescent="0.2">
      <c r="A43" s="988"/>
      <c r="B43" s="162"/>
      <c r="C43" s="1002"/>
      <c r="D43" s="1828" t="s">
        <v>493</v>
      </c>
      <c r="E43" s="1829">
        <f>D41</f>
        <v>406759</v>
      </c>
      <c r="F43" s="1828" t="s">
        <v>495</v>
      </c>
      <c r="G43" s="1829">
        <f>F41</f>
        <v>951709</v>
      </c>
    </row>
    <row r="44" spans="1:7" ht="12" customHeight="1" x14ac:dyDescent="0.2">
      <c r="A44" s="988"/>
      <c r="B44" s="162"/>
      <c r="C44" s="1002"/>
      <c r="D44" s="1828" t="s">
        <v>494</v>
      </c>
      <c r="E44" s="1829">
        <f>E41</f>
        <v>20737665</v>
      </c>
      <c r="F44" s="1828" t="s">
        <v>494</v>
      </c>
      <c r="G44" s="1829">
        <f>G41</f>
        <v>20192715</v>
      </c>
    </row>
    <row r="45" spans="1:7" ht="12" customHeight="1" x14ac:dyDescent="0.2">
      <c r="A45" s="988"/>
      <c r="B45" s="162"/>
      <c r="C45" s="162"/>
      <c r="D45" s="1830" t="s">
        <v>1063</v>
      </c>
      <c r="E45" s="1831">
        <f>(E43/E44)</f>
        <v>1.9614503368629015E-2</v>
      </c>
      <c r="F45" s="1830" t="s">
        <v>1063</v>
      </c>
      <c r="G45" s="1831">
        <f>(G43/G44)</f>
        <v>4.7131304532352383E-2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pageSetUpPr fitToPage="1"/>
  </sheetPr>
  <dimension ref="A1:L97"/>
  <sheetViews>
    <sheetView showGridLines="0" zoomScale="110" zoomScaleNormal="110" workbookViewId="0">
      <pane ySplit="4" topLeftCell="A5" activePane="bottomLeft" state="frozen"/>
      <selection pane="bottomLeft" activeCell="F23" sqref="F23"/>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7.5703125" style="1901" bestFit="1" customWidth="1"/>
    <col min="9" max="9" width="4" style="1901" bestFit="1" customWidth="1"/>
    <col min="10" max="10" width="2.7109375" style="1901" bestFit="1" customWidth="1"/>
    <col min="11" max="11" width="9" style="1901" customWidth="1"/>
    <col min="12" max="16384" width="9.140625" style="1870"/>
  </cols>
  <sheetData>
    <row r="1" spans="1:10" x14ac:dyDescent="0.2">
      <c r="A1" s="2309" t="s">
        <v>1446</v>
      </c>
      <c r="B1" s="2309"/>
      <c r="C1" s="2309"/>
      <c r="D1" s="2309"/>
      <c r="E1" s="2309"/>
      <c r="F1" s="2309"/>
    </row>
    <row r="2" spans="1:10" x14ac:dyDescent="0.2">
      <c r="A2" s="1910" t="s">
        <v>2045</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0" t="s">
        <v>1627</v>
      </c>
      <c r="B5" s="2311"/>
      <c r="C5" s="2312"/>
      <c r="D5" s="2312"/>
      <c r="E5" s="2312"/>
      <c r="F5" s="2312"/>
    </row>
    <row r="6" spans="1:10" ht="12" customHeight="1" x14ac:dyDescent="0.25">
      <c r="A6" s="1873"/>
      <c r="B6" s="1874"/>
      <c r="C6" s="2313" t="str">
        <f>COVER!A17</f>
        <v>LAGRANGE AREA DEPARTMENT OF SPECIAL EDUCATION</v>
      </c>
      <c r="D6" s="2313"/>
      <c r="E6" s="2313"/>
      <c r="F6" s="1875"/>
    </row>
    <row r="7" spans="1:10" ht="11.25" customHeight="1" thickBot="1" x14ac:dyDescent="0.3">
      <c r="A7" s="1873"/>
      <c r="B7" s="1874"/>
      <c r="C7" s="2314" t="str">
        <f>COVER!A13</f>
        <v>06-016-2040-61</v>
      </c>
      <c r="D7" s="2314"/>
      <c r="E7" s="2314"/>
      <c r="F7" s="1875"/>
    </row>
    <row r="8" spans="1:10" ht="25.5" customHeight="1" thickBot="1" x14ac:dyDescent="0.25">
      <c r="A8" s="1916" t="s">
        <v>2022</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2093</v>
      </c>
      <c r="D14" s="1888" t="s">
        <v>2093</v>
      </c>
      <c r="E14" s="1891"/>
      <c r="F14" s="1890" t="s">
        <v>2116</v>
      </c>
      <c r="H14" s="1901">
        <f t="shared" si="0"/>
        <v>5</v>
      </c>
      <c r="I14" s="1901">
        <f t="shared" si="1"/>
        <v>5</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2093</v>
      </c>
      <c r="D19" s="1888" t="s">
        <v>2093</v>
      </c>
      <c r="E19" s="1891"/>
      <c r="F19" s="1890" t="s">
        <v>2117</v>
      </c>
      <c r="H19" s="1901">
        <f t="shared" si="0"/>
        <v>5</v>
      </c>
      <c r="I19" s="1901">
        <f t="shared" si="1"/>
        <v>5</v>
      </c>
      <c r="J19" s="1901">
        <f t="shared" si="2"/>
        <v>0</v>
      </c>
    </row>
    <row r="20" spans="1:12" ht="12" customHeight="1" x14ac:dyDescent="0.2">
      <c r="A20" s="1886" t="s">
        <v>1609</v>
      </c>
      <c r="B20" s="1887"/>
      <c r="C20" s="1888" t="s">
        <v>2093</v>
      </c>
      <c r="D20" s="1888" t="s">
        <v>2093</v>
      </c>
      <c r="E20" s="1891"/>
      <c r="F20" s="1890" t="s">
        <v>2118</v>
      </c>
      <c r="H20" s="1901">
        <f t="shared" si="0"/>
        <v>5</v>
      </c>
      <c r="I20" s="1901">
        <f t="shared" si="1"/>
        <v>5</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t="s">
        <v>2093</v>
      </c>
      <c r="D22" s="1888" t="s">
        <v>2093</v>
      </c>
      <c r="E22" s="1891"/>
      <c r="F22" s="1890" t="s">
        <v>2119</v>
      </c>
      <c r="H22" s="1901">
        <f t="shared" si="0"/>
        <v>5</v>
      </c>
      <c r="I22" s="1901">
        <f t="shared" si="1"/>
        <v>5</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20</v>
      </c>
      <c r="I34" s="1901">
        <f>SUM(I11:I32)</f>
        <v>20</v>
      </c>
      <c r="J34" s="1901">
        <f>SUM(J11:J32)</f>
        <v>0</v>
      </c>
      <c r="K34" s="1901">
        <f>SUM(H34:J34)</f>
        <v>40</v>
      </c>
    </row>
    <row r="35" spans="1:11" ht="12" customHeight="1" x14ac:dyDescent="0.2">
      <c r="A35" s="1894" t="s">
        <v>1459</v>
      </c>
      <c r="B35" s="1895"/>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6"/>
      <c r="B39" s="1896"/>
      <c r="C39" s="1896"/>
      <c r="D39" s="1896"/>
      <c r="E39" s="1896"/>
      <c r="F39" s="1896"/>
    </row>
    <row r="40" spans="1:11" s="1893" customFormat="1" ht="12" customHeight="1" x14ac:dyDescent="0.25">
      <c r="A40" s="1897" t="s">
        <v>1458</v>
      </c>
      <c r="B40" s="1898"/>
      <c r="C40" s="2323"/>
      <c r="D40" s="2323"/>
      <c r="E40" s="2323"/>
      <c r="F40" s="2324"/>
      <c r="H40" s="1902"/>
      <c r="I40" s="1902"/>
      <c r="J40" s="1902"/>
      <c r="K40" s="1902"/>
    </row>
    <row r="41" spans="1:11" s="1893" customFormat="1" ht="12" customHeight="1" x14ac:dyDescent="0.25">
      <c r="A41" s="2325"/>
      <c r="B41" s="2326"/>
      <c r="C41" s="2326"/>
      <c r="D41" s="2326"/>
      <c r="E41" s="2326"/>
      <c r="F41" s="2327"/>
      <c r="H41" s="1902"/>
      <c r="I41" s="1902"/>
      <c r="J41" s="1902"/>
      <c r="K41" s="1902"/>
    </row>
    <row r="42" spans="1:11" s="1893" customFormat="1" ht="12" customHeight="1" x14ac:dyDescent="0.25">
      <c r="A42" s="2325"/>
      <c r="B42" s="2326"/>
      <c r="C42" s="2326"/>
      <c r="D42" s="2326"/>
      <c r="E42" s="2326"/>
      <c r="F42" s="2327"/>
      <c r="H42" s="1902"/>
      <c r="I42" s="1902"/>
      <c r="J42" s="1902"/>
      <c r="K42" s="1902"/>
    </row>
    <row r="43" spans="1:11" s="1893" customFormat="1" ht="15" x14ac:dyDescent="0.25">
      <c r="A43" s="2317"/>
      <c r="B43" s="2318"/>
      <c r="C43" s="2318"/>
      <c r="D43" s="2318"/>
      <c r="E43" s="2318"/>
      <c r="F43" s="2319"/>
      <c r="H43" s="1902"/>
      <c r="I43" s="1902"/>
      <c r="J43" s="1902"/>
      <c r="K43" s="1902"/>
    </row>
    <row r="44" spans="1:11" s="1893" customFormat="1" ht="12" hidden="1" customHeight="1" x14ac:dyDescent="0.25">
      <c r="A44" s="2317"/>
      <c r="B44" s="2318"/>
      <c r="C44" s="2318"/>
      <c r="D44" s="2318"/>
      <c r="E44" s="2318"/>
      <c r="F44" s="231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2"/>
      <c r="C6" s="1662"/>
      <c r="D6" s="1662"/>
      <c r="E6" s="1663"/>
      <c r="F6" s="1016"/>
      <c r="G6" s="1010"/>
      <c r="H6" s="1017" t="s">
        <v>1086</v>
      </c>
      <c r="I6" s="2333" t="str">
        <f>COVER!A17</f>
        <v>LAGRANGE AREA DEPARTMENT OF SPECIAL EDUCATION</v>
      </c>
      <c r="J6" s="2334"/>
      <c r="Q6" s="1684"/>
    </row>
    <row r="7" spans="1:17" x14ac:dyDescent="0.2">
      <c r="A7" s="2335" t="s">
        <v>924</v>
      </c>
      <c r="B7" s="2336"/>
      <c r="C7" s="2336"/>
      <c r="D7" s="2336"/>
      <c r="E7" s="2337"/>
      <c r="F7" s="1018"/>
      <c r="G7" s="1010"/>
      <c r="H7" s="1017" t="s">
        <v>390</v>
      </c>
      <c r="I7" s="2338" t="str">
        <f>COVER!A13</f>
        <v>06-016-2040-61</v>
      </c>
      <c r="J7" s="2338"/>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521133</v>
      </c>
      <c r="F12" s="1040"/>
      <c r="G12" s="1832">
        <f t="shared" ref="G12:G18" si="0">SUM(E12:F12)</f>
        <v>521133</v>
      </c>
      <c r="H12" s="1041"/>
      <c r="I12" s="1040"/>
      <c r="J12" s="1832">
        <f t="shared" ref="J12:J18" si="1">SUM(H12:I12)</f>
        <v>0</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148838</v>
      </c>
      <c r="F15" s="1832">
        <f>'Expenditures 15-22'!K122</f>
        <v>0</v>
      </c>
      <c r="G15" s="1832">
        <f t="shared" si="0"/>
        <v>148838</v>
      </c>
      <c r="H15" s="1041"/>
      <c r="I15" s="1041"/>
      <c r="J15" s="1832">
        <f t="shared" si="1"/>
        <v>0</v>
      </c>
    </row>
    <row r="16" spans="1:17" ht="15" customHeight="1" x14ac:dyDescent="0.2">
      <c r="A16" s="1036">
        <v>5</v>
      </c>
      <c r="B16" s="1037" t="s">
        <v>103</v>
      </c>
      <c r="C16" s="1038"/>
      <c r="D16" s="1039">
        <v>2570</v>
      </c>
      <c r="E16" s="1832">
        <f>'Expenditures 15-22'!K64</f>
        <v>85274</v>
      </c>
      <c r="F16" s="1040"/>
      <c r="G16" s="1832">
        <f t="shared" si="0"/>
        <v>85274</v>
      </c>
      <c r="H16" s="1041"/>
      <c r="I16" s="1040"/>
      <c r="J16" s="1832">
        <f t="shared" si="1"/>
        <v>0</v>
      </c>
    </row>
    <row r="17" spans="1:10" ht="15" customHeight="1" x14ac:dyDescent="0.2">
      <c r="A17" s="1036">
        <v>6</v>
      </c>
      <c r="B17" s="1037" t="s">
        <v>1120</v>
      </c>
      <c r="C17" s="1038"/>
      <c r="D17" s="1039">
        <v>2610</v>
      </c>
      <c r="E17" s="1832">
        <f>'Expenditures 15-22'!K67</f>
        <v>443520</v>
      </c>
      <c r="F17" s="1040"/>
      <c r="G17" s="1832">
        <f t="shared" si="0"/>
        <v>443520</v>
      </c>
      <c r="H17" s="1041"/>
      <c r="I17" s="1040"/>
      <c r="J17" s="1832">
        <f t="shared" si="1"/>
        <v>0</v>
      </c>
    </row>
    <row r="18" spans="1:10" ht="22.5" customHeight="1" x14ac:dyDescent="0.2">
      <c r="A18" s="1043">
        <v>7</v>
      </c>
      <c r="B18" s="2342" t="s">
        <v>7</v>
      </c>
      <c r="C18" s="2343"/>
      <c r="D18" s="2344"/>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1198765</v>
      </c>
      <c r="F19" s="1834">
        <f t="shared" si="2"/>
        <v>0</v>
      </c>
      <c r="G19" s="1834">
        <f t="shared" si="2"/>
        <v>1198765</v>
      </c>
      <c r="H19" s="1834">
        <f t="shared" si="2"/>
        <v>0</v>
      </c>
      <c r="I19" s="1834">
        <f t="shared" si="2"/>
        <v>0</v>
      </c>
      <c r="J19" s="1834">
        <f t="shared" si="2"/>
        <v>0</v>
      </c>
    </row>
    <row r="20" spans="1:10" ht="13.5" thickTop="1" x14ac:dyDescent="0.2">
      <c r="A20" s="1036">
        <v>9</v>
      </c>
      <c r="B20" s="2345" t="s">
        <v>1703</v>
      </c>
      <c r="C20" s="2345"/>
      <c r="D20" s="2346"/>
      <c r="E20" s="1047"/>
      <c r="F20" s="1047"/>
      <c r="G20" s="1047"/>
      <c r="H20" s="1047"/>
      <c r="I20" s="1047"/>
      <c r="J20" s="1835"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1941</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2:D65"/>
  <sheetViews>
    <sheetView showGridLines="0" zoomScale="110" zoomScaleNormal="110" workbookViewId="0">
      <selection activeCell="B11" sqref="B11"/>
    </sheetView>
  </sheetViews>
  <sheetFormatPr defaultColWidth="9.140625" defaultRowHeight="12.75" x14ac:dyDescent="0.2"/>
  <cols>
    <col min="1" max="1" width="3" style="329" customWidth="1"/>
    <col min="2" max="2" width="61" style="329" customWidth="1"/>
    <col min="3" max="3" width="3.140625" style="329" customWidth="1"/>
    <col min="4" max="16384" width="9.140625" style="329"/>
  </cols>
  <sheetData>
    <row r="2" spans="1:4" x14ac:dyDescent="0.2">
      <c r="A2" s="389" t="s">
        <v>276</v>
      </c>
    </row>
    <row r="3" spans="1:4" x14ac:dyDescent="0.2">
      <c r="A3" s="329" t="s">
        <v>277</v>
      </c>
    </row>
    <row r="5" spans="1:4" x14ac:dyDescent="0.2">
      <c r="A5" s="1069">
        <v>1</v>
      </c>
      <c r="B5" s="329" t="s">
        <v>2120</v>
      </c>
      <c r="D5" s="329" t="s">
        <v>2125</v>
      </c>
    </row>
    <row r="6" spans="1:4" x14ac:dyDescent="0.2">
      <c r="A6" s="1069">
        <v>2</v>
      </c>
      <c r="B6" s="329" t="s">
        <v>2121</v>
      </c>
      <c r="D6" s="329" t="s">
        <v>2126</v>
      </c>
    </row>
    <row r="7" spans="1:4" x14ac:dyDescent="0.2">
      <c r="A7" s="1069">
        <v>3</v>
      </c>
      <c r="B7" s="329" t="s">
        <v>2122</v>
      </c>
      <c r="D7" s="329" t="s">
        <v>2127</v>
      </c>
    </row>
    <row r="8" spans="1:4" x14ac:dyDescent="0.2">
      <c r="A8" s="1069">
        <v>4</v>
      </c>
      <c r="B8" s="329" t="s">
        <v>2123</v>
      </c>
      <c r="D8" s="329" t="s">
        <v>2128</v>
      </c>
    </row>
    <row r="9" spans="1:4" x14ac:dyDescent="0.2">
      <c r="A9" s="1070">
        <v>5</v>
      </c>
      <c r="B9" s="329" t="s">
        <v>2124</v>
      </c>
      <c r="D9" s="329" t="s">
        <v>2129</v>
      </c>
    </row>
    <row r="10" spans="1:4" x14ac:dyDescent="0.2">
      <c r="A10" s="1070">
        <v>6</v>
      </c>
      <c r="B10" s="329" t="s">
        <v>2136</v>
      </c>
      <c r="D10" s="329" t="s">
        <v>2135</v>
      </c>
    </row>
    <row r="11" spans="1:4" x14ac:dyDescent="0.2">
      <c r="A11" s="1070"/>
    </row>
    <row r="12" spans="1:4" x14ac:dyDescent="0.2">
      <c r="A12" s="1070"/>
    </row>
    <row r="13" spans="1:4" x14ac:dyDescent="0.2">
      <c r="A13" s="1070"/>
    </row>
    <row r="14" spans="1:4" x14ac:dyDescent="0.2">
      <c r="A14" s="1070"/>
    </row>
    <row r="15" spans="1:4" x14ac:dyDescent="0.2">
      <c r="A15" s="1070"/>
    </row>
    <row r="16" spans="1:4"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LAGRANGE AREA DEPARTMENT OF SPECIAL EDUCATION</v>
      </c>
    </row>
    <row r="65" spans="2:2" x14ac:dyDescent="0.2">
      <c r="B65" s="1071" t="str">
        <f>COVER!A13</f>
        <v>06-016-2040-61</v>
      </c>
    </row>
  </sheetData>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7" t="s">
        <v>1709</v>
      </c>
    </row>
    <row r="23" spans="1:5" x14ac:dyDescent="0.2">
      <c r="A23" s="168"/>
      <c r="B23" s="162" t="s">
        <v>1966</v>
      </c>
      <c r="D23" s="167" t="s">
        <v>658</v>
      </c>
      <c r="E23" s="1857"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5" t="s">
        <v>1876</v>
      </c>
    </row>
    <row r="60" spans="1:3" x14ac:dyDescent="0.2">
      <c r="A60" s="196"/>
      <c r="B60" s="1505"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7"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6"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sheetPr>
  <dimension ref="A11:F18"/>
  <sheetViews>
    <sheetView showGridLines="0" zoomScale="110" zoomScaleNormal="110" workbookViewId="0">
      <selection activeCell="G11" sqref="G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819150</xdr:colOff>
                <xdr:row>3</xdr:row>
                <xdr:rowOff>85725</xdr:rowOff>
              </from>
              <to>
                <xdr:col>1</xdr:col>
                <xdr:colOff>1733550</xdr:colOff>
                <xdr:row>7</xdr:row>
                <xdr:rowOff>123825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2053</v>
      </c>
      <c r="B4" s="2373"/>
      <c r="C4" s="2373"/>
      <c r="D4" s="2373"/>
      <c r="E4" s="2373"/>
      <c r="F4" s="2374"/>
      <c r="G4" s="1075"/>
      <c r="H4" s="1075"/>
    </row>
    <row r="5" spans="1:8" ht="14.25" customHeight="1" x14ac:dyDescent="0.2">
      <c r="A5" s="2375" t="s">
        <v>2054</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23364568</v>
      </c>
      <c r="C8" s="1836">
        <f>'Acct Summary 7-8'!D8</f>
        <v>0</v>
      </c>
      <c r="D8" s="1836">
        <f>'Acct Summary 7-8'!F8</f>
        <v>0</v>
      </c>
      <c r="E8" s="1836">
        <f>'Acct Summary 7-8'!I8</f>
        <v>0</v>
      </c>
      <c r="F8" s="1836">
        <f>SUM(B8:E8)</f>
        <v>23364568</v>
      </c>
    </row>
    <row r="9" spans="1:8" s="1080" customFormat="1" ht="14.25" customHeight="1" thickBot="1" x14ac:dyDescent="0.25">
      <c r="A9" s="1079" t="s">
        <v>1436</v>
      </c>
      <c r="B9" s="1837">
        <f>'Acct Summary 7-8'!C17</f>
        <v>23064911</v>
      </c>
      <c r="C9" s="1837">
        <f>'Acct Summary 7-8'!D17</f>
        <v>0</v>
      </c>
      <c r="D9" s="1837">
        <f>'Acct Summary 7-8'!F17</f>
        <v>0</v>
      </c>
      <c r="E9" s="1836"/>
      <c r="F9" s="1836">
        <f>SUM(B9:E9)</f>
        <v>23064911</v>
      </c>
    </row>
    <row r="10" spans="1:8" s="1080" customFormat="1" ht="14.25" thickTop="1" thickBot="1" x14ac:dyDescent="0.25">
      <c r="A10" s="1081" t="s">
        <v>1437</v>
      </c>
      <c r="B10" s="1838">
        <f>(B8-B9)</f>
        <v>299657</v>
      </c>
      <c r="C10" s="1838">
        <f>(C8-C9)</f>
        <v>0</v>
      </c>
      <c r="D10" s="1838">
        <f>(D8-D9)</f>
        <v>0</v>
      </c>
      <c r="E10" s="1837">
        <f>(E8-E9)</f>
        <v>0</v>
      </c>
      <c r="F10" s="1839">
        <f>SUM(F8-F9)</f>
        <v>299657</v>
      </c>
    </row>
    <row r="11" spans="1:8" s="1080" customFormat="1" ht="14.25" thickTop="1" thickBot="1" x14ac:dyDescent="0.25">
      <c r="A11" s="1082" t="s">
        <v>1785</v>
      </c>
      <c r="B11" s="1840">
        <f>'Acct Summary 7-8'!C81</f>
        <v>5907279</v>
      </c>
      <c r="C11" s="1840">
        <f>'Acct Summary 7-8'!D81</f>
        <v>0</v>
      </c>
      <c r="D11" s="1840">
        <f>'Acct Summary 7-8'!F81</f>
        <v>0</v>
      </c>
      <c r="E11" s="1840">
        <f>'Acct Summary 7-8'!I81</f>
        <v>0</v>
      </c>
      <c r="F11" s="1841">
        <f>SUM(B11:E11)</f>
        <v>5907279</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sheetPr>
  <dimension ref="A1:L82"/>
  <sheetViews>
    <sheetView showGridLines="0" defaultGridColor="0" topLeftCell="A5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06-016-2040-61</v>
      </c>
    </row>
    <row r="3" spans="1:2" x14ac:dyDescent="0.2">
      <c r="A3" t="s">
        <v>1013</v>
      </c>
      <c r="B3" s="138" t="str">
        <f>COVER!A15</f>
        <v>COOK</v>
      </c>
    </row>
    <row r="4" spans="1:2" x14ac:dyDescent="0.2">
      <c r="A4" t="s">
        <v>1064</v>
      </c>
      <c r="B4" s="138" t="str">
        <f>COVER!A17</f>
        <v>LAGRANGE AREA DEPARTMENT OF SPECIAL EDUCATION</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KEVIN SMITH</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6926057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66771</v>
      </c>
      <c r="D86" s="2" t="str">
        <f t="shared" si="0"/>
        <v>Error?</v>
      </c>
    </row>
    <row r="87" spans="1:4" x14ac:dyDescent="0.2">
      <c r="A87" s="10">
        <v>26</v>
      </c>
      <c r="D87" s="2" t="str">
        <f t="shared" si="0"/>
        <v>OK</v>
      </c>
    </row>
    <row r="88" spans="1:4" x14ac:dyDescent="0.2">
      <c r="A88" s="5">
        <v>27</v>
      </c>
      <c r="B88" s="138">
        <f>'Assets-Liab 5-6'!C32</f>
        <v>417554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1018778</v>
      </c>
      <c r="C91" s="2" t="s">
        <v>594</v>
      </c>
      <c r="D91" s="2" t="str">
        <f t="shared" si="0"/>
        <v>Error?</v>
      </c>
    </row>
    <row r="92" spans="1:4" x14ac:dyDescent="0.2">
      <c r="A92" s="5">
        <v>31</v>
      </c>
      <c r="B92" s="138">
        <f>'Assets-Liab 5-6'!C39</f>
        <v>5907279</v>
      </c>
      <c r="D92" s="2" t="str">
        <f t="shared" si="0"/>
        <v>Error?</v>
      </c>
    </row>
    <row r="93" spans="1:4" x14ac:dyDescent="0.2">
      <c r="A93" s="5">
        <v>32</v>
      </c>
      <c r="B93" s="138">
        <f>'Assets-Liab 5-6'!C41</f>
        <v>6926057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402203</v>
      </c>
      <c r="D274" s="2" t="str">
        <f t="shared" si="3"/>
        <v>Error?</v>
      </c>
    </row>
    <row r="275" spans="1:4" x14ac:dyDescent="0.2">
      <c r="A275" s="5">
        <v>214</v>
      </c>
      <c r="B275" s="138">
        <f>'Assets-Liab 5-6'!M18</f>
        <v>236553</v>
      </c>
      <c r="D275" s="2" t="str">
        <f t="shared" si="3"/>
        <v>Error?</v>
      </c>
    </row>
    <row r="276" spans="1:4" x14ac:dyDescent="0.2">
      <c r="A276" s="5">
        <v>215</v>
      </c>
      <c r="B276" s="138">
        <f>'Assets-Liab 5-6'!M19</f>
        <v>148251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787007</v>
      </c>
      <c r="C279" s="2" t="s">
        <v>594</v>
      </c>
      <c r="D279" s="2" t="str">
        <f t="shared" si="3"/>
        <v>Error?</v>
      </c>
    </row>
    <row r="280" spans="1:4" x14ac:dyDescent="0.2">
      <c r="A280" s="5">
        <v>219</v>
      </c>
      <c r="B280" s="138">
        <f>'Assets-Liab 5-6'!M40</f>
        <v>787007</v>
      </c>
      <c r="D280" s="2" t="str">
        <f t="shared" si="3"/>
        <v>Error?</v>
      </c>
    </row>
    <row r="281" spans="1:4" x14ac:dyDescent="0.2">
      <c r="A281" s="5">
        <v>220</v>
      </c>
      <c r="B281" s="138">
        <f>'Assets-Liab 5-6'!M41</f>
        <v>787007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118871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585727</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4752403</v>
      </c>
      <c r="C720" s="2" t="s">
        <v>594</v>
      </c>
      <c r="D720" s="2" t="str">
        <f t="shared" si="10"/>
        <v>Error?</v>
      </c>
    </row>
    <row r="721" spans="1:4" x14ac:dyDescent="0.2">
      <c r="A721" s="5">
        <v>660</v>
      </c>
      <c r="B721" s="138">
        <f>'Expenditures 15-22'!C36</f>
        <v>613013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3892057</v>
      </c>
      <c r="D723" s="2" t="str">
        <f t="shared" si="10"/>
        <v>Error?</v>
      </c>
    </row>
    <row r="724" spans="1:4" x14ac:dyDescent="0.2">
      <c r="A724" s="5">
        <v>663</v>
      </c>
      <c r="B724" s="138">
        <f>'Expenditures 15-22'!C39</f>
        <v>1638572</v>
      </c>
      <c r="D724" s="2" t="str">
        <f t="shared" si="10"/>
        <v>Error?</v>
      </c>
    </row>
    <row r="725" spans="1:4" x14ac:dyDescent="0.2">
      <c r="A725" s="5">
        <v>664</v>
      </c>
      <c r="B725" s="138">
        <f>'Expenditures 15-22'!C40</f>
        <v>2778895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8922537</v>
      </c>
      <c r="C727" s="2" t="s">
        <v>594</v>
      </c>
      <c r="D727" s="2" t="str">
        <f t="shared" si="10"/>
        <v>Error?</v>
      </c>
    </row>
    <row r="728" spans="1:4" x14ac:dyDescent="0.2">
      <c r="A728" s="5">
        <v>667</v>
      </c>
      <c r="B728" s="138">
        <f>'Expenditures 15-22'!C44</f>
        <v>175866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175866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223904</v>
      </c>
      <c r="D733" s="2" t="str">
        <f t="shared" si="10"/>
        <v>Error?</v>
      </c>
    </row>
    <row r="734" spans="1:4" x14ac:dyDescent="0.2">
      <c r="A734" s="5">
        <v>673</v>
      </c>
      <c r="B734" s="138">
        <f>'Expenditures 15-22'!C53</f>
        <v>223904</v>
      </c>
      <c r="C734" s="2" t="s">
        <v>594</v>
      </c>
      <c r="D734" s="2" t="str">
        <f t="shared" si="10"/>
        <v>Error?</v>
      </c>
    </row>
    <row r="735" spans="1:4" x14ac:dyDescent="0.2">
      <c r="A735" s="5">
        <v>674</v>
      </c>
      <c r="B735" s="138">
        <f>'Expenditures 15-22'!C55</f>
        <v>848378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848378</v>
      </c>
      <c r="C737" s="2" t="s">
        <v>594</v>
      </c>
      <c r="D737" s="2" t="str">
        <f t="shared" si="10"/>
        <v>Error?</v>
      </c>
    </row>
    <row r="738" spans="1:4" x14ac:dyDescent="0.2">
      <c r="A738" s="5">
        <v>677</v>
      </c>
      <c r="B738" s="138">
        <f>'Expenditures 15-22'!C59</f>
        <v>91800</v>
      </c>
      <c r="D738" s="2" t="str">
        <f t="shared" si="10"/>
        <v>Error?</v>
      </c>
    </row>
    <row r="739" spans="1:4" x14ac:dyDescent="0.2">
      <c r="A739" s="5">
        <v>678</v>
      </c>
      <c r="B739" s="138">
        <f>'Expenditures 15-22'!C60</f>
        <v>49440</v>
      </c>
      <c r="D739" s="2" t="str">
        <f t="shared" si="10"/>
        <v>Error?</v>
      </c>
    </row>
    <row r="740" spans="1:4" x14ac:dyDescent="0.2">
      <c r="A740" s="5">
        <v>679</v>
      </c>
      <c r="B740" s="138">
        <f>'Expenditures 15-22'!C61</f>
        <v>29531</v>
      </c>
      <c r="D740" s="2" t="str">
        <f t="shared" si="10"/>
        <v>Error?</v>
      </c>
    </row>
    <row r="741" spans="1:4" x14ac:dyDescent="0.2">
      <c r="A741" s="5">
        <v>680</v>
      </c>
      <c r="B741" s="138">
        <f>'Expenditures 15-22'!C62</f>
        <v>59972</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230743</v>
      </c>
      <c r="C745" s="2" t="s">
        <v>594</v>
      </c>
      <c r="D745" s="2" t="str">
        <f t="shared" si="10"/>
        <v>Error?</v>
      </c>
    </row>
    <row r="746" spans="1:4" x14ac:dyDescent="0.2">
      <c r="A746" s="5">
        <v>685</v>
      </c>
      <c r="B746" s="138">
        <f>'Expenditures 15-22'!C67</f>
        <v>264886</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36417</v>
      </c>
      <c r="D748" s="2" t="str">
        <f t="shared" si="10"/>
        <v>Error?</v>
      </c>
    </row>
    <row r="749" spans="1:4" x14ac:dyDescent="0.2">
      <c r="A749" s="5">
        <v>688</v>
      </c>
      <c r="B749" s="138">
        <f>'Expenditures 15-22'!C70</f>
        <v>60000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361303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10762731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15515134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9060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156300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1344289</v>
      </c>
      <c r="C778" s="2" t="s">
        <v>594</v>
      </c>
      <c r="D778" s="2" t="str">
        <f t="shared" si="11"/>
        <v>Error?</v>
      </c>
    </row>
    <row r="779" spans="1:4" x14ac:dyDescent="0.2">
      <c r="A779" s="5">
        <v>718</v>
      </c>
      <c r="B779" s="138">
        <f>'Expenditures 15-22'!D36</f>
        <v>89373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1332155</v>
      </c>
      <c r="D781" s="2" t="str">
        <f t="shared" si="11"/>
        <v>Error?</v>
      </c>
    </row>
    <row r="782" spans="1:4" x14ac:dyDescent="0.2">
      <c r="A782" s="5">
        <v>721</v>
      </c>
      <c r="B782" s="138">
        <f>'Expenditures 15-22'!D39</f>
        <v>297929</v>
      </c>
      <c r="D782" s="2" t="str">
        <f t="shared" si="11"/>
        <v>Error?</v>
      </c>
    </row>
    <row r="783" spans="1:4" x14ac:dyDescent="0.2">
      <c r="A783" s="5">
        <v>722</v>
      </c>
      <c r="B783" s="138">
        <f>'Expenditures 15-22'!D40</f>
        <v>425445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2144902</v>
      </c>
      <c r="C785" s="2" t="s">
        <v>594</v>
      </c>
      <c r="D785" s="2" t="str">
        <f t="shared" si="11"/>
        <v>Error?</v>
      </c>
    </row>
    <row r="786" spans="1:4" x14ac:dyDescent="0.2">
      <c r="A786" s="5">
        <v>725</v>
      </c>
      <c r="B786" s="138">
        <f>'Expenditures 15-22'!D44</f>
        <v>50333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50333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65558</v>
      </c>
      <c r="D791" s="2" t="str">
        <f t="shared" si="11"/>
        <v>Error?</v>
      </c>
    </row>
    <row r="792" spans="1:4" x14ac:dyDescent="0.2">
      <c r="A792" s="5">
        <v>731</v>
      </c>
      <c r="B792" s="138">
        <f>'Expenditures 15-22'!D53</f>
        <v>65558</v>
      </c>
      <c r="C792" s="2" t="s">
        <v>594</v>
      </c>
      <c r="D792" s="2" t="str">
        <f t="shared" si="11"/>
        <v>Error?</v>
      </c>
    </row>
    <row r="793" spans="1:4" x14ac:dyDescent="0.2">
      <c r="A793" s="5">
        <v>732</v>
      </c>
      <c r="B793" s="138">
        <f>'Expenditures 15-22'!D55</f>
        <v>218061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218061</v>
      </c>
      <c r="C795" s="2" t="s">
        <v>594</v>
      </c>
      <c r="D795" s="2" t="str">
        <f t="shared" si="11"/>
        <v>Error?</v>
      </c>
    </row>
    <row r="796" spans="1:4" x14ac:dyDescent="0.2">
      <c r="A796" s="5">
        <v>735</v>
      </c>
      <c r="B796" s="138">
        <f>'Expenditures 15-22'!D59</f>
        <v>36135</v>
      </c>
      <c r="D796" s="2" t="str">
        <f t="shared" si="11"/>
        <v>Error?</v>
      </c>
    </row>
    <row r="797" spans="1:4" x14ac:dyDescent="0.2">
      <c r="A797" s="5">
        <v>736</v>
      </c>
      <c r="B797" s="138">
        <f>'Expenditures 15-22'!D60</f>
        <v>29948</v>
      </c>
      <c r="D797" s="2" t="str">
        <f t="shared" si="11"/>
        <v>Error?</v>
      </c>
    </row>
    <row r="798" spans="1:4" x14ac:dyDescent="0.2">
      <c r="A798" s="5">
        <v>737</v>
      </c>
      <c r="B798" s="138">
        <f>'Expenditures 15-22'!D61</f>
        <v>26435</v>
      </c>
      <c r="D798" s="2" t="str">
        <f t="shared" si="11"/>
        <v>Error?</v>
      </c>
    </row>
    <row r="799" spans="1:4" x14ac:dyDescent="0.2">
      <c r="A799" s="5">
        <v>738</v>
      </c>
      <c r="B799" s="138">
        <f>'Expenditures 15-22'!D62</f>
        <v>40129</v>
      </c>
      <c r="D799" s="2" t="str">
        <f t="shared" si="11"/>
        <v>Error?</v>
      </c>
    </row>
    <row r="800" spans="1:4" x14ac:dyDescent="0.2">
      <c r="A800" s="5">
        <v>739</v>
      </c>
      <c r="B800" s="138">
        <f>'Expenditures 15-22'!D63</f>
        <v>0</v>
      </c>
      <c r="D800" s="2" t="str">
        <f t="shared" si="11"/>
        <v>Error?</v>
      </c>
    </row>
    <row r="801" spans="1:4" x14ac:dyDescent="0.2">
      <c r="A801" s="5">
        <v>740</v>
      </c>
      <c r="B801" s="138">
        <f>'Expenditures 15-22'!D64</f>
        <v>462</v>
      </c>
      <c r="D801" s="2" t="str">
        <f t="shared" si="11"/>
        <v>Error?</v>
      </c>
    </row>
    <row r="802" spans="1:4" x14ac:dyDescent="0.2">
      <c r="A802" s="10">
        <v>741</v>
      </c>
      <c r="D802" s="2" t="str">
        <f t="shared" si="11"/>
        <v>OK</v>
      </c>
    </row>
    <row r="803" spans="1:4" x14ac:dyDescent="0.2">
      <c r="A803" s="5">
        <v>742</v>
      </c>
      <c r="B803" s="138">
        <f>'Expenditures 15-22'!D65</f>
        <v>133109</v>
      </c>
      <c r="C803" s="2" t="s">
        <v>594</v>
      </c>
      <c r="D803" s="2" t="str">
        <f t="shared" si="11"/>
        <v>Error?</v>
      </c>
    </row>
    <row r="804" spans="1:4" x14ac:dyDescent="0.2">
      <c r="A804" s="5">
        <v>743</v>
      </c>
      <c r="B804" s="138">
        <f>'Expenditures 15-22'!D67</f>
        <v>144404</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19620</v>
      </c>
      <c r="D806" s="2" t="str">
        <f t="shared" si="11"/>
        <v>Error?</v>
      </c>
    </row>
    <row r="807" spans="1:4" x14ac:dyDescent="0.2">
      <c r="A807" s="5">
        <v>746</v>
      </c>
      <c r="B807" s="138">
        <f>'Expenditures 15-22'!D70</f>
        <v>15727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179751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2791714</v>
      </c>
      <c r="C813" s="2" t="s">
        <v>594</v>
      </c>
      <c r="D813" s="2" t="str">
        <f t="shared" si="11"/>
        <v>Error?</v>
      </c>
    </row>
    <row r="814" spans="1:4" x14ac:dyDescent="0.2">
      <c r="A814" s="5">
        <v>753</v>
      </c>
      <c r="B814" s="138">
        <f>'Expenditures 15-22'!D75</f>
        <v>898</v>
      </c>
      <c r="D814" s="2" t="str">
        <f t="shared" si="11"/>
        <v>Error?</v>
      </c>
    </row>
    <row r="815" spans="1:4" x14ac:dyDescent="0.2">
      <c r="A815" s="5">
        <v>754</v>
      </c>
      <c r="B815" s="138">
        <f>'Expenditures 15-22'!D114</f>
        <v>4136901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21892</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97878</v>
      </c>
      <c r="C836" s="2" t="s">
        <v>594</v>
      </c>
      <c r="D836" s="2" t="str">
        <f t="shared" si="12"/>
        <v>Error?</v>
      </c>
    </row>
    <row r="837" spans="1:4" x14ac:dyDescent="0.2">
      <c r="A837" s="5">
        <v>776</v>
      </c>
      <c r="B837" s="138">
        <f>'Expenditures 15-22'!E36</f>
        <v>41051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74018</v>
      </c>
      <c r="D839" s="2" t="str">
        <f t="shared" si="12"/>
        <v>Error?</v>
      </c>
    </row>
    <row r="840" spans="1:4" x14ac:dyDescent="0.2">
      <c r="A840" s="5">
        <v>779</v>
      </c>
      <c r="B840" s="138">
        <f>'Expenditures 15-22'!E39</f>
        <v>2838</v>
      </c>
      <c r="D840" s="2" t="str">
        <f t="shared" si="12"/>
        <v>Error?</v>
      </c>
    </row>
    <row r="841" spans="1:4" x14ac:dyDescent="0.2">
      <c r="A841" s="5">
        <v>780</v>
      </c>
      <c r="B841" s="138">
        <f>'Expenditures 15-22'!E40</f>
        <v>4532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122439</v>
      </c>
      <c r="C843" s="2" t="s">
        <v>594</v>
      </c>
      <c r="D843" s="2" t="str">
        <f t="shared" si="12"/>
        <v>Error?</v>
      </c>
    </row>
    <row r="844" spans="1:4" x14ac:dyDescent="0.2">
      <c r="A844" s="5">
        <v>783</v>
      </c>
      <c r="B844" s="138">
        <f>'Expenditures 15-22'!E44</f>
        <v>103729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16364</v>
      </c>
      <c r="D846" s="2" t="str">
        <f t="shared" si="12"/>
        <v>Error?</v>
      </c>
    </row>
    <row r="847" spans="1:4" x14ac:dyDescent="0.2">
      <c r="A847" s="5">
        <v>786</v>
      </c>
      <c r="B847" s="138">
        <f>'Expenditures 15-22'!E47</f>
        <v>120093</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225765</v>
      </c>
      <c r="D849" s="2" t="str">
        <f t="shared" si="12"/>
        <v>Error?</v>
      </c>
    </row>
    <row r="850" spans="1:4" x14ac:dyDescent="0.2">
      <c r="A850" s="5">
        <v>789</v>
      </c>
      <c r="B850" s="138">
        <f>'Expenditures 15-22'!E53</f>
        <v>225765</v>
      </c>
      <c r="C850" s="2" t="s">
        <v>594</v>
      </c>
      <c r="D850" s="2" t="str">
        <f t="shared" si="12"/>
        <v>Error?</v>
      </c>
    </row>
    <row r="851" spans="1:4" x14ac:dyDescent="0.2">
      <c r="A851" s="5">
        <v>790</v>
      </c>
      <c r="B851" s="138">
        <f>'Expenditures 15-22'!E55</f>
        <v>43827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43827</v>
      </c>
      <c r="C853" s="2" t="s">
        <v>594</v>
      </c>
      <c r="D853" s="2" t="str">
        <f t="shared" si="12"/>
        <v>Error?</v>
      </c>
    </row>
    <row r="854" spans="1:4" x14ac:dyDescent="0.2">
      <c r="A854" s="5">
        <v>793</v>
      </c>
      <c r="B854" s="138">
        <f>'Expenditures 15-22'!E59</f>
        <v>6636</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482259</v>
      </c>
      <c r="D856" s="2" t="str">
        <f t="shared" si="12"/>
        <v>Error?</v>
      </c>
    </row>
    <row r="857" spans="1:4" x14ac:dyDescent="0.2">
      <c r="A857" s="5">
        <v>796</v>
      </c>
      <c r="B857" s="138">
        <f>'Expenditures 15-22'!E62</f>
        <v>16131</v>
      </c>
      <c r="D857" s="2" t="str">
        <f t="shared" si="12"/>
        <v>Error?</v>
      </c>
    </row>
    <row r="858" spans="1:4" x14ac:dyDescent="0.2">
      <c r="A858" s="5">
        <v>797</v>
      </c>
      <c r="B858" s="138">
        <f>'Expenditures 15-22'!E63</f>
        <v>0</v>
      </c>
      <c r="D858" s="2" t="str">
        <f t="shared" si="12"/>
        <v>Error?</v>
      </c>
    </row>
    <row r="859" spans="1:4" x14ac:dyDescent="0.2">
      <c r="A859" s="5">
        <v>798</v>
      </c>
      <c r="B859" s="138">
        <f>'Expenditures 15-22'!E64</f>
        <v>84812</v>
      </c>
      <c r="D859" s="2" t="str">
        <f t="shared" si="12"/>
        <v>Error?</v>
      </c>
    </row>
    <row r="860" spans="1:4" x14ac:dyDescent="0.2">
      <c r="A860" s="10">
        <v>799</v>
      </c>
      <c r="D860" s="2" t="str">
        <f t="shared" si="12"/>
        <v>OK</v>
      </c>
    </row>
    <row r="861" spans="1:4" x14ac:dyDescent="0.2">
      <c r="A861" s="5">
        <v>800</v>
      </c>
      <c r="B861" s="138">
        <f>'Expenditures 15-22'!E65</f>
        <v>589838</v>
      </c>
      <c r="C861" s="2" t="s">
        <v>594</v>
      </c>
      <c r="D861" s="2" t="str">
        <f t="shared" si="12"/>
        <v>Error?</v>
      </c>
    </row>
    <row r="862" spans="1:4" x14ac:dyDescent="0.2">
      <c r="A862" s="5">
        <v>801</v>
      </c>
      <c r="B862" s="138">
        <f>'Expenditures 15-22'!E67</f>
        <v>34230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43927</v>
      </c>
      <c r="D864" s="2" t="str">
        <f t="shared" si="12"/>
        <v>Error?</v>
      </c>
    </row>
    <row r="865" spans="1:4" x14ac:dyDescent="0.2">
      <c r="A865" s="5">
        <v>804</v>
      </c>
      <c r="B865" s="138">
        <f>'Expenditures 15-22'!E70</f>
        <v>17713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95870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1197832</v>
      </c>
      <c r="C871" s="2" t="s">
        <v>594</v>
      </c>
      <c r="D871" s="2" t="str">
        <f t="shared" si="12"/>
        <v>Error?</v>
      </c>
    </row>
    <row r="872" spans="1:4" x14ac:dyDescent="0.2">
      <c r="A872" s="5">
        <v>811</v>
      </c>
      <c r="B872" s="138">
        <f>'Expenditures 15-22'!E75</f>
        <v>5390</v>
      </c>
      <c r="D872" s="2" t="str">
        <f t="shared" si="12"/>
        <v>Error?</v>
      </c>
    </row>
    <row r="873" spans="1:4" x14ac:dyDescent="0.2">
      <c r="A873" s="5">
        <v>812</v>
      </c>
      <c r="B873" s="138">
        <f>'Expenditures 15-22'!E114</f>
        <v>1301100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5391</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120539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10548</v>
      </c>
      <c r="D897" s="2" t="str">
        <f t="shared" si="13"/>
        <v>Error?</v>
      </c>
    </row>
    <row r="898" spans="1:4" x14ac:dyDescent="0.2">
      <c r="A898" s="5">
        <v>837</v>
      </c>
      <c r="B898" s="138">
        <f>'Expenditures 15-22'!F39</f>
        <v>18509</v>
      </c>
      <c r="D898" s="2" t="str">
        <f t="shared" si="13"/>
        <v>Error?</v>
      </c>
    </row>
    <row r="899" spans="1:4" x14ac:dyDescent="0.2">
      <c r="A899" s="5">
        <v>838</v>
      </c>
      <c r="B899" s="138">
        <f>'Expenditures 15-22'!F40</f>
        <v>2334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31391</v>
      </c>
      <c r="C901" s="2" t="s">
        <v>594</v>
      </c>
      <c r="D901" s="2" t="str">
        <f t="shared" si="13"/>
        <v>Error?</v>
      </c>
    </row>
    <row r="902" spans="1:4" x14ac:dyDescent="0.2">
      <c r="A902" s="5">
        <v>841</v>
      </c>
      <c r="B902" s="138">
        <f>'Expenditures 15-22'!F44</f>
        <v>3424</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3424</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1759</v>
      </c>
      <c r="D907" s="2" t="str">
        <f t="shared" si="13"/>
        <v>Error?</v>
      </c>
    </row>
    <row r="908" spans="1:4" x14ac:dyDescent="0.2">
      <c r="A908" s="5">
        <v>847</v>
      </c>
      <c r="B908" s="138">
        <f>'Expenditures 15-22'!F53</f>
        <v>1759</v>
      </c>
      <c r="C908" s="2" t="s">
        <v>594</v>
      </c>
      <c r="D908" s="2" t="str">
        <f t="shared" si="13"/>
        <v>Error?</v>
      </c>
    </row>
    <row r="909" spans="1:4" x14ac:dyDescent="0.2">
      <c r="A909" s="5">
        <v>848</v>
      </c>
      <c r="B909" s="138">
        <f>'Expenditures 15-22'!F55</f>
        <v>3731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3731</v>
      </c>
      <c r="C911" s="2" t="s">
        <v>594</v>
      </c>
      <c r="D911" s="2" t="str">
        <f t="shared" si="13"/>
        <v>Error?</v>
      </c>
    </row>
    <row r="912" spans="1:4" x14ac:dyDescent="0.2">
      <c r="A912" s="5">
        <v>851</v>
      </c>
      <c r="B912" s="138">
        <f>'Expenditures 15-22'!F59</f>
        <v>13182</v>
      </c>
      <c r="D912" s="2" t="str">
        <f t="shared" si="13"/>
        <v>Error?</v>
      </c>
    </row>
    <row r="913" spans="1:4" x14ac:dyDescent="0.2">
      <c r="A913" s="5">
        <v>852</v>
      </c>
      <c r="B913" s="138">
        <f>'Expenditures 15-22'!F60</f>
        <v>0</v>
      </c>
      <c r="D913" s="2" t="str">
        <f t="shared" si="13"/>
        <v>Error?</v>
      </c>
    </row>
    <row r="914" spans="1:4" x14ac:dyDescent="0.2">
      <c r="A914" s="5">
        <v>853</v>
      </c>
      <c r="B914" s="138">
        <f>'Expenditures 15-22'!F61</f>
        <v>6725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19907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7030</v>
      </c>
      <c r="D922" s="2" t="str">
        <f t="shared" si="13"/>
        <v>Error?</v>
      </c>
    </row>
    <row r="923" spans="1:4" x14ac:dyDescent="0.2">
      <c r="A923" s="5">
        <v>862</v>
      </c>
      <c r="B923" s="138">
        <f>'Expenditures 15-22'!F70</f>
        <v>49</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7079</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67291</v>
      </c>
      <c r="C929" s="2" t="s">
        <v>594</v>
      </c>
      <c r="D929" s="2" t="str">
        <f t="shared" si="13"/>
        <v>Error?</v>
      </c>
    </row>
    <row r="930" spans="1:4" x14ac:dyDescent="0.2">
      <c r="A930" s="5">
        <v>869</v>
      </c>
      <c r="B930" s="138">
        <f>'Expenditures 15-22'!F75</f>
        <v>4406</v>
      </c>
      <c r="D930" s="2" t="str">
        <f t="shared" si="13"/>
        <v>Error?</v>
      </c>
    </row>
    <row r="931" spans="1:4" x14ac:dyDescent="0.2">
      <c r="A931" s="5">
        <v>870</v>
      </c>
      <c r="B931" s="138">
        <f>'Expenditures 15-22'!F114</f>
        <v>192236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683</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1023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1455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1455</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4147</v>
      </c>
      <c r="D1023" s="2" t="str">
        <f t="shared" ref="D1023:D1086" si="15">IF(ISBLANK(B1023),"OK",IF(A1023-B1023=0,"OK","Error?"))</f>
        <v>Error?</v>
      </c>
    </row>
    <row r="1024" spans="1:4" x14ac:dyDescent="0.2">
      <c r="A1024" s="5">
        <v>963</v>
      </c>
      <c r="B1024" s="138">
        <f>'Expenditures 15-22'!H53</f>
        <v>4147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855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855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523</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523</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6980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1861860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1869863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128622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771383</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6317522</v>
      </c>
      <c r="C1108" s="2" t="s">
        <v>594</v>
      </c>
      <c r="D1108" s="2" t="str">
        <f t="shared" si="16"/>
        <v>Error?</v>
      </c>
    </row>
    <row r="1109" spans="1:4" x14ac:dyDescent="0.2">
      <c r="A1109" s="5">
        <v>1048</v>
      </c>
      <c r="B1109" s="138">
        <f>'Expenditures 15-22'!K36</f>
        <v>743437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5308778</v>
      </c>
      <c r="C1111" s="2" t="s">
        <v>594</v>
      </c>
      <c r="D1111" s="2" t="str">
        <f t="shared" si="16"/>
        <v>Error?</v>
      </c>
    </row>
    <row r="1112" spans="1:4" x14ac:dyDescent="0.2">
      <c r="A1112" s="5">
        <v>1051</v>
      </c>
      <c r="B1112" s="138">
        <f>'Expenditures 15-22'!K39</f>
        <v>1957848</v>
      </c>
      <c r="C1112" s="2" t="s">
        <v>594</v>
      </c>
      <c r="D1112" s="2" t="str">
        <f t="shared" si="16"/>
        <v>Error?</v>
      </c>
    </row>
    <row r="1113" spans="1:4" x14ac:dyDescent="0.2">
      <c r="A1113" s="5">
        <v>1052</v>
      </c>
      <c r="B1113" s="138">
        <f>'Expenditures 15-22'!K40</f>
        <v>3211206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11221269</v>
      </c>
      <c r="C1115" s="2" t="s">
        <v>594</v>
      </c>
      <c r="D1115" s="2" t="str">
        <f t="shared" si="16"/>
        <v>Error?</v>
      </c>
    </row>
    <row r="1116" spans="1:4" x14ac:dyDescent="0.2">
      <c r="A1116" s="5">
        <v>1055</v>
      </c>
      <c r="B1116" s="138">
        <f>'Expenditures 15-22'!K44</f>
        <v>334807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16364</v>
      </c>
      <c r="C1118" s="2" t="s">
        <v>594</v>
      </c>
      <c r="D1118" s="2" t="str">
        <f t="shared" si="16"/>
        <v>Error?</v>
      </c>
    </row>
    <row r="1119" spans="1:4" x14ac:dyDescent="0.2">
      <c r="A1119" s="5">
        <v>1058</v>
      </c>
      <c r="B1119" s="138">
        <f>'Expenditures 15-22'!K47</f>
        <v>351171</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521133</v>
      </c>
      <c r="C1121" s="2" t="s">
        <v>594</v>
      </c>
      <c r="D1121" s="2" t="str">
        <f t="shared" si="16"/>
        <v>Error?</v>
      </c>
    </row>
    <row r="1122" spans="1:4" x14ac:dyDescent="0.2">
      <c r="A1122" s="5">
        <v>1061</v>
      </c>
      <c r="B1122" s="138">
        <f>'Expenditures 15-22'!K53</f>
        <v>521133</v>
      </c>
      <c r="C1122" s="2" t="s">
        <v>594</v>
      </c>
      <c r="D1122" s="2" t="str">
        <f t="shared" si="16"/>
        <v>Error?</v>
      </c>
    </row>
    <row r="1123" spans="1:4" x14ac:dyDescent="0.2">
      <c r="A1123" s="5">
        <v>1062</v>
      </c>
      <c r="B1123" s="138">
        <f>'Expenditures 15-22'!K55</f>
        <v>1113997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1113997</v>
      </c>
      <c r="C1125" s="2" t="s">
        <v>594</v>
      </c>
      <c r="D1125" s="2" t="str">
        <f t="shared" si="16"/>
        <v>Error?</v>
      </c>
    </row>
    <row r="1126" spans="1:4" x14ac:dyDescent="0.2">
      <c r="A1126" s="5">
        <v>1065</v>
      </c>
      <c r="B1126" s="138">
        <f>'Expenditures 15-22'!K59</f>
        <v>148838</v>
      </c>
      <c r="C1126" s="2" t="s">
        <v>594</v>
      </c>
      <c r="D1126" s="2" t="str">
        <f t="shared" si="16"/>
        <v>Error?</v>
      </c>
    </row>
    <row r="1127" spans="1:4" x14ac:dyDescent="0.2">
      <c r="A1127" s="5">
        <v>1066</v>
      </c>
      <c r="B1127" s="138">
        <f>'Expenditures 15-22'!K60</f>
        <v>79388</v>
      </c>
      <c r="C1127" s="2" t="s">
        <v>594</v>
      </c>
      <c r="D1127" s="2" t="str">
        <f t="shared" si="16"/>
        <v>Error?</v>
      </c>
    </row>
    <row r="1128" spans="1:4" x14ac:dyDescent="0.2">
      <c r="A1128" s="5">
        <v>1067</v>
      </c>
      <c r="B1128" s="138">
        <f>'Expenditures 15-22'!K61</f>
        <v>544950</v>
      </c>
      <c r="C1128" s="2" t="s">
        <v>594</v>
      </c>
      <c r="D1128" s="2" t="str">
        <f t="shared" si="16"/>
        <v>Error?</v>
      </c>
    </row>
    <row r="1129" spans="1:4" x14ac:dyDescent="0.2">
      <c r="A1129" s="5">
        <v>1068</v>
      </c>
      <c r="B1129" s="138">
        <f>'Expenditures 15-22'!K62</f>
        <v>116232</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85274</v>
      </c>
      <c r="C1131" s="2" t="s">
        <v>594</v>
      </c>
      <c r="D1131" s="2" t="str">
        <f t="shared" si="16"/>
        <v>Error?</v>
      </c>
    </row>
    <row r="1132" spans="1:4" x14ac:dyDescent="0.2">
      <c r="A1132" s="10">
        <v>1071</v>
      </c>
      <c r="D1132" s="2" t="str">
        <f t="shared" si="16"/>
        <v>OK</v>
      </c>
    </row>
    <row r="1133" spans="1:4" x14ac:dyDescent="0.2">
      <c r="A1133" s="5">
        <v>1072</v>
      </c>
      <c r="B1133" s="138">
        <f>'Expenditures 15-22'!K65</f>
        <v>974682</v>
      </c>
      <c r="C1133" s="2" t="s">
        <v>594</v>
      </c>
      <c r="D1133" s="2" t="str">
        <f t="shared" si="16"/>
        <v>Error?</v>
      </c>
    </row>
    <row r="1134" spans="1:4" x14ac:dyDescent="0.2">
      <c r="A1134" s="5">
        <v>1073</v>
      </c>
      <c r="B1134" s="138">
        <f>'Expenditures 15-22'!K67</f>
        <v>443520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155574</v>
      </c>
      <c r="C1136" s="2" t="s">
        <v>594</v>
      </c>
      <c r="D1136" s="2" t="str">
        <f t="shared" si="16"/>
        <v>Error?</v>
      </c>
    </row>
    <row r="1137" spans="1:4" x14ac:dyDescent="0.2">
      <c r="A1137" s="5">
        <v>1076</v>
      </c>
      <c r="B1137" s="138">
        <f>'Expenditures 15-22'!K70</f>
        <v>93489</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692583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14874835</v>
      </c>
      <c r="C1143" s="2" t="s">
        <v>594</v>
      </c>
      <c r="D1143" s="2" t="str">
        <f t="shared" si="16"/>
        <v>Error?</v>
      </c>
    </row>
    <row r="1144" spans="1:4" x14ac:dyDescent="0.2">
      <c r="A1144" s="5">
        <v>1083</v>
      </c>
      <c r="B1144" s="138">
        <f>'Expenditures 15-22'!K75</f>
        <v>10694</v>
      </c>
      <c r="C1144" s="2" t="s">
        <v>594</v>
      </c>
      <c r="D1144" s="2" t="str">
        <f t="shared" si="16"/>
        <v>Error?</v>
      </c>
    </row>
    <row r="1145" spans="1:4" x14ac:dyDescent="0.2">
      <c r="A1145" s="5">
        <v>1084</v>
      </c>
      <c r="B1145" s="138">
        <f>'Expenditures 15-22'!K102</f>
        <v>1861860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23064911</v>
      </c>
      <c r="C1152" s="2" t="s">
        <v>594</v>
      </c>
      <c r="D1152" s="2" t="str">
        <f t="shared" si="17"/>
        <v>Error?</v>
      </c>
    </row>
    <row r="1153" spans="1:4" x14ac:dyDescent="0.2">
      <c r="A1153" s="5">
        <v>1092</v>
      </c>
      <c r="B1153" s="138">
        <f>'Expenditures 15-22'!K115</f>
        <v>299657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4790462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5907279</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402203</v>
      </c>
      <c r="D2009" s="2" t="str">
        <f t="shared" si="30"/>
        <v>Error?</v>
      </c>
    </row>
    <row r="2010" spans="1:4" x14ac:dyDescent="0.2">
      <c r="A2010" s="5">
        <v>1949</v>
      </c>
      <c r="B2010" s="138">
        <f>'Cap Outlay Deprec 26'!C10</f>
        <v>236553</v>
      </c>
      <c r="D2010" s="2" t="str">
        <f t="shared" si="30"/>
        <v>Error?</v>
      </c>
    </row>
    <row r="2011" spans="1:4" x14ac:dyDescent="0.2">
      <c r="A2011" s="5">
        <v>1950</v>
      </c>
      <c r="B2011" s="138">
        <f>'Cap Outlay Deprec 26'!C12</f>
        <v>125509</v>
      </c>
      <c r="D2011" s="2" t="str">
        <f t="shared" si="30"/>
        <v>Error?</v>
      </c>
    </row>
    <row r="2012" spans="1:4" x14ac:dyDescent="0.2">
      <c r="A2012" s="5">
        <v>1951</v>
      </c>
      <c r="B2012" s="138">
        <f>'Cap Outlay Deprec 26'!C13</f>
        <v>43614</v>
      </c>
      <c r="D2012" s="2" t="str">
        <f t="shared" si="30"/>
        <v>Error?</v>
      </c>
    </row>
    <row r="2013" spans="1:4" x14ac:dyDescent="0.2">
      <c r="A2013" s="5">
        <v>1952</v>
      </c>
      <c r="B2013" s="138">
        <f>'Cap Outlay Deprec 26'!C16</f>
        <v>807879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9253</v>
      </c>
      <c r="D2023" s="2" t="str">
        <f t="shared" si="30"/>
        <v>Error?</v>
      </c>
    </row>
    <row r="2024" spans="1:4" x14ac:dyDescent="0.2">
      <c r="A2024" s="5">
        <v>1963</v>
      </c>
      <c r="B2024" s="138">
        <f>'Cap Outlay Deprec 26'!E13</f>
        <v>11619</v>
      </c>
      <c r="D2024" s="2" t="str">
        <f t="shared" si="30"/>
        <v>Error?</v>
      </c>
    </row>
    <row r="2025" spans="1:4" x14ac:dyDescent="0.2">
      <c r="A2025" s="5">
        <v>1964</v>
      </c>
      <c r="B2025" s="138">
        <f>'Cap Outlay Deprec 26'!E16</f>
        <v>20872</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402203</v>
      </c>
      <c r="C2027" s="2" t="s">
        <v>594</v>
      </c>
      <c r="D2027" s="2" t="str">
        <f t="shared" si="30"/>
        <v>Error?</v>
      </c>
    </row>
    <row r="2028" spans="1:4" x14ac:dyDescent="0.2">
      <c r="A2028" s="5">
        <v>1967</v>
      </c>
      <c r="B2028" s="138">
        <f>'Cap Outlay Deprec 26'!F10</f>
        <v>236553</v>
      </c>
      <c r="C2028" s="2" t="s">
        <v>594</v>
      </c>
      <c r="D2028" s="2" t="str">
        <f t="shared" si="30"/>
        <v>Error?</v>
      </c>
    </row>
    <row r="2029" spans="1:4" x14ac:dyDescent="0.2">
      <c r="A2029" s="5">
        <v>1968</v>
      </c>
      <c r="B2029" s="138">
        <f>'Cap Outlay Deprec 26'!F12</f>
        <v>116256</v>
      </c>
      <c r="C2029" s="2" t="s">
        <v>594</v>
      </c>
      <c r="D2029" s="2" t="str">
        <f t="shared" si="30"/>
        <v>Error?</v>
      </c>
    </row>
    <row r="2030" spans="1:4" x14ac:dyDescent="0.2">
      <c r="A2030" s="5">
        <v>1969</v>
      </c>
      <c r="B2030" s="138">
        <f>'Cap Outlay Deprec 26'!F13</f>
        <v>31995</v>
      </c>
      <c r="C2030" s="2" t="s">
        <v>594</v>
      </c>
      <c r="D2030" s="2" t="str">
        <f t="shared" si="30"/>
        <v>Error?</v>
      </c>
    </row>
    <row r="2031" spans="1:4" x14ac:dyDescent="0.2">
      <c r="A2031" s="5">
        <v>1970</v>
      </c>
      <c r="B2031" s="138">
        <f>'Cap Outlay Deprec 26'!F16</f>
        <v>787007</v>
      </c>
      <c r="C2031" s="2" t="s">
        <v>594</v>
      </c>
      <c r="D2031" s="2" t="str">
        <f t="shared" si="30"/>
        <v>Error?</v>
      </c>
    </row>
    <row r="2032" spans="1:4" x14ac:dyDescent="0.2">
      <c r="A2032" s="10">
        <v>1971</v>
      </c>
      <c r="D2032" s="2" t="str">
        <f t="shared" si="30"/>
        <v>OK</v>
      </c>
    </row>
    <row r="2033" spans="1:4" x14ac:dyDescent="0.2">
      <c r="A2033" s="5">
        <v>1972</v>
      </c>
      <c r="B2033" s="138">
        <f>'Cap Outlay Deprec 26'!H8</f>
        <v>382948</v>
      </c>
      <c r="D2033" s="2" t="str">
        <f t="shared" si="30"/>
        <v>Error?</v>
      </c>
    </row>
    <row r="2034" spans="1:4" x14ac:dyDescent="0.2">
      <c r="A2034" s="5">
        <v>1973</v>
      </c>
      <c r="B2034" s="138">
        <f>'Cap Outlay Deprec 26'!H10</f>
        <v>124725</v>
      </c>
      <c r="D2034" s="2" t="str">
        <f t="shared" si="30"/>
        <v>Error?</v>
      </c>
    </row>
    <row r="2035" spans="1:4" x14ac:dyDescent="0.2">
      <c r="A2035" s="5">
        <v>1974</v>
      </c>
      <c r="B2035" s="138">
        <f>'Cap Outlay Deprec 26'!H12</f>
        <v>84917</v>
      </c>
      <c r="D2035" s="2" t="str">
        <f t="shared" si="30"/>
        <v>Error?</v>
      </c>
    </row>
    <row r="2036" spans="1:4" x14ac:dyDescent="0.2">
      <c r="A2036" s="5">
        <v>1975</v>
      </c>
      <c r="B2036" s="138">
        <f>'Cap Outlay Deprec 26'!H13</f>
        <v>42714</v>
      </c>
      <c r="D2036" s="2" t="str">
        <f t="shared" si="30"/>
        <v>Error?</v>
      </c>
    </row>
    <row r="2037" spans="1:4" x14ac:dyDescent="0.2">
      <c r="A2037" s="5">
        <v>1976</v>
      </c>
      <c r="B2037" s="138">
        <f>'Cap Outlay Deprec 26'!H16</f>
        <v>635304</v>
      </c>
      <c r="C2037" s="2" t="s">
        <v>594</v>
      </c>
      <c r="D2037" s="2" t="str">
        <f t="shared" si="30"/>
        <v>Error?</v>
      </c>
    </row>
    <row r="2038" spans="1:4" x14ac:dyDescent="0.2">
      <c r="A2038" s="10">
        <v>1977</v>
      </c>
      <c r="D2038" s="2" t="str">
        <f t="shared" si="30"/>
        <v>OK</v>
      </c>
    </row>
    <row r="2039" spans="1:4" x14ac:dyDescent="0.2">
      <c r="A2039" s="5">
        <v>1978</v>
      </c>
      <c r="B2039" s="138">
        <f>'Cap Outlay Deprec 26'!I8</f>
        <v>1510</v>
      </c>
      <c r="D2039" s="2" t="str">
        <f t="shared" si="30"/>
        <v>Error?</v>
      </c>
    </row>
    <row r="2040" spans="1:4" x14ac:dyDescent="0.2">
      <c r="A2040" s="5">
        <v>1979</v>
      </c>
      <c r="B2040" s="138">
        <f>'Cap Outlay Deprec 26'!I10</f>
        <v>11828</v>
      </c>
      <c r="D2040" s="2" t="str">
        <f t="shared" si="30"/>
        <v>Error?</v>
      </c>
    </row>
    <row r="2041" spans="1:4" x14ac:dyDescent="0.2">
      <c r="A2041" s="5">
        <v>1980</v>
      </c>
      <c r="B2041" s="138">
        <f>'Cap Outlay Deprec 26'!I12</f>
        <v>8146</v>
      </c>
      <c r="D2041" s="2" t="str">
        <f t="shared" si="30"/>
        <v>Error?</v>
      </c>
    </row>
    <row r="2042" spans="1:4" x14ac:dyDescent="0.2">
      <c r="A2042" s="5">
        <v>1981</v>
      </c>
      <c r="B2042" s="138">
        <f>'Cap Outlay Deprec 26'!I13</f>
        <v>600</v>
      </c>
      <c r="D2042" s="2" t="str">
        <f t="shared" si="30"/>
        <v>Error?</v>
      </c>
    </row>
    <row r="2043" spans="1:4" x14ac:dyDescent="0.2">
      <c r="A2043" s="5">
        <v>1982</v>
      </c>
      <c r="B2043" s="138">
        <f>'Cap Outlay Deprec 26'!I16</f>
        <v>22084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9253</v>
      </c>
      <c r="D2047" s="2" t="str">
        <f t="shared" ref="D2047:D2110" si="31">IF(ISBLANK(B2047),"OK",IF(A2047-B2047=0,"OK","Error?"))</f>
        <v>Error?</v>
      </c>
    </row>
    <row r="2048" spans="1:4" x14ac:dyDescent="0.2">
      <c r="A2048" s="5">
        <v>1987</v>
      </c>
      <c r="B2048" s="138">
        <f>'Cap Outlay Deprec 26'!J13</f>
        <v>11319</v>
      </c>
      <c r="D2048" s="2" t="str">
        <f t="shared" si="31"/>
        <v>Error?</v>
      </c>
    </row>
    <row r="2049" spans="1:4" x14ac:dyDescent="0.2">
      <c r="A2049" s="5">
        <v>1988</v>
      </c>
      <c r="B2049" s="138">
        <f>'Cap Outlay Deprec 26'!J16</f>
        <v>20572</v>
      </c>
      <c r="C2049" s="2" t="s">
        <v>594</v>
      </c>
      <c r="D2049" s="2" t="str">
        <f t="shared" si="31"/>
        <v>Error?</v>
      </c>
    </row>
    <row r="2050" spans="1:4" x14ac:dyDescent="0.2">
      <c r="A2050" s="10">
        <v>1989</v>
      </c>
      <c r="D2050" s="2" t="str">
        <f t="shared" si="31"/>
        <v>OK</v>
      </c>
    </row>
    <row r="2051" spans="1:4" x14ac:dyDescent="0.2">
      <c r="A2051" s="5">
        <v>1990</v>
      </c>
      <c r="B2051" s="138">
        <f>'Cap Outlay Deprec 26'!K8</f>
        <v>384458</v>
      </c>
      <c r="C2051" s="2" t="s">
        <v>594</v>
      </c>
      <c r="D2051" s="2" t="str">
        <f t="shared" si="31"/>
        <v>Error?</v>
      </c>
    </row>
    <row r="2052" spans="1:4" x14ac:dyDescent="0.2">
      <c r="A2052" s="5">
        <v>1991</v>
      </c>
      <c r="B2052" s="138">
        <f>'Cap Outlay Deprec 26'!K10</f>
        <v>136553</v>
      </c>
      <c r="C2052" s="2" t="s">
        <v>594</v>
      </c>
      <c r="D2052" s="2" t="str">
        <f t="shared" si="31"/>
        <v>Error?</v>
      </c>
    </row>
    <row r="2053" spans="1:4" x14ac:dyDescent="0.2">
      <c r="A2053" s="5">
        <v>1992</v>
      </c>
      <c r="B2053" s="138">
        <f>'Cap Outlay Deprec 26'!K12</f>
        <v>83810</v>
      </c>
      <c r="C2053" s="2" t="s">
        <v>594</v>
      </c>
      <c r="D2053" s="2" t="str">
        <f t="shared" si="31"/>
        <v>Error?</v>
      </c>
    </row>
    <row r="2054" spans="1:4" x14ac:dyDescent="0.2">
      <c r="A2054" s="5">
        <v>1993</v>
      </c>
      <c r="B2054" s="138">
        <f>'Cap Outlay Deprec 26'!K13</f>
        <v>31995</v>
      </c>
      <c r="C2054" s="2" t="s">
        <v>594</v>
      </c>
      <c r="D2054" s="2" t="str">
        <f t="shared" si="31"/>
        <v>Error?</v>
      </c>
    </row>
    <row r="2055" spans="1:4" x14ac:dyDescent="0.2">
      <c r="A2055" s="5">
        <v>1994</v>
      </c>
      <c r="B2055" s="138">
        <f>'Cap Outlay Deprec 26'!K16</f>
        <v>636816</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17745</v>
      </c>
      <c r="C2057" s="2" t="s">
        <v>594</v>
      </c>
      <c r="D2057" s="2" t="str">
        <f t="shared" si="31"/>
        <v>Error?</v>
      </c>
    </row>
    <row r="2058" spans="1:4" x14ac:dyDescent="0.2">
      <c r="A2058" s="5">
        <v>1997</v>
      </c>
      <c r="B2058" s="138">
        <f>'Cap Outlay Deprec 26'!L10</f>
        <v>100000</v>
      </c>
      <c r="C2058" s="2" t="s">
        <v>594</v>
      </c>
      <c r="D2058" s="2" t="str">
        <f t="shared" si="31"/>
        <v>Error?</v>
      </c>
    </row>
    <row r="2059" spans="1:4" x14ac:dyDescent="0.2">
      <c r="A2059" s="5">
        <v>1998</v>
      </c>
      <c r="B2059" s="138">
        <f>'Cap Outlay Deprec 26'!L12</f>
        <v>32446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150191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1861860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1861860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14022380</v>
      </c>
      <c r="C2551" s="2" t="s">
        <v>594</v>
      </c>
      <c r="D2551" s="2" t="str">
        <f t="shared" si="38"/>
        <v>Error?</v>
      </c>
    </row>
    <row r="2552" spans="1:4" x14ac:dyDescent="0.2">
      <c r="A2552" s="10">
        <v>2491</v>
      </c>
      <c r="D2552" s="2" t="str">
        <f t="shared" si="38"/>
        <v>OK</v>
      </c>
    </row>
    <row r="2553" spans="1:4" x14ac:dyDescent="0.2">
      <c r="A2553" s="5">
        <v>2492</v>
      </c>
      <c r="B2553" s="138">
        <f>'Acct Summary 7-8'!C6</f>
        <v>2299262</v>
      </c>
      <c r="C2553" s="2" t="s">
        <v>594</v>
      </c>
      <c r="D2553" s="2" t="str">
        <f t="shared" si="38"/>
        <v>Error?</v>
      </c>
    </row>
    <row r="2554" spans="1:4" x14ac:dyDescent="0.2">
      <c r="A2554" s="5">
        <v>2493</v>
      </c>
      <c r="B2554" s="138">
        <f>'Acct Summary 7-8'!C7</f>
        <v>5368086</v>
      </c>
      <c r="C2554" s="2" t="s">
        <v>594</v>
      </c>
      <c r="D2554" s="2" t="str">
        <f t="shared" si="38"/>
        <v>Error?</v>
      </c>
    </row>
    <row r="2555" spans="1:4" x14ac:dyDescent="0.2">
      <c r="A2555" s="5">
        <v>2494</v>
      </c>
      <c r="B2555" s="138">
        <f>'Acct Summary 7-8'!C8</f>
        <v>23364568</v>
      </c>
      <c r="C2555" s="2" t="s">
        <v>594</v>
      </c>
      <c r="D2555" s="2" t="str">
        <f t="shared" si="38"/>
        <v>Error?</v>
      </c>
    </row>
    <row r="2556" spans="1:4" x14ac:dyDescent="0.2">
      <c r="A2556" s="5">
        <v>2495</v>
      </c>
      <c r="B2556" s="138">
        <f>'Acct Summary 7-8'!C12</f>
        <v>6317522</v>
      </c>
      <c r="C2556" s="2" t="s">
        <v>594</v>
      </c>
      <c r="D2556" s="2" t="str">
        <f t="shared" si="38"/>
        <v>Error?</v>
      </c>
    </row>
    <row r="2557" spans="1:4" x14ac:dyDescent="0.2">
      <c r="A2557" s="5">
        <v>2496</v>
      </c>
      <c r="B2557" s="138">
        <f>'Acct Summary 7-8'!C13</f>
        <v>14874835</v>
      </c>
      <c r="C2557" s="2" t="s">
        <v>594</v>
      </c>
      <c r="D2557" s="2" t="str">
        <f t="shared" si="38"/>
        <v>Error?</v>
      </c>
    </row>
    <row r="2558" spans="1:4" x14ac:dyDescent="0.2">
      <c r="A2558" s="5">
        <v>2497</v>
      </c>
      <c r="B2558" s="138">
        <f>'Acct Summary 7-8'!C14</f>
        <v>10694</v>
      </c>
      <c r="C2558" s="2" t="s">
        <v>594</v>
      </c>
      <c r="D2558" s="2" t="str">
        <f t="shared" si="38"/>
        <v>Error?</v>
      </c>
    </row>
    <row r="2559" spans="1:4" x14ac:dyDescent="0.2">
      <c r="A2559" s="5">
        <v>2498</v>
      </c>
      <c r="B2559" s="138">
        <f>'Acct Summary 7-8'!C15</f>
        <v>1861860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23064911</v>
      </c>
      <c r="C2561" s="2" t="s">
        <v>594</v>
      </c>
      <c r="D2561" s="2" t="str">
        <f t="shared" si="39"/>
        <v>Error?</v>
      </c>
    </row>
    <row r="2562" spans="1:4" x14ac:dyDescent="0.2">
      <c r="A2562" s="5">
        <v>2501</v>
      </c>
      <c r="B2562" s="138">
        <f>'Acct Summary 7-8'!C20</f>
        <v>299657</v>
      </c>
      <c r="C2562" s="2" t="s">
        <v>594</v>
      </c>
      <c r="D2562" s="2" t="str">
        <f t="shared" si="39"/>
        <v>Error?</v>
      </c>
    </row>
    <row r="2563" spans="1:4" x14ac:dyDescent="0.2">
      <c r="A2563" s="5">
        <v>2502</v>
      </c>
      <c r="B2563" s="138">
        <f>'Acct Summary 7-8'!C80</f>
        <v>817160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1838657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23203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1838657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23203</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299657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4047805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1178929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75394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115049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340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5417517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1674840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3613560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6198168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29562736</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6198168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29263079</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5907279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275717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33697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154869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227312</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293468</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13664696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13958164</v>
      </c>
      <c r="C5087" s="2" t="s">
        <v>594</v>
      </c>
      <c r="D5087" s="2" t="str">
        <f t="shared" si="78"/>
        <v>Error?</v>
      </c>
    </row>
    <row r="5088" spans="1:4" x14ac:dyDescent="0.2">
      <c r="A5088" s="5">
        <v>5027</v>
      </c>
      <c r="B5088" s="138">
        <f>'Revenues 9-14'!C65</f>
        <v>51823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51823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12363</v>
      </c>
      <c r="D5118" s="2" t="str">
        <f t="shared" si="78"/>
        <v>Error?</v>
      </c>
    </row>
    <row r="5119" spans="1:4" x14ac:dyDescent="0.2">
      <c r="A5119" s="5">
        <v>5058</v>
      </c>
      <c r="B5119" s="138">
        <f>'Revenues 9-14'!C107</f>
        <v>30</v>
      </c>
      <c r="D5119" s="2" t="str">
        <f t="shared" ref="D5119:D5182" si="79">IF(ISBLANK(B5119),"OK",IF(A5119-B5119=0,"OK","Error?"))</f>
        <v>Error?</v>
      </c>
    </row>
    <row r="5120" spans="1:4" x14ac:dyDescent="0.2">
      <c r="A5120" s="5">
        <v>5059</v>
      </c>
      <c r="B5120" s="138">
        <f>'Revenues 9-14'!C108</f>
        <v>12393</v>
      </c>
      <c r="C5120" s="2" t="s">
        <v>594</v>
      </c>
      <c r="D5120" s="2" t="str">
        <f t="shared" si="79"/>
        <v>Error?</v>
      </c>
    </row>
    <row r="5121" spans="1:4" x14ac:dyDescent="0.2">
      <c r="A5121" s="5">
        <v>5060</v>
      </c>
      <c r="B5121" s="138">
        <f>'Revenues 9-14'!C109</f>
        <v>14022380</v>
      </c>
      <c r="C5121" s="2" t="s">
        <v>594</v>
      </c>
      <c r="D5121" s="2" t="str">
        <f t="shared" si="79"/>
        <v>Error?</v>
      </c>
    </row>
    <row r="5122" spans="1:4" x14ac:dyDescent="0.2">
      <c r="A5122" s="5">
        <v>5061</v>
      </c>
      <c r="B5122" s="138">
        <f>'Revenues 9-14'!C111</f>
        <v>702758</v>
      </c>
      <c r="D5122" s="2" t="str">
        <f t="shared" si="79"/>
        <v>Error?</v>
      </c>
    </row>
    <row r="5123" spans="1:4" x14ac:dyDescent="0.2">
      <c r="A5123" s="5">
        <v>5062</v>
      </c>
      <c r="B5123" s="138">
        <f>'Revenues 9-14'!C112</f>
        <v>972082</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1674840</v>
      </c>
      <c r="C5125" s="2" t="s">
        <v>594</v>
      </c>
      <c r="D5125" s="2" t="str">
        <f t="shared" si="79"/>
        <v>Error?</v>
      </c>
    </row>
    <row r="5126" spans="1:4" x14ac:dyDescent="0.2">
      <c r="A5126" s="5">
        <v>5065</v>
      </c>
      <c r="B5126" s="138">
        <f>'Revenues 9-14'!C117</f>
        <v>1650113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1650113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412528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412528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81752</v>
      </c>
      <c r="D5177" s="2" t="str">
        <f t="shared" si="79"/>
        <v>Error?</v>
      </c>
    </row>
    <row r="5178" spans="1:4" x14ac:dyDescent="0.2">
      <c r="A5178" s="5">
        <v>5117</v>
      </c>
      <c r="B5178" s="138">
        <f>'Revenues 9-14'!C154</f>
        <v>81752</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649149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2299262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120891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4710469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4831360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5368086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5368086</v>
      </c>
      <c r="C5326" s="2" t="s">
        <v>594</v>
      </c>
      <c r="D5326" s="2" t="str">
        <f t="shared" si="82"/>
        <v>Error?</v>
      </c>
    </row>
    <row r="5327" spans="1:4" x14ac:dyDescent="0.2">
      <c r="A5327" s="5">
        <v>5266</v>
      </c>
      <c r="B5327" s="138">
        <f>'Revenues 9-14'!C275</f>
        <v>23364568</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2401794</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455566</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455137</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534453</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1116817</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0.18905777092972922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1390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1390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230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230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48057</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48057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48287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49677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49677</v>
      </c>
      <c r="D7624" s="2" t="str">
        <f t="shared" si="124"/>
        <v>Error?</v>
      </c>
      <c r="E7624" s="2" t="s">
        <v>19</v>
      </c>
    </row>
    <row r="7625" spans="1:5" x14ac:dyDescent="0.2">
      <c r="A7625">
        <f t="shared" si="123"/>
        <v>7564</v>
      </c>
      <c r="B7625" s="138">
        <f>'Cap Outlay Deprec 26'!I17</f>
        <v>4967.7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27051.7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33094</v>
      </c>
      <c r="D7758" s="2" t="str">
        <f t="shared" si="127"/>
        <v>Error?</v>
      </c>
      <c r="E7758" s="4" t="s">
        <v>1400</v>
      </c>
    </row>
    <row r="7759" spans="1:6" x14ac:dyDescent="0.2">
      <c r="A7759">
        <v>7698</v>
      </c>
      <c r="B7759" s="138">
        <f>'Aud Quest 2'!J88</f>
        <v>33094</v>
      </c>
      <c r="D7759" s="2" t="str">
        <f t="shared" si="127"/>
        <v>Error?</v>
      </c>
      <c r="E7759" s="4" t="s">
        <v>1400</v>
      </c>
    </row>
    <row r="7760" spans="1:6" x14ac:dyDescent="0.2">
      <c r="A7760">
        <v>7699</v>
      </c>
      <c r="B7760" s="138">
        <f>'Aud Quest 2'!J90</f>
        <v>66188</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58950</v>
      </c>
      <c r="D7797" s="2" t="str">
        <f t="shared" si="127"/>
        <v>Error?</v>
      </c>
      <c r="E7797" s="4" t="s">
        <v>2017</v>
      </c>
    </row>
    <row r="7798" spans="1:5" x14ac:dyDescent="0.2">
      <c r="A7798">
        <v>7737</v>
      </c>
      <c r="B7798" s="138">
        <f>'Contracts Paid in CY 29'!F141</f>
        <v>50000</v>
      </c>
      <c r="D7798" s="2" t="str">
        <f t="shared" si="127"/>
        <v>Error?</v>
      </c>
      <c r="E7798" s="4" t="s">
        <v>2017</v>
      </c>
    </row>
    <row r="7799" spans="1:5" x14ac:dyDescent="0.2">
      <c r="A7799">
        <v>7738</v>
      </c>
      <c r="B7799" s="138">
        <f>'Contracts Paid in CY 29'!G141</f>
        <v>8950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60"/>
  <sheetViews>
    <sheetView showGridLines="0" showZeros="0" topLeftCell="A16" zoomScale="110" zoomScaleNormal="110" workbookViewId="0">
      <selection activeCell="B43" sqref="B4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LAGRANGE AREA DEPARTMENT OF SPECIAL EDUCATION</v>
      </c>
      <c r="B7" s="2420"/>
      <c r="C7" s="2420"/>
      <c r="D7" s="2421"/>
      <c r="E7" s="2422" t="str">
        <f>COVER!A13</f>
        <v>06-016-2040-61</v>
      </c>
      <c r="F7" s="2423"/>
      <c r="G7" s="2429" t="str">
        <f>COVER!T23</f>
        <v>066-005142</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EDER, CASELLA &amp; CO</v>
      </c>
      <c r="H9" s="2435"/>
      <c r="I9" s="2435"/>
      <c r="J9" s="2435"/>
      <c r="K9" s="2435"/>
      <c r="L9" s="2436"/>
    </row>
    <row r="10" spans="1:29" ht="13.5" customHeight="1" x14ac:dyDescent="0.2">
      <c r="A10" s="2409">
        <f>COVER!A38</f>
        <v>0</v>
      </c>
      <c r="B10" s="2410"/>
      <c r="C10" s="2410"/>
      <c r="D10" s="2410"/>
      <c r="E10" s="2410"/>
      <c r="F10" s="2411"/>
      <c r="G10" s="2403" t="str">
        <f>COVER!T17</f>
        <v>5400 WEST ELM STREET, SUITE 203</v>
      </c>
      <c r="H10" s="2404"/>
      <c r="I10" s="2404"/>
      <c r="J10" s="2404"/>
      <c r="K10" s="2404"/>
      <c r="L10" s="2405"/>
    </row>
    <row r="11" spans="1:29" ht="13.5" customHeight="1" x14ac:dyDescent="0.2">
      <c r="A11" s="1185" t="s">
        <v>1599</v>
      </c>
      <c r="B11" s="1186"/>
      <c r="C11" s="1187"/>
      <c r="D11" s="1192"/>
      <c r="E11" s="1187"/>
      <c r="F11" s="1191"/>
      <c r="G11" s="2403" t="str">
        <f>COVER!T19</f>
        <v>MCHENRY</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CPAS@EDERCASELLA.COM</v>
      </c>
      <c r="J13" s="2416"/>
      <c r="K13" s="2416"/>
      <c r="L13" s="2417"/>
    </row>
    <row r="14" spans="1:29" ht="13.5" customHeight="1" x14ac:dyDescent="0.2">
      <c r="A14" s="2403" t="str">
        <f>COVER!A19</f>
        <v>1301 WEST COSSITT AVENUE</v>
      </c>
      <c r="B14" s="2404"/>
      <c r="C14" s="2404"/>
      <c r="D14" s="2404"/>
      <c r="E14" s="2404"/>
      <c r="F14" s="2405"/>
      <c r="G14" s="1196" t="s">
        <v>1247</v>
      </c>
      <c r="H14" s="1194"/>
      <c r="I14" s="1194"/>
      <c r="J14" s="1194"/>
      <c r="K14" s="1194"/>
      <c r="L14" s="1195"/>
    </row>
    <row r="15" spans="1:29" ht="13.5" customHeight="1" x14ac:dyDescent="0.2">
      <c r="A15" s="2403" t="str">
        <f>COVER!A21</f>
        <v>LAGRANGE</v>
      </c>
      <c r="B15" s="2404"/>
      <c r="C15" s="2404"/>
      <c r="D15" s="2404"/>
      <c r="E15" s="2404"/>
      <c r="F15" s="2405"/>
      <c r="G15" s="2400" t="str">
        <f>COVER!T15</f>
        <v>KEVIN SMITH</v>
      </c>
      <c r="H15" s="2401"/>
      <c r="I15" s="2401"/>
      <c r="J15" s="2401"/>
      <c r="K15" s="2401"/>
      <c r="L15" s="2402"/>
    </row>
    <row r="16" spans="1:29" ht="12.2" customHeight="1" x14ac:dyDescent="0.2">
      <c r="A16" s="2425">
        <f>COVER!A25</f>
        <v>60525</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815-344-1300</v>
      </c>
      <c r="H18" s="2420"/>
      <c r="I18" s="2420"/>
      <c r="J18" s="2420"/>
      <c r="K18" s="2419" t="str">
        <f>COVER!X21</f>
        <v>815-344-1320</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2093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2093</v>
      </c>
      <c r="C26" s="1203" t="s">
        <v>1801</v>
      </c>
    </row>
    <row r="27" spans="1:13" s="1199" customFormat="1" ht="9" customHeight="1" x14ac:dyDescent="0.2">
      <c r="B27" s="1204"/>
      <c r="C27" s="1203"/>
    </row>
    <row r="28" spans="1:13" s="1199" customFormat="1" ht="12.2" customHeight="1" x14ac:dyDescent="0.2">
      <c r="A28" s="1206"/>
      <c r="B28" s="1202" t="s">
        <v>2093</v>
      </c>
      <c r="C28" s="1203" t="s">
        <v>1802</v>
      </c>
    </row>
    <row r="29" spans="1:13" s="1199" customFormat="1" ht="9" customHeight="1" x14ac:dyDescent="0.2">
      <c r="A29" s="1206"/>
      <c r="B29" s="1204"/>
      <c r="C29" s="1203"/>
    </row>
    <row r="30" spans="1:13" s="1199" customFormat="1" ht="12.2" customHeight="1" x14ac:dyDescent="0.2">
      <c r="B30" s="1202" t="s">
        <v>2093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2093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2093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2093</v>
      </c>
      <c r="C38" s="1203" t="s">
        <v>1647</v>
      </c>
    </row>
    <row r="39" spans="1:8" ht="9" customHeight="1" x14ac:dyDescent="0.2">
      <c r="B39" s="1204"/>
      <c r="C39" s="1207"/>
    </row>
    <row r="40" spans="1:8" s="1199" customFormat="1" ht="13.5" customHeight="1" x14ac:dyDescent="0.2">
      <c r="B40" s="1202" t="s">
        <v>2093</v>
      </c>
      <c r="C40" s="1203" t="s">
        <v>1648</v>
      </c>
    </row>
    <row r="41" spans="1:8" ht="9" customHeight="1" x14ac:dyDescent="0.2">
      <c r="A41" s="1208"/>
      <c r="B41" s="1204"/>
      <c r="C41" s="1207"/>
    </row>
    <row r="42" spans="1:8" s="1199" customFormat="1" ht="13.5" customHeight="1" x14ac:dyDescent="0.2">
      <c r="B42" s="1202" t="s">
        <v>2093</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27"/>
  <sheetViews>
    <sheetView showGridLines="0" zoomScale="125" zoomScaleNormal="125" workbookViewId="0">
      <selection activeCell="D48" sqref="D4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LAGRANGE AREA DEPARTMENT OF SPECIAL EDUCATION</v>
      </c>
      <c r="B1" s="2418"/>
      <c r="C1" s="2418"/>
      <c r="D1" s="2418"/>
    </row>
    <row r="2" spans="1:11" s="1215" customFormat="1" ht="12.75" x14ac:dyDescent="0.2">
      <c r="A2" s="2442" t="str">
        <f>'Single Audit Cover'!E7</f>
        <v>06-016-2040-61</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LAGRANGE AREA DEPARTMENT OF SPECIAL EDUCATION</v>
      </c>
      <c r="B1" s="2445"/>
      <c r="C1" s="2445"/>
      <c r="D1" s="2445"/>
      <c r="E1" s="2445"/>
    </row>
    <row r="2" spans="1:5" x14ac:dyDescent="0.2">
      <c r="A2" s="2446" t="str">
        <f>'Single Audit Cover'!E7</f>
        <v>06-016-2040-61</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5368086</v>
      </c>
    </row>
    <row r="11" spans="1:5" ht="18" customHeight="1" x14ac:dyDescent="0.2">
      <c r="A11" s="1261" t="s">
        <v>1302</v>
      </c>
      <c r="B11" s="1262"/>
      <c r="C11" s="1262"/>
    </row>
    <row r="12" spans="1:5" x14ac:dyDescent="0.2">
      <c r="A12" s="1261" t="s">
        <v>1301</v>
      </c>
      <c r="B12" s="1262" t="s">
        <v>1300</v>
      </c>
      <c r="C12" s="1262"/>
      <c r="D12" s="1264">
        <f>SUM('Revenues 9-14'!C112:D112,'Revenues 9-14'!F112:G112)</f>
        <v>972082</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-33697</v>
      </c>
    </row>
    <row r="19" spans="1:4" ht="13.5" thickBot="1" x14ac:dyDescent="0.25">
      <c r="A19" s="1265" t="s">
        <v>1297</v>
      </c>
      <c r="D19" s="1266">
        <f>SUM(D10:D17)</f>
        <v>6306471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6306471</v>
      </c>
    </row>
    <row r="33" spans="1:4" x14ac:dyDescent="0.2">
      <c r="D33" s="1269"/>
    </row>
    <row r="34" spans="1:4" x14ac:dyDescent="0.2">
      <c r="A34" s="317" t="s">
        <v>1294</v>
      </c>
    </row>
    <row r="35" spans="1:4" x14ac:dyDescent="0.2">
      <c r="A35" s="317" t="s">
        <v>1293</v>
      </c>
      <c r="B35" s="1258" t="s">
        <v>1292</v>
      </c>
      <c r="D35" s="1270">
        <f>+' SEFA'!F27</f>
        <v>6306471</v>
      </c>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6306471</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52"/>
  <sheetViews>
    <sheetView showGridLines="0" zoomScale="120" zoomScaleNormal="120" workbookViewId="0">
      <selection activeCell="E39" sqref="E3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LAGRANGE AREA DEPARTMENT OF SPECIAL EDUCATION</v>
      </c>
      <c r="B1" s="2458"/>
      <c r="C1" s="2458"/>
      <c r="D1" s="2458"/>
      <c r="E1" s="2458"/>
      <c r="F1" s="2458"/>
    </row>
    <row r="2" spans="1:7" ht="13.5" customHeight="1" x14ac:dyDescent="0.2">
      <c r="A2" s="2459" t="str">
        <f>'Single Audit Cover'!E7</f>
        <v>06-016-2040-61</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2137</v>
      </c>
      <c r="B7" s="2457"/>
      <c r="C7" s="2457"/>
      <c r="D7" s="2457"/>
      <c r="E7" s="2457"/>
      <c r="F7" s="245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2093</v>
      </c>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7" t="s">
        <v>2138</v>
      </c>
      <c r="B13" s="2457"/>
      <c r="C13" s="2457"/>
      <c r="D13" s="2457"/>
      <c r="E13" s="2457"/>
      <c r="F13" s="2457"/>
    </row>
    <row r="14" spans="1:7" ht="9.75" customHeight="1" x14ac:dyDescent="0.2">
      <c r="C14" s="1260"/>
      <c r="D14" s="1260"/>
    </row>
    <row r="15" spans="1:7" ht="13.5" customHeight="1" x14ac:dyDescent="0.2">
      <c r="C15" s="1869" t="s">
        <v>1332</v>
      </c>
      <c r="D15" s="2455" t="s">
        <v>1331</v>
      </c>
      <c r="E15" s="2455"/>
      <c r="F15" s="2455"/>
    </row>
    <row r="16" spans="1:7" ht="13.5" customHeight="1" x14ac:dyDescent="0.2">
      <c r="A16" s="1282"/>
      <c r="B16" s="1276" t="s">
        <v>1330</v>
      </c>
      <c r="C16" s="1869" t="s">
        <v>1329</v>
      </c>
      <c r="D16" s="2456" t="s">
        <v>1670</v>
      </c>
      <c r="E16" s="2456"/>
      <c r="F16" s="2456"/>
    </row>
    <row r="17" spans="1:6" ht="20.45" customHeight="1" x14ac:dyDescent="0.2">
      <c r="A17" s="1283"/>
      <c r="B17" s="1284" t="s">
        <v>2130</v>
      </c>
      <c r="C17" s="1285">
        <v>84.027000000000001</v>
      </c>
      <c r="D17" s="2450">
        <v>906243</v>
      </c>
      <c r="E17" s="2450"/>
      <c r="F17" s="2450"/>
    </row>
    <row r="18" spans="1:6" ht="20.65" customHeight="1" x14ac:dyDescent="0.2">
      <c r="A18" s="1283"/>
      <c r="B18" s="1284" t="s">
        <v>2082</v>
      </c>
      <c r="C18" s="1285">
        <v>84.173000000000002</v>
      </c>
      <c r="D18" s="2450">
        <v>65839</v>
      </c>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6"/>
      <c r="D30" s="1926"/>
      <c r="E30" s="1286"/>
    </row>
    <row r="31" spans="1:6" ht="12" customHeight="1" x14ac:dyDescent="0.2">
      <c r="A31" s="1287" t="s">
        <v>1630</v>
      </c>
      <c r="B31" s="328"/>
      <c r="C31" s="1476"/>
      <c r="D31" s="1926"/>
      <c r="E31" s="1286"/>
    </row>
    <row r="32" spans="1:6" ht="30" customHeight="1" x14ac:dyDescent="0.2">
      <c r="A32" s="2451" t="s">
        <v>2139</v>
      </c>
      <c r="B32" s="2451"/>
      <c r="C32" s="2451"/>
      <c r="D32" s="2451"/>
      <c r="E32" s="2451"/>
      <c r="F32" s="2451"/>
    </row>
    <row r="33" spans="1:6" ht="13.5" customHeight="1" x14ac:dyDescent="0.2">
      <c r="A33" s="328" t="s">
        <v>1509</v>
      </c>
      <c r="B33" s="328"/>
      <c r="C33" s="1288">
        <v>0</v>
      </c>
      <c r="D33" s="1926"/>
      <c r="E33" s="1286"/>
    </row>
    <row r="34" spans="1:6" ht="13.5" customHeight="1" x14ac:dyDescent="0.2">
      <c r="A34" s="328" t="s">
        <v>1946</v>
      </c>
      <c r="B34" s="328"/>
      <c r="C34" s="1289">
        <v>0</v>
      </c>
      <c r="D34" s="1926" t="s">
        <v>1671</v>
      </c>
      <c r="E34" s="2452">
        <f>+C33+C34</f>
        <v>0</v>
      </c>
      <c r="F34" s="2453"/>
    </row>
    <row r="35" spans="1:6" ht="12" customHeight="1" x14ac:dyDescent="0.2">
      <c r="A35" s="328"/>
      <c r="B35" s="328"/>
      <c r="C35" s="1927"/>
      <c r="D35" s="1926"/>
      <c r="E35" s="1290"/>
      <c r="F35" s="1291"/>
    </row>
    <row r="36" spans="1:6" ht="13.5" customHeight="1" x14ac:dyDescent="0.2">
      <c r="A36" s="1287" t="s">
        <v>1631</v>
      </c>
      <c r="B36" s="328"/>
      <c r="C36" s="1476"/>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7"/>
    </row>
    <row r="50" spans="1:5" s="1300" customFormat="1" ht="3.75" customHeight="1" x14ac:dyDescent="0.2">
      <c r="A50" s="1299"/>
      <c r="B50" s="1868"/>
      <c r="C50" s="1868"/>
      <c r="D50" s="1868"/>
      <c r="E50" s="1397"/>
    </row>
    <row r="51" spans="1:5" s="1300" customFormat="1" ht="20.25" customHeight="1" x14ac:dyDescent="0.2">
      <c r="A51" s="1301">
        <v>6</v>
      </c>
      <c r="B51" s="2449" t="s">
        <v>1632</v>
      </c>
      <c r="C51" s="2449"/>
      <c r="D51" s="2449"/>
    </row>
    <row r="52" spans="1:5" ht="14.25" customHeight="1" x14ac:dyDescent="0.2">
      <c r="A52" s="1301"/>
      <c r="B52" s="2449"/>
      <c r="C52" s="2449"/>
      <c r="D52" s="244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N152"/>
  <sheetViews>
    <sheetView showGridLines="0" zoomScaleNormal="100" workbookViewId="0">
      <selection activeCell="M14" sqref="M14"/>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LAGRANGE AREA DEPARTMENT OF SPECIAL EDUCATION</v>
      </c>
      <c r="C1" s="2462"/>
      <c r="D1" s="2462"/>
      <c r="E1" s="2462"/>
      <c r="F1" s="2462"/>
      <c r="G1" s="2462"/>
      <c r="H1" s="2462"/>
      <c r="I1" s="2462"/>
      <c r="J1" s="2462"/>
      <c r="K1" s="2462"/>
      <c r="L1" s="2462"/>
      <c r="M1" s="2462"/>
    </row>
    <row r="2" spans="2:14" ht="15" x14ac:dyDescent="0.2">
      <c r="B2" s="2459" t="str">
        <f>'Single Audit Cover'!E7</f>
        <v>06-016-2040-61</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2074</v>
      </c>
      <c r="C11" s="1338"/>
      <c r="D11" s="1339"/>
      <c r="E11" s="1340"/>
      <c r="F11" s="1340"/>
      <c r="G11" s="1340"/>
      <c r="H11" s="1340"/>
      <c r="I11" s="1340"/>
      <c r="J11" s="1340"/>
      <c r="K11" s="1340"/>
      <c r="L11" s="1340">
        <f>+G11+I11+K11</f>
        <v>0</v>
      </c>
      <c r="M11" s="1340"/>
    </row>
    <row r="12" spans="2:14" ht="20.100000000000001" customHeight="1" x14ac:dyDescent="0.2">
      <c r="B12" s="1337" t="s">
        <v>2075</v>
      </c>
      <c r="C12" s="1341"/>
      <c r="D12" s="1342"/>
      <c r="E12" s="1343"/>
      <c r="F12" s="1343"/>
      <c r="G12" s="1343"/>
      <c r="H12" s="1343"/>
      <c r="I12" s="1343"/>
      <c r="J12" s="1343"/>
      <c r="K12" s="1343"/>
      <c r="L12" s="1340">
        <f t="shared" ref="L12:L27" si="0">+G12+I12+K12</f>
        <v>0</v>
      </c>
      <c r="M12" s="1343"/>
    </row>
    <row r="13" spans="2:14" ht="20.100000000000001" customHeight="1" x14ac:dyDescent="0.2">
      <c r="B13" s="1337" t="s">
        <v>2076</v>
      </c>
      <c r="C13" s="1341"/>
      <c r="D13" s="1342"/>
      <c r="E13" s="1343"/>
      <c r="F13" s="1343"/>
      <c r="G13" s="1343"/>
      <c r="H13" s="1343"/>
      <c r="I13" s="1343"/>
      <c r="J13" s="1343"/>
      <c r="K13" s="1343"/>
      <c r="L13" s="1340">
        <f t="shared" si="0"/>
        <v>0</v>
      </c>
      <c r="M13" s="1343"/>
    </row>
    <row r="14" spans="2:14" ht="20.100000000000001" customHeight="1" x14ac:dyDescent="0.2">
      <c r="B14" s="1337" t="s">
        <v>2078</v>
      </c>
      <c r="C14" s="1341">
        <v>17.259</v>
      </c>
      <c r="D14" s="1342" t="s">
        <v>2077</v>
      </c>
      <c r="E14" s="1343"/>
      <c r="F14" s="1343">
        <v>227312</v>
      </c>
      <c r="G14" s="1343"/>
      <c r="H14" s="1343"/>
      <c r="I14" s="1343">
        <v>294437</v>
      </c>
      <c r="J14" s="1343"/>
      <c r="K14" s="1343"/>
      <c r="L14" s="1340">
        <f t="shared" si="0"/>
        <v>294437</v>
      </c>
      <c r="M14" s="1343">
        <f>313083+156542</f>
        <v>469625</v>
      </c>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t="s">
        <v>2079</v>
      </c>
      <c r="C16" s="1341"/>
      <c r="D16" s="1342"/>
      <c r="E16" s="1343"/>
      <c r="F16" s="1343"/>
      <c r="G16" s="1343"/>
      <c r="H16" s="1343"/>
      <c r="I16" s="1343"/>
      <c r="J16" s="1343"/>
      <c r="K16" s="1343"/>
      <c r="L16" s="1340">
        <f t="shared" si="0"/>
        <v>0</v>
      </c>
      <c r="M16" s="1343"/>
    </row>
    <row r="17" spans="2:14" ht="20.100000000000001" customHeight="1" x14ac:dyDescent="0.2">
      <c r="B17" s="1337" t="s">
        <v>2080</v>
      </c>
      <c r="C17" s="1341"/>
      <c r="D17" s="1342"/>
      <c r="E17" s="1343"/>
      <c r="F17" s="1343"/>
      <c r="G17" s="1343"/>
      <c r="H17" s="1343"/>
      <c r="I17" s="1343"/>
      <c r="J17" s="1343"/>
      <c r="K17" s="1343"/>
      <c r="L17" s="1340">
        <f t="shared" si="0"/>
        <v>0</v>
      </c>
      <c r="M17" s="1343"/>
    </row>
    <row r="18" spans="2:14" ht="20.100000000000001" customHeight="1" x14ac:dyDescent="0.2">
      <c r="B18" s="1337" t="s">
        <v>2081</v>
      </c>
      <c r="C18" s="1341">
        <v>84.027000000000001</v>
      </c>
      <c r="D18" s="1342" t="s">
        <v>2085</v>
      </c>
      <c r="E18" s="1343"/>
      <c r="F18" s="1343">
        <v>5616712</v>
      </c>
      <c r="G18" s="1343"/>
      <c r="H18" s="1343"/>
      <c r="I18" s="1343">
        <v>5616712</v>
      </c>
      <c r="J18" s="1343">
        <v>906243</v>
      </c>
      <c r="K18" s="1343"/>
      <c r="L18" s="1340">
        <f t="shared" si="0"/>
        <v>5616712</v>
      </c>
      <c r="M18" s="1343">
        <v>5645048</v>
      </c>
    </row>
    <row r="19" spans="2:14" ht="20.100000000000001" customHeight="1" x14ac:dyDescent="0.2">
      <c r="B19" s="1337" t="s">
        <v>2082</v>
      </c>
      <c r="C19" s="1341">
        <v>84.173000000000002</v>
      </c>
      <c r="D19" s="1342" t="s">
        <v>2083</v>
      </c>
      <c r="E19" s="1343"/>
      <c r="F19" s="1343">
        <v>186730</v>
      </c>
      <c r="G19" s="1343"/>
      <c r="H19" s="1343"/>
      <c r="I19" s="1343">
        <v>186730</v>
      </c>
      <c r="J19" s="1343">
        <v>65839</v>
      </c>
      <c r="K19" s="1343"/>
      <c r="L19" s="1340">
        <f t="shared" si="0"/>
        <v>186730</v>
      </c>
      <c r="M19" s="1343">
        <v>274215</v>
      </c>
    </row>
    <row r="20" spans="2:14" ht="20.100000000000001" customHeight="1" x14ac:dyDescent="0.2">
      <c r="B20" s="1337" t="s">
        <v>2084</v>
      </c>
      <c r="C20" s="1341"/>
      <c r="D20" s="1342"/>
      <c r="E20" s="1343"/>
      <c r="F20" s="1343">
        <f>+F18+F19</f>
        <v>5803442</v>
      </c>
      <c r="G20" s="1343"/>
      <c r="H20" s="1343"/>
      <c r="I20" s="1343">
        <f>+I18+I19</f>
        <v>5803442</v>
      </c>
      <c r="J20" s="1343">
        <f>+J18+J19</f>
        <v>972082</v>
      </c>
      <c r="K20" s="1343"/>
      <c r="L20" s="1340">
        <f t="shared" si="0"/>
        <v>5803442</v>
      </c>
      <c r="M20" s="1343">
        <f>+M18+M19</f>
        <v>5919263</v>
      </c>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2086</v>
      </c>
      <c r="C22" s="1341"/>
      <c r="D22" s="1342"/>
      <c r="E22" s="1343"/>
      <c r="F22" s="1343"/>
      <c r="G22" s="1343"/>
      <c r="H22" s="1343"/>
      <c r="I22" s="1343"/>
      <c r="J22" s="1343"/>
      <c r="K22" s="1343"/>
      <c r="L22" s="1340">
        <f t="shared" si="0"/>
        <v>0</v>
      </c>
      <c r="M22" s="1343"/>
    </row>
    <row r="23" spans="2:14" ht="20.100000000000001" customHeight="1" x14ac:dyDescent="0.2">
      <c r="B23" s="1337" t="s">
        <v>2087</v>
      </c>
      <c r="C23" s="1341"/>
      <c r="D23" s="1342"/>
      <c r="E23" s="1343"/>
      <c r="F23" s="1343"/>
      <c r="G23" s="1343"/>
      <c r="H23" s="1343"/>
      <c r="I23" s="1343"/>
      <c r="J23" s="1343"/>
      <c r="K23" s="1343"/>
      <c r="L23" s="1340">
        <f t="shared" si="0"/>
        <v>0</v>
      </c>
      <c r="M23" s="1343"/>
    </row>
    <row r="24" spans="2:14" ht="20.100000000000001" customHeight="1" x14ac:dyDescent="0.2">
      <c r="B24" s="1337" t="s">
        <v>2088</v>
      </c>
      <c r="C24" s="1341"/>
      <c r="D24" s="1342"/>
      <c r="E24" s="1343"/>
      <c r="F24" s="1343"/>
      <c r="G24" s="1343"/>
      <c r="H24" s="1343"/>
      <c r="I24" s="1343"/>
      <c r="J24" s="1343"/>
      <c r="K24" s="1343"/>
      <c r="L24" s="1340">
        <f t="shared" si="0"/>
        <v>0</v>
      </c>
      <c r="M24" s="1343"/>
    </row>
    <row r="25" spans="2:14" ht="20.100000000000001" customHeight="1" x14ac:dyDescent="0.2">
      <c r="B25" s="1337" t="s">
        <v>2089</v>
      </c>
      <c r="C25" s="1341">
        <v>93.778000000000006</v>
      </c>
      <c r="D25" s="1342" t="s">
        <v>2090</v>
      </c>
      <c r="E25" s="1343"/>
      <c r="F25" s="1343">
        <v>275717</v>
      </c>
      <c r="G25" s="1343"/>
      <c r="H25" s="1343"/>
      <c r="I25" s="1343">
        <v>275717</v>
      </c>
      <c r="J25" s="1343"/>
      <c r="K25" s="1343"/>
      <c r="L25" s="1340">
        <f t="shared" si="0"/>
        <v>275717</v>
      </c>
      <c r="M25" s="1343" t="s">
        <v>2092</v>
      </c>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t="s">
        <v>2091</v>
      </c>
      <c r="C27" s="1341"/>
      <c r="D27" s="1342"/>
      <c r="E27" s="1343"/>
      <c r="F27" s="1343">
        <f>+F25+F20+F14</f>
        <v>6306471</v>
      </c>
      <c r="G27" s="1343"/>
      <c r="H27" s="1343"/>
      <c r="I27" s="1343">
        <f>+I25+I20+I14</f>
        <v>6373596</v>
      </c>
      <c r="J27" s="1343"/>
      <c r="K27" s="1343"/>
      <c r="L27" s="1340">
        <f t="shared" si="0"/>
        <v>6373596</v>
      </c>
      <c r="M27" s="1343"/>
      <c r="N27" s="1344"/>
    </row>
    <row r="28" spans="2:14" ht="12.75" customHeight="1" x14ac:dyDescent="0.2">
      <c r="B28" s="2465" t="s">
        <v>2134</v>
      </c>
      <c r="C28" s="2465"/>
      <c r="D28" s="1345"/>
      <c r="E28" s="1346"/>
      <c r="F28" s="1346"/>
      <c r="G28" s="1346"/>
      <c r="H28" s="1346"/>
      <c r="I28" s="1346"/>
      <c r="J28" s="1346"/>
      <c r="K28" s="1346"/>
      <c r="L28" s="1346"/>
      <c r="M28" s="1346"/>
      <c r="N28" s="1344"/>
    </row>
    <row r="29" spans="2:14" x14ac:dyDescent="0.2">
      <c r="B29" s="328"/>
      <c r="C29" s="1347"/>
      <c r="D29" s="1348"/>
      <c r="E29" s="1257"/>
      <c r="F29" s="1257"/>
      <c r="G29" s="1250"/>
      <c r="H29" s="1250"/>
      <c r="I29" s="1250"/>
      <c r="J29" s="1250"/>
      <c r="K29" s="1250"/>
      <c r="L29" s="1250"/>
      <c r="M29" s="1257"/>
      <c r="N29" s="1344"/>
    </row>
    <row r="30" spans="2:14" ht="13.5" customHeight="1" x14ac:dyDescent="0.2">
      <c r="B30" s="1282" t="s">
        <v>1837</v>
      </c>
      <c r="C30" s="1347"/>
      <c r="D30" s="1348"/>
      <c r="E30" s="1257"/>
      <c r="F30" s="1257"/>
      <c r="G30" s="1250"/>
      <c r="H30" s="1250"/>
      <c r="I30" s="1250"/>
      <c r="J30" s="1250"/>
      <c r="K30" s="1250"/>
      <c r="L30" s="1250"/>
      <c r="M30" s="1257"/>
      <c r="N30" s="1344"/>
    </row>
    <row r="31" spans="2:14" ht="8.25" customHeight="1" x14ac:dyDescent="0.2">
      <c r="B31" s="1282"/>
      <c r="C31" s="1347"/>
      <c r="D31" s="1348"/>
      <c r="E31" s="1257"/>
      <c r="F31" s="1257"/>
      <c r="G31" s="1250"/>
      <c r="H31" s="1250"/>
      <c r="I31" s="1250"/>
      <c r="J31" s="1250"/>
      <c r="K31" s="1250"/>
      <c r="L31" s="1250"/>
      <c r="M31" s="1257"/>
      <c r="N31" s="1344"/>
    </row>
    <row r="32" spans="2:14" x14ac:dyDescent="0.2">
      <c r="B32" s="1349" t="s">
        <v>1948</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5">
    <mergeCell ref="B1:M1"/>
    <mergeCell ref="B2:M2"/>
    <mergeCell ref="B3:M3"/>
    <mergeCell ref="B4:M4"/>
    <mergeCell ref="B28:C28"/>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K143"/>
  <sheetViews>
    <sheetView showGridLines="0" defaultGridColor="0" topLeftCell="A83" colorId="8" zoomScale="110" zoomScaleNormal="110" workbookViewId="0">
      <selection activeCell="G89" sqref="G8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9"/>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v>33094</v>
      </c>
      <c r="H85" s="276"/>
      <c r="I85" s="276"/>
      <c r="J85" s="277">
        <f>SUM(E85:I85)</f>
        <v>33094</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v>33094</v>
      </c>
      <c r="H88" s="276"/>
      <c r="I88" s="276"/>
      <c r="J88" s="277">
        <f>SUM(E88:I88)</f>
        <v>33094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66188</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63"/>
  <sheetViews>
    <sheetView showGridLines="0" topLeftCell="A33" zoomScale="110" zoomScaleNormal="110" workbookViewId="0">
      <selection activeCell="L52" sqref="L52"/>
    </sheetView>
  </sheetViews>
  <sheetFormatPr defaultColWidth="9.140625" defaultRowHeight="12.75" x14ac:dyDescent="0.2"/>
  <cols>
    <col min="1" max="1" width="1.42578125" style="1300" customWidth="1"/>
    <col min="2" max="2" width="24.42578125" style="1355"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LAGRANGE AREA DEPARTMENT OF SPECIAL EDUCATION</v>
      </c>
      <c r="C1" s="2478"/>
      <c r="D1" s="2478"/>
      <c r="E1" s="2478"/>
      <c r="F1" s="2478"/>
      <c r="G1" s="2478"/>
      <c r="H1" s="2478"/>
      <c r="I1" s="2478"/>
      <c r="J1" s="1420"/>
    </row>
    <row r="2" spans="2:10" s="317" customFormat="1" ht="12.75" customHeight="1" x14ac:dyDescent="0.2">
      <c r="B2" s="2479" t="str">
        <f>'Single Audit Cover'!E7</f>
        <v>06-016-2040-61</v>
      </c>
      <c r="C2" s="2480"/>
      <c r="D2" s="2480"/>
      <c r="E2" s="2480"/>
      <c r="F2" s="2480"/>
      <c r="G2" s="2480"/>
      <c r="H2" s="2480"/>
      <c r="I2" s="2480"/>
      <c r="J2" s="1420"/>
    </row>
    <row r="3" spans="2:10" s="317" customFormat="1" ht="12.75" customHeight="1" x14ac:dyDescent="0.2">
      <c r="B3" s="2481" t="s">
        <v>1347</v>
      </c>
      <c r="C3" s="2482"/>
      <c r="D3" s="2482"/>
      <c r="E3" s="2482"/>
      <c r="F3" s="2482"/>
      <c r="G3" s="2482"/>
      <c r="H3" s="2482"/>
      <c r="I3" s="2482"/>
      <c r="J3" s="1421"/>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2" t="s">
        <v>1231</v>
      </c>
      <c r="C5" s="1294"/>
      <c r="D5" s="1294"/>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1" t="s">
        <v>1346</v>
      </c>
      <c r="C7" s="2482"/>
      <c r="D7" s="2482"/>
      <c r="E7" s="2482"/>
      <c r="F7" s="2482"/>
      <c r="G7" s="2482"/>
      <c r="H7" s="2482"/>
      <c r="I7" s="2482"/>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8"/>
    </row>
    <row r="11" spans="2:10" s="317" customFormat="1" ht="13.5" customHeight="1" x14ac:dyDescent="0.2">
      <c r="B11" s="1347" t="s">
        <v>1344</v>
      </c>
      <c r="C11" s="2483" t="s">
        <v>2131</v>
      </c>
      <c r="D11" s="2483"/>
      <c r="E11" s="1430"/>
      <c r="F11" s="1430"/>
      <c r="G11" s="1430"/>
    </row>
    <row r="12" spans="2:10" s="317" customFormat="1" ht="11.45" customHeight="1" x14ac:dyDescent="0.2">
      <c r="B12" s="1355"/>
      <c r="C12" s="1431" t="s">
        <v>1517</v>
      </c>
      <c r="D12" s="1432"/>
      <c r="E12" s="1258"/>
    </row>
    <row r="13" spans="2:10" s="317" customFormat="1" ht="12.75" customHeight="1" x14ac:dyDescent="0.2">
      <c r="B13" s="1433"/>
      <c r="C13" s="1385"/>
      <c r="D13" s="1385"/>
      <c r="E13" s="1258"/>
    </row>
    <row r="14" spans="2:10" s="317" customFormat="1" ht="12.75" customHeight="1" x14ac:dyDescent="0.2">
      <c r="B14" s="1366" t="s">
        <v>1343</v>
      </c>
      <c r="C14" s="1282"/>
      <c r="E14" s="1258"/>
    </row>
    <row r="15" spans="2:10" s="317" customFormat="1" ht="13.5" customHeight="1" x14ac:dyDescent="0.2">
      <c r="B15" s="1434" t="s">
        <v>1340</v>
      </c>
      <c r="C15" s="1435"/>
      <c r="D15" s="1396"/>
      <c r="E15" s="1436"/>
      <c r="F15" s="1300" t="s">
        <v>940</v>
      </c>
      <c r="G15" s="1436" t="s">
        <v>2093</v>
      </c>
      <c r="H15" s="1300" t="s">
        <v>1338</v>
      </c>
      <c r="I15" s="1300"/>
    </row>
    <row r="16" spans="2:10" s="317" customFormat="1" ht="8.4499999999999993" customHeight="1" x14ac:dyDescent="0.2">
      <c r="B16" s="1366"/>
      <c r="C16" s="1282"/>
      <c r="E16" s="1381"/>
      <c r="F16" s="1300"/>
      <c r="G16" s="322"/>
      <c r="H16" s="1300"/>
      <c r="I16" s="1300"/>
    </row>
    <row r="17" spans="2:9" s="317" customFormat="1" ht="13.5" customHeight="1" x14ac:dyDescent="0.2">
      <c r="B17" s="1434" t="s">
        <v>1339</v>
      </c>
      <c r="C17" s="1435"/>
      <c r="D17" s="1396"/>
      <c r="E17" s="1437"/>
      <c r="F17" s="1257"/>
      <c r="G17" s="1437"/>
      <c r="H17" s="1300"/>
      <c r="I17" s="1300"/>
    </row>
    <row r="18" spans="2:9" s="317" customFormat="1" ht="12.75" customHeight="1" x14ac:dyDescent="0.2">
      <c r="B18" s="1434" t="s">
        <v>1518</v>
      </c>
      <c r="C18" s="1435"/>
      <c r="D18" s="1396"/>
      <c r="E18" s="1436"/>
      <c r="F18" s="1300" t="s">
        <v>940</v>
      </c>
      <c r="G18" s="1436" t="s">
        <v>2093</v>
      </c>
      <c r="H18" s="1300" t="s">
        <v>1338</v>
      </c>
      <c r="I18" s="1300"/>
    </row>
    <row r="19" spans="2:9" s="317" customFormat="1" ht="8.4499999999999993" customHeight="1" x14ac:dyDescent="0.2">
      <c r="B19" s="1366"/>
      <c r="C19" s="1282"/>
      <c r="E19" s="1381"/>
      <c r="F19" s="1300"/>
      <c r="G19" s="322"/>
      <c r="H19" s="1300"/>
      <c r="I19" s="1300"/>
    </row>
    <row r="20" spans="2:9" s="317" customFormat="1" ht="13.5" customHeight="1" x14ac:dyDescent="0.2">
      <c r="B20" s="1434" t="s">
        <v>1673</v>
      </c>
      <c r="C20" s="1435"/>
      <c r="D20" s="1396"/>
      <c r="E20" s="1436"/>
      <c r="F20" s="1300" t="s">
        <v>940</v>
      </c>
      <c r="G20" s="1436" t="s">
        <v>2093</v>
      </c>
      <c r="H20" s="1300" t="s">
        <v>101</v>
      </c>
      <c r="I20" s="1300"/>
    </row>
    <row r="21" spans="2:9" s="317" customFormat="1" ht="12.75" customHeight="1" x14ac:dyDescent="0.2">
      <c r="B21" s="1366"/>
      <c r="C21" s="1282"/>
      <c r="E21" s="1381"/>
      <c r="F21" s="1300"/>
      <c r="G21" s="322"/>
      <c r="H21" s="1300"/>
      <c r="I21" s="1300"/>
    </row>
    <row r="22" spans="2:9" s="317" customFormat="1" ht="12.75" customHeight="1" x14ac:dyDescent="0.2">
      <c r="B22" s="1428" t="s">
        <v>1342</v>
      </c>
      <c r="C22" s="1438"/>
      <c r="D22" s="1429"/>
      <c r="E22" s="1381"/>
      <c r="F22" s="1300"/>
      <c r="G22" s="322"/>
      <c r="H22" s="1300"/>
      <c r="I22" s="1300"/>
    </row>
    <row r="23" spans="2:9" s="317" customFormat="1" ht="12.75" customHeight="1" x14ac:dyDescent="0.2">
      <c r="B23" s="1366" t="s">
        <v>1341</v>
      </c>
      <c r="C23" s="1282"/>
      <c r="E23" s="1381"/>
      <c r="F23" s="1300"/>
      <c r="G23" s="322"/>
      <c r="H23" s="1300"/>
      <c r="I23" s="1300"/>
    </row>
    <row r="24" spans="2:9" s="317" customFormat="1" ht="13.5" customHeight="1" x14ac:dyDescent="0.2">
      <c r="B24" s="1434" t="s">
        <v>1340</v>
      </c>
      <c r="C24" s="1435"/>
      <c r="D24" s="1396"/>
      <c r="E24" s="1436"/>
      <c r="F24" s="1300" t="s">
        <v>940</v>
      </c>
      <c r="G24" s="1436" t="s">
        <v>2093</v>
      </c>
      <c r="H24" s="1300" t="s">
        <v>1338</v>
      </c>
      <c r="I24" s="1300"/>
    </row>
    <row r="25" spans="2:9" s="317" customFormat="1" ht="8.4499999999999993" customHeight="1" x14ac:dyDescent="0.2">
      <c r="B25" s="1366"/>
      <c r="C25" s="1282"/>
      <c r="E25" s="1381"/>
      <c r="F25" s="1300"/>
      <c r="G25" s="322"/>
      <c r="H25" s="1300"/>
      <c r="I25" s="1300"/>
    </row>
    <row r="26" spans="2:9" s="317" customFormat="1" ht="13.5" customHeight="1" x14ac:dyDescent="0.2">
      <c r="B26" s="1434" t="s">
        <v>1339</v>
      </c>
      <c r="C26" s="1435"/>
      <c r="D26" s="1396"/>
      <c r="E26" s="1437"/>
      <c r="F26" s="1257"/>
      <c r="G26" s="1437"/>
      <c r="H26" s="1300"/>
      <c r="I26" s="1300"/>
    </row>
    <row r="27" spans="2:9" s="317" customFormat="1" ht="12.75" customHeight="1" x14ac:dyDescent="0.2">
      <c r="B27" s="1434" t="s">
        <v>1518</v>
      </c>
      <c r="C27" s="1435"/>
      <c r="D27" s="1396"/>
      <c r="E27" s="1436"/>
      <c r="F27" s="1300" t="s">
        <v>940</v>
      </c>
      <c r="G27" s="1436" t="s">
        <v>2093</v>
      </c>
      <c r="H27" s="1300" t="s">
        <v>1338</v>
      </c>
      <c r="I27" s="1300"/>
    </row>
    <row r="28" spans="2:9" s="317" customFormat="1" ht="12.75" customHeight="1" x14ac:dyDescent="0.2">
      <c r="B28" s="1366"/>
      <c r="C28" s="1282"/>
      <c r="E28" s="1258"/>
    </row>
    <row r="29" spans="2:9" s="317" customFormat="1" ht="12.75" customHeight="1" x14ac:dyDescent="0.2">
      <c r="B29" s="1366" t="s">
        <v>1337</v>
      </c>
      <c r="C29" s="1282"/>
      <c r="D29" s="2484" t="s">
        <v>2131</v>
      </c>
      <c r="E29" s="2484"/>
      <c r="F29" s="2484"/>
      <c r="G29" s="2484"/>
      <c r="H29" s="2484"/>
      <c r="I29" s="2484"/>
    </row>
    <row r="30" spans="2:9" s="317" customFormat="1" x14ac:dyDescent="0.2">
      <c r="B30" s="1366"/>
      <c r="C30" s="322"/>
      <c r="D30" s="1431" t="s">
        <v>1848</v>
      </c>
      <c r="E30" s="1432"/>
      <c r="F30" s="1432"/>
      <c r="G30" s="1432"/>
      <c r="H30" s="1432"/>
      <c r="I30" s="1432"/>
    </row>
    <row r="31" spans="2:9" s="317" customFormat="1" ht="9.9499999999999993" customHeight="1" x14ac:dyDescent="0.2">
      <c r="B31" s="1366"/>
      <c r="E31" s="1258"/>
    </row>
    <row r="32" spans="2:9" s="317" customFormat="1" x14ac:dyDescent="0.2">
      <c r="B32" s="1366" t="s">
        <v>1336</v>
      </c>
      <c r="C32" s="1282"/>
      <c r="E32" s="1258"/>
    </row>
    <row r="33" spans="2:9" ht="13.5" customHeight="1" x14ac:dyDescent="0.2">
      <c r="B33" s="1366" t="s">
        <v>1633</v>
      </c>
      <c r="C33" s="1282"/>
      <c r="E33" s="1436"/>
      <c r="F33" s="1300" t="s">
        <v>940</v>
      </c>
      <c r="G33" s="1436" t="s">
        <v>2093</v>
      </c>
      <c r="H33" s="1300" t="s">
        <v>101</v>
      </c>
    </row>
    <row r="35" spans="2:9" x14ac:dyDescent="0.2">
      <c r="B35" s="1439" t="s">
        <v>1849</v>
      </c>
      <c r="C35" s="1440"/>
      <c r="D35" s="1267"/>
    </row>
    <row r="36" spans="2:9" ht="6" customHeight="1" x14ac:dyDescent="0.2">
      <c r="B36" s="1439"/>
      <c r="C36" s="1440"/>
      <c r="D36" s="1267"/>
    </row>
    <row r="37" spans="2:9" ht="17.25" customHeight="1" x14ac:dyDescent="0.2">
      <c r="B37" s="1441" t="s">
        <v>1850</v>
      </c>
      <c r="C37" s="2485" t="s">
        <v>1851</v>
      </c>
      <c r="D37" s="2486"/>
      <c r="E37" s="2486"/>
      <c r="F37" s="2487"/>
      <c r="G37" s="2485" t="s">
        <v>1674</v>
      </c>
      <c r="H37" s="2486"/>
      <c r="I37" s="2487"/>
    </row>
    <row r="38" spans="2:9" ht="16.5" customHeight="1" x14ac:dyDescent="0.2">
      <c r="B38" s="1442">
        <v>84.027000000000001</v>
      </c>
      <c r="C38" s="2473" t="s">
        <v>2081</v>
      </c>
      <c r="D38" s="2474"/>
      <c r="E38" s="2474"/>
      <c r="F38" s="2475"/>
      <c r="G38" s="2488">
        <v>5616712</v>
      </c>
      <c r="H38" s="2489"/>
      <c r="I38" s="2490"/>
    </row>
    <row r="39" spans="2:9" ht="16.5" customHeight="1" x14ac:dyDescent="0.2">
      <c r="B39" s="1442">
        <v>84.173000000000002</v>
      </c>
      <c r="C39" s="2473" t="s">
        <v>2132</v>
      </c>
      <c r="D39" s="2474"/>
      <c r="E39" s="2474"/>
      <c r="F39" s="2475"/>
      <c r="G39" s="2476">
        <v>186730</v>
      </c>
      <c r="H39" s="2476"/>
      <c r="I39" s="2476"/>
    </row>
    <row r="40" spans="2:9" ht="16.5" customHeight="1" x14ac:dyDescent="0.2">
      <c r="B40" s="1442"/>
      <c r="C40" s="2473"/>
      <c r="D40" s="2474"/>
      <c r="E40" s="2474"/>
      <c r="F40" s="2475"/>
      <c r="G40" s="2476"/>
      <c r="H40" s="2476"/>
      <c r="I40" s="2476"/>
    </row>
    <row r="41" spans="2:9" ht="16.5" customHeight="1" x14ac:dyDescent="0.2">
      <c r="B41" s="1442"/>
      <c r="C41" s="2473"/>
      <c r="D41" s="2474"/>
      <c r="E41" s="2474"/>
      <c r="F41" s="2475"/>
      <c r="G41" s="2476"/>
      <c r="H41" s="2476"/>
      <c r="I41" s="2476"/>
    </row>
    <row r="42" spans="2:9" ht="16.5" customHeight="1" x14ac:dyDescent="0.2">
      <c r="B42" s="1442"/>
      <c r="C42" s="2473"/>
      <c r="D42" s="2474"/>
      <c r="E42" s="2474"/>
      <c r="F42" s="2475"/>
      <c r="G42" s="2476"/>
      <c r="H42" s="2476"/>
      <c r="I42" s="2476"/>
    </row>
    <row r="43" spans="2:9" ht="16.5" customHeight="1" x14ac:dyDescent="0.2">
      <c r="B43" s="1442"/>
      <c r="C43" s="2466" t="s">
        <v>1675</v>
      </c>
      <c r="D43" s="2467"/>
      <c r="E43" s="2467"/>
      <c r="F43" s="2468"/>
      <c r="G43" s="2469">
        <f>SUM(G38:I42)</f>
        <v>5803442</v>
      </c>
      <c r="H43" s="2469"/>
      <c r="I43" s="2469"/>
    </row>
    <row r="44" spans="2:9" ht="12.75" customHeight="1" x14ac:dyDescent="0.2"/>
    <row r="45" spans="2:9" ht="12.75" customHeight="1" x14ac:dyDescent="0.2">
      <c r="B45" s="1433" t="s">
        <v>1949</v>
      </c>
      <c r="D45" s="2470">
        <v>6373596</v>
      </c>
      <c r="E45" s="2471"/>
    </row>
    <row r="46" spans="2:9" ht="5.25" customHeight="1" x14ac:dyDescent="0.2">
      <c r="B46" s="1443"/>
      <c r="D46" s="1444"/>
      <c r="E46" s="1445"/>
    </row>
    <row r="47" spans="2:9" ht="12.75" customHeight="1" x14ac:dyDescent="0.2">
      <c r="B47" s="1300" t="s">
        <v>1676</v>
      </c>
      <c r="C47" s="1300"/>
      <c r="D47" s="1446">
        <f>+G43/D45</f>
        <v>0.91054437714596281</v>
      </c>
      <c r="E47" s="1447"/>
      <c r="F47" s="1448"/>
      <c r="I47" s="1449"/>
    </row>
    <row r="48" spans="2:9" ht="9.9499999999999993" customHeight="1" x14ac:dyDescent="0.2"/>
    <row r="49" spans="1:9" x14ac:dyDescent="0.2">
      <c r="B49" s="1366" t="s">
        <v>1335</v>
      </c>
      <c r="C49" s="1282"/>
      <c r="D49" s="1282"/>
      <c r="E49" s="2472">
        <v>750000</v>
      </c>
      <c r="F49" s="2472"/>
      <c r="G49" s="2472"/>
      <c r="H49" s="322"/>
    </row>
    <row r="51" spans="1:9" ht="13.5" customHeight="1" x14ac:dyDescent="0.2">
      <c r="B51" s="1366" t="s">
        <v>1334</v>
      </c>
      <c r="C51" s="1282"/>
      <c r="E51" s="1436"/>
      <c r="F51" s="1300" t="s">
        <v>940</v>
      </c>
      <c r="G51" s="1436" t="s">
        <v>2100</v>
      </c>
      <c r="H51" s="1300" t="s">
        <v>101</v>
      </c>
    </row>
    <row r="52" spans="1:9" x14ac:dyDescent="0.2">
      <c r="B52" s="1358"/>
      <c r="C52" s="1297"/>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1852</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1853</v>
      </c>
      <c r="C58" s="1462"/>
      <c r="D58" s="1462"/>
    </row>
    <row r="59" spans="1:9" s="1459" customFormat="1" ht="3.95" customHeight="1" x14ac:dyDescent="0.2">
      <c r="A59" s="1456"/>
      <c r="B59" s="1461"/>
      <c r="C59" s="1462"/>
      <c r="D59" s="1462"/>
    </row>
    <row r="60" spans="1:9" s="1459" customFormat="1" ht="13.5" customHeight="1" x14ac:dyDescent="0.2">
      <c r="A60" s="1456"/>
      <c r="B60" s="1461" t="s">
        <v>1854</v>
      </c>
      <c r="C60" s="1462"/>
      <c r="D60" s="1462"/>
    </row>
    <row r="61" spans="1:9" s="1459" customFormat="1" ht="3.95" customHeight="1" x14ac:dyDescent="0.2">
      <c r="A61" s="1456"/>
      <c r="B61" s="1461"/>
      <c r="C61" s="1462"/>
      <c r="D61" s="1462"/>
    </row>
    <row r="62" spans="1:9" s="1459" customFormat="1" ht="12.75" customHeight="1" x14ac:dyDescent="0.2">
      <c r="A62" s="1456"/>
      <c r="B62" s="1461" t="s">
        <v>1855</v>
      </c>
      <c r="C62" s="1462"/>
      <c r="D62" s="1462"/>
    </row>
    <row r="63" spans="1:9" s="1459" customFormat="1" ht="13.5" customHeight="1" x14ac:dyDescent="0.2">
      <c r="A63" s="1456"/>
      <c r="B63" s="1460" t="s">
        <v>1679</v>
      </c>
      <c r="C63" s="1456"/>
      <c r="D63" s="145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LAGRANGE AREA DEPARTMENT OF SPECIAL EDUCATION</v>
      </c>
      <c r="C1" s="2477"/>
      <c r="D1" s="2477"/>
      <c r="E1" s="2477"/>
      <c r="F1" s="2477"/>
      <c r="G1" s="2477"/>
      <c r="H1" s="2477"/>
      <c r="I1" s="2477"/>
      <c r="J1" s="2477"/>
      <c r="K1" s="2477"/>
      <c r="L1" s="1372"/>
      <c r="M1" s="1372"/>
    </row>
    <row r="2" spans="1:13" ht="12" customHeight="1" x14ac:dyDescent="0.2">
      <c r="B2" s="2479" t="str">
        <f>'Single Audit Cover'!E7</f>
        <v>06-016-2040-61</v>
      </c>
      <c r="C2" s="2479"/>
      <c r="D2" s="2479"/>
      <c r="E2" s="2479"/>
      <c r="F2" s="2479"/>
      <c r="G2" s="2479"/>
      <c r="H2" s="2479"/>
      <c r="I2" s="2479"/>
      <c r="J2" s="2479"/>
      <c r="K2" s="2479"/>
      <c r="L2" s="1373"/>
      <c r="M2" s="1374"/>
    </row>
    <row r="3" spans="1:13" ht="10.35" customHeight="1" x14ac:dyDescent="0.2">
      <c r="B3" s="2493" t="s">
        <v>1347</v>
      </c>
      <c r="C3" s="2493"/>
      <c r="D3" s="2493"/>
      <c r="E3" s="2493"/>
      <c r="F3" s="2493"/>
      <c r="G3" s="2493"/>
      <c r="H3" s="2493"/>
      <c r="I3" s="2493"/>
      <c r="J3" s="2493"/>
      <c r="K3" s="2493"/>
      <c r="L3" s="1375"/>
      <c r="M3" s="1375"/>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494" t="s">
        <v>1363</v>
      </c>
      <c r="C7" s="2494"/>
      <c r="D7" s="2495"/>
      <c r="E7" s="2495"/>
      <c r="F7" s="2495"/>
      <c r="G7" s="2495"/>
      <c r="H7" s="2495"/>
      <c r="I7" s="2495"/>
      <c r="J7" s="2495"/>
      <c r="K7" s="249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1950</v>
      </c>
      <c r="D10" s="1384" t="s">
        <v>2092</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492"/>
      <c r="C14" s="2492"/>
      <c r="D14" s="2492"/>
      <c r="E14" s="2492"/>
      <c r="F14" s="2492"/>
      <c r="G14" s="2492"/>
      <c r="H14" s="2492"/>
      <c r="I14" s="2492"/>
      <c r="J14" s="2492"/>
      <c r="K14" s="2492"/>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492"/>
      <c r="C17" s="2492"/>
      <c r="D17" s="2492"/>
      <c r="E17" s="2492"/>
      <c r="F17" s="2492"/>
      <c r="G17" s="2492"/>
      <c r="H17" s="2492"/>
      <c r="I17" s="2492"/>
      <c r="J17" s="2492"/>
      <c r="K17" s="2492"/>
      <c r="L17" s="1379"/>
    </row>
    <row r="18" spans="2:12" ht="4.5" customHeight="1" x14ac:dyDescent="0.2">
      <c r="B18" s="1396"/>
      <c r="C18" s="1396"/>
      <c r="L18" s="1379"/>
    </row>
    <row r="19" spans="2:12" s="1282" customFormat="1" ht="13.5" customHeight="1" x14ac:dyDescent="0.2">
      <c r="B19" s="1391" t="s">
        <v>1843</v>
      </c>
      <c r="C19" s="1391"/>
      <c r="D19" s="1392"/>
      <c r="E19" s="1392"/>
      <c r="F19" s="1392"/>
      <c r="G19" s="1393"/>
      <c r="H19" s="1392"/>
      <c r="I19" s="1393"/>
      <c r="J19" s="1392"/>
      <c r="K19" s="1392"/>
      <c r="L19" s="1394"/>
    </row>
    <row r="20" spans="2:12" ht="45.75" customHeight="1" x14ac:dyDescent="0.2">
      <c r="B20" s="2496"/>
      <c r="C20" s="2496"/>
      <c r="D20" s="2492"/>
      <c r="E20" s="2492"/>
      <c r="F20" s="2492"/>
      <c r="G20" s="2492"/>
      <c r="H20" s="2492"/>
      <c r="I20" s="2492"/>
      <c r="J20" s="2492"/>
      <c r="K20" s="249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2"/>
      <c r="C23" s="2492"/>
      <c r="D23" s="2492"/>
      <c r="E23" s="2492"/>
      <c r="F23" s="2492"/>
      <c r="G23" s="2492"/>
      <c r="H23" s="2492"/>
      <c r="I23" s="2492"/>
      <c r="J23" s="2492"/>
      <c r="K23" s="249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2"/>
      <c r="C26" s="2492"/>
      <c r="D26" s="2492"/>
      <c r="E26" s="2492"/>
      <c r="F26" s="2492"/>
      <c r="G26" s="2492"/>
      <c r="H26" s="2492"/>
      <c r="I26" s="2492"/>
      <c r="J26" s="2492"/>
      <c r="K26" s="249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1"/>
      <c r="C29" s="2491"/>
      <c r="D29" s="2492"/>
      <c r="E29" s="2492"/>
      <c r="F29" s="2492"/>
      <c r="G29" s="2492"/>
      <c r="H29" s="2492"/>
      <c r="I29" s="2492"/>
      <c r="J29" s="2492"/>
      <c r="K29" s="249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491"/>
      <c r="C32" s="2491"/>
      <c r="D32" s="2492"/>
      <c r="E32" s="2492"/>
      <c r="F32" s="2492"/>
      <c r="G32" s="2492"/>
      <c r="H32" s="2492"/>
      <c r="I32" s="2492"/>
      <c r="J32" s="2492"/>
      <c r="K32" s="2492"/>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300" t="s">
        <v>1951</v>
      </c>
      <c r="C36" s="1300"/>
      <c r="L36" s="1379"/>
    </row>
    <row r="37" spans="1:13" ht="9.6" customHeight="1" x14ac:dyDescent="0.2">
      <c r="B37" s="1300" t="s">
        <v>1952</v>
      </c>
      <c r="C37" s="1300"/>
    </row>
    <row r="38" spans="1:13" ht="11.85" customHeight="1" x14ac:dyDescent="0.2">
      <c r="B38" s="1418" t="s">
        <v>1846</v>
      </c>
      <c r="C38" s="1418"/>
    </row>
    <row r="39" spans="1:13" ht="9.6" customHeight="1" x14ac:dyDescent="0.2">
      <c r="B39" s="1300" t="s">
        <v>1348</v>
      </c>
      <c r="C39" s="1300"/>
      <c r="M39" s="1419"/>
    </row>
    <row r="40" spans="1:13" ht="12.6" customHeight="1" x14ac:dyDescent="0.2">
      <c r="B40" s="1418" t="s">
        <v>1847</v>
      </c>
      <c r="C40" s="1418"/>
      <c r="M40" s="1419"/>
    </row>
    <row r="41" spans="1:13" ht="9.6" customHeight="1" x14ac:dyDescent="0.2">
      <c r="B41" s="1300"/>
      <c r="C41" s="1300"/>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LAGRANGE AREA DEPARTMENT OF SPECIAL EDUCATION</v>
      </c>
      <c r="C1" s="2500"/>
      <c r="D1" s="2500"/>
      <c r="E1" s="2500"/>
      <c r="F1" s="2500"/>
      <c r="G1" s="2500"/>
      <c r="H1" s="2500"/>
      <c r="I1" s="2500"/>
      <c r="J1" s="2500"/>
      <c r="K1" s="2500"/>
      <c r="L1" s="1463"/>
    </row>
    <row r="2" spans="1:12" ht="12.75" customHeight="1" x14ac:dyDescent="0.2">
      <c r="B2" s="2501" t="str">
        <f>'Single Audit Cover'!E7</f>
        <v>06-016-2040-61</v>
      </c>
      <c r="C2" s="2501"/>
      <c r="D2" s="2501"/>
      <c r="E2" s="2501"/>
      <c r="F2" s="2501"/>
      <c r="G2" s="2501"/>
      <c r="H2" s="2501"/>
      <c r="I2" s="2501"/>
      <c r="J2" s="2501"/>
      <c r="K2" s="2501"/>
      <c r="L2" s="1464"/>
    </row>
    <row r="3" spans="1:12" ht="12.75" customHeight="1" x14ac:dyDescent="0.2">
      <c r="B3" s="2493" t="s">
        <v>1347</v>
      </c>
      <c r="C3" s="2493"/>
      <c r="D3" s="2493"/>
      <c r="E3" s="2493"/>
      <c r="F3" s="2493"/>
      <c r="G3" s="2493"/>
      <c r="H3" s="2493"/>
      <c r="I3" s="2493"/>
      <c r="J3" s="2493"/>
      <c r="K3" s="2493"/>
      <c r="L3" s="1375"/>
    </row>
    <row r="4" spans="1:12" ht="12.75" customHeight="1" x14ac:dyDescent="0.2">
      <c r="B4" s="2493" t="str">
        <f>'Single Audit Cover'!A4</f>
        <v>Year Ending June 30, 2018</v>
      </c>
      <c r="C4" s="2493"/>
      <c r="D4" s="2493"/>
      <c r="E4" s="2493"/>
      <c r="F4" s="2493"/>
      <c r="G4" s="2493"/>
      <c r="H4" s="2493"/>
      <c r="I4" s="2493"/>
      <c r="J4" s="2493"/>
      <c r="K4" s="2493"/>
      <c r="L4" s="1375"/>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1465" t="s">
        <v>1950</v>
      </c>
      <c r="D8" s="1466" t="s">
        <v>2092</v>
      </c>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4"/>
      <c r="G12" s="2484"/>
      <c r="H12" s="2484"/>
      <c r="I12" s="2484"/>
      <c r="J12" s="2484"/>
      <c r="K12" s="2484"/>
      <c r="L12" s="322"/>
    </row>
    <row r="13" spans="1:12" ht="9.6" customHeight="1" x14ac:dyDescent="0.2">
      <c r="B13" s="1257"/>
      <c r="C13" s="1257"/>
      <c r="D13" s="304"/>
      <c r="E13" s="322"/>
      <c r="F13" s="322"/>
      <c r="G13" s="1381"/>
      <c r="H13" s="322"/>
      <c r="I13" s="1381"/>
      <c r="J13" s="322"/>
      <c r="K13" s="1430"/>
      <c r="L13" s="322"/>
    </row>
    <row r="14" spans="1:12" ht="13.5" customHeight="1" x14ac:dyDescent="0.2">
      <c r="B14" s="1385" t="s">
        <v>1371</v>
      </c>
      <c r="C14" s="1385"/>
      <c r="D14" s="2497"/>
      <c r="E14" s="2497"/>
      <c r="F14" s="2497"/>
      <c r="H14" s="1473" t="s">
        <v>1370</v>
      </c>
      <c r="I14" s="2498"/>
      <c r="J14" s="2498"/>
      <c r="K14" s="2498"/>
      <c r="L14" s="322"/>
    </row>
    <row r="15" spans="1:12" ht="9.4" customHeight="1" x14ac:dyDescent="0.2">
      <c r="B15" s="1385"/>
      <c r="C15" s="1385"/>
      <c r="D15" s="1371"/>
      <c r="E15" s="1260"/>
      <c r="F15" s="1260"/>
      <c r="G15" s="1286"/>
      <c r="H15" s="1260"/>
      <c r="I15" s="1474"/>
      <c r="J15" s="1294"/>
      <c r="K15" s="1291"/>
      <c r="L15" s="322"/>
    </row>
    <row r="16" spans="1:12" ht="13.5" customHeight="1" x14ac:dyDescent="0.2">
      <c r="B16" s="1385" t="s">
        <v>1369</v>
      </c>
      <c r="C16" s="1385"/>
      <c r="D16" s="2498"/>
      <c r="E16" s="2498"/>
      <c r="F16" s="2498"/>
      <c r="G16" s="2498"/>
      <c r="H16" s="2498"/>
      <c r="I16" s="2498"/>
      <c r="J16" s="2498"/>
      <c r="K16" s="2498"/>
      <c r="L16" s="322"/>
    </row>
    <row r="17" spans="2:12" ht="13.5" customHeight="1" x14ac:dyDescent="0.2">
      <c r="B17" s="1385" t="s">
        <v>1368</v>
      </c>
      <c r="C17" s="1385"/>
      <c r="D17" s="2499"/>
      <c r="E17" s="2499"/>
      <c r="F17" s="2499"/>
      <c r="G17" s="2499"/>
      <c r="H17" s="2499"/>
      <c r="I17" s="2499"/>
      <c r="J17" s="2499"/>
      <c r="K17" s="249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2"/>
      <c r="C20" s="2492"/>
      <c r="D20" s="2492"/>
      <c r="E20" s="2492"/>
      <c r="F20" s="2492"/>
      <c r="G20" s="2492"/>
      <c r="H20" s="2492"/>
      <c r="I20" s="2492"/>
      <c r="J20" s="2492"/>
      <c r="K20" s="2492"/>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1857</v>
      </c>
      <c r="C22" s="1475"/>
      <c r="D22" s="322"/>
      <c r="E22" s="322"/>
      <c r="F22" s="322"/>
      <c r="G22" s="1381"/>
      <c r="H22" s="322"/>
      <c r="I22" s="1381"/>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1858</v>
      </c>
      <c r="C25" s="1475"/>
      <c r="D25" s="322"/>
      <c r="E25" s="322"/>
      <c r="F25" s="322"/>
      <c r="G25" s="1381"/>
      <c r="H25" s="322"/>
      <c r="I25" s="1381"/>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1859</v>
      </c>
      <c r="C28" s="1475"/>
      <c r="D28" s="322"/>
      <c r="E28" s="322"/>
      <c r="F28" s="322"/>
      <c r="G28" s="1381"/>
      <c r="H28" s="322"/>
      <c r="I28" s="1381"/>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E73"/>
  <sheetViews>
    <sheetView showGridLines="0" zoomScale="110" zoomScaleNormal="110" workbookViewId="0">
      <selection activeCell="D6" sqref="D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LAGRANGE AREA DEPARTMENT OF SPECIAL EDUCATION</v>
      </c>
      <c r="C1" s="2477"/>
      <c r="D1" s="2477"/>
      <c r="E1" s="1489"/>
    </row>
    <row r="2" spans="2:5" s="1282" customFormat="1" ht="12.75" customHeight="1" x14ac:dyDescent="0.2">
      <c r="B2" s="2479" t="str">
        <f>'Single Audit Cover'!E7</f>
        <v>06-016-2040-61</v>
      </c>
      <c r="C2" s="2479"/>
      <c r="D2" s="2479"/>
      <c r="E2" s="1490"/>
    </row>
    <row r="3" spans="2:5" ht="12.75" customHeight="1" x14ac:dyDescent="0.2">
      <c r="B3" s="2493" t="s">
        <v>1866</v>
      </c>
      <c r="C3" s="2493"/>
      <c r="D3" s="2493"/>
      <c r="E3" s="1274"/>
    </row>
    <row r="4" spans="2:5" s="1282" customFormat="1" ht="12.75" customHeight="1" x14ac:dyDescent="0.2">
      <c r="B4" s="2503" t="str">
        <f>'Single Audit Cover'!A4</f>
        <v>Year Ending June 30, 2018</v>
      </c>
      <c r="C4" s="2503"/>
      <c r="D4" s="2503"/>
      <c r="E4" s="1491"/>
    </row>
    <row r="5" spans="2:5" s="1282" customFormat="1" ht="40.15" customHeight="1" x14ac:dyDescent="0.2">
      <c r="B5" s="1492" t="s">
        <v>1867</v>
      </c>
      <c r="C5" s="328"/>
      <c r="D5" s="328"/>
      <c r="E5" s="328"/>
    </row>
    <row r="6" spans="2:5" s="1282" customFormat="1" ht="13.5" customHeight="1" x14ac:dyDescent="0.2">
      <c r="B6" s="1493" t="s">
        <v>1382</v>
      </c>
      <c r="C6" s="1493" t="s">
        <v>1381</v>
      </c>
      <c r="D6" s="1493" t="s">
        <v>1868</v>
      </c>
    </row>
    <row r="7" spans="2:5" ht="13.5" customHeight="1" x14ac:dyDescent="0.2">
      <c r="B7" s="1494" t="s">
        <v>2133</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7" t="s">
        <v>1380</v>
      </c>
      <c r="C44" s="322"/>
    </row>
    <row r="45" spans="2:5" ht="12.2" customHeight="1" x14ac:dyDescent="0.2">
      <c r="B45" s="1503" t="s">
        <v>1869</v>
      </c>
    </row>
    <row r="46" spans="2:5" ht="12.2" customHeight="1" x14ac:dyDescent="0.2">
      <c r="B46" s="1503" t="s">
        <v>1870</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300"/>
    </row>
    <row r="69" spans="2:2" x14ac:dyDescent="0.2">
      <c r="B69" s="1300"/>
    </row>
    <row r="70" spans="2:2" x14ac:dyDescent="0.2">
      <c r="B70" s="1418"/>
    </row>
    <row r="71" spans="2:2" x14ac:dyDescent="0.2">
      <c r="B71" s="1418"/>
    </row>
    <row r="72" spans="2:2" x14ac:dyDescent="0.2">
      <c r="B72" s="1418"/>
    </row>
    <row r="73" spans="2:2" x14ac:dyDescent="0.2">
      <c r="B73" s="1300"/>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N72"/>
  <sheetViews>
    <sheetView showGridLines="0" defaultGridColor="0" topLeftCell="A16"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2">
        <f>ROUND(D10+F10+H10,5)</f>
        <v>0</v>
      </c>
      <c r="K10" s="222"/>
      <c r="L10" s="355"/>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23364568</v>
      </c>
      <c r="E16" s="356"/>
      <c r="F16" s="1753">
        <f>SUM('Acct Summary 7-8'!C17,'Acct Summary 7-8'!D17,'Acct Summary 7-8'!F17)</f>
        <v>23064911</v>
      </c>
      <c r="G16" s="356"/>
      <c r="H16" s="1753">
        <f>SUM(D16-F16)</f>
        <v>299657</v>
      </c>
      <c r="I16" s="222"/>
      <c r="J16" s="1753">
        <f>SUM('Acct Summary 7-8'!C81,'Acct Summary 7-8'!D81,'Acct Summary 7-8'!F81,'Acct Summary 7-8'!I81)</f>
        <v>5907279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LAGRANGE AREA DEPARTMENT OF SPECIAL EDUCATION</v>
      </c>
      <c r="E7" s="391"/>
      <c r="G7" s="252"/>
      <c r="H7" s="387"/>
      <c r="I7" s="387"/>
      <c r="J7" s="387"/>
      <c r="K7" s="387"/>
      <c r="L7" s="329"/>
      <c r="M7" s="329"/>
      <c r="N7" s="329"/>
      <c r="O7" s="329"/>
      <c r="P7" s="329"/>
    </row>
    <row r="8" spans="1:18" ht="12.75" x14ac:dyDescent="0.2">
      <c r="A8" s="329"/>
      <c r="B8" s="329"/>
      <c r="C8" s="389" t="s">
        <v>1187</v>
      </c>
      <c r="D8" s="392" t="str">
        <f>COVER!A13</f>
        <v>06-016-2040-61</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5907279</v>
      </c>
      <c r="I12" s="404"/>
      <c r="J12" s="404"/>
      <c r="K12" s="405">
        <f>TRUNC((H12/H13*100000),5)/100000</f>
        <v>0.25283065360000001</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23364568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23064911</v>
      </c>
      <c r="I17" s="404"/>
      <c r="J17" s="416"/>
      <c r="K17" s="405">
        <f>TRUNC((H17/H18*100000),5)/100000</f>
        <v>0.98717472540000006</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23364568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3613560</v>
      </c>
      <c r="I24" s="422"/>
      <c r="J24" s="422"/>
      <c r="K24" s="423">
        <f>TRUNC(((H24/H25*100000)/100000),2)</f>
        <v>56.4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64069.197220000002</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N44"/>
  <sheetViews>
    <sheetView showGridLines="0" defaultGridColor="0" colorId="8" zoomScale="110" zoomScaleNormal="110" workbookViewId="0">
      <pane ySplit="2" topLeftCell="A18" activePane="bottomLeft" state="frozen"/>
      <selection activeCell="C4" sqref="C4"/>
      <selection pane="bottomLeft" activeCell="L38" sqref="L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79"/>
      <c r="D3" s="1580"/>
      <c r="E3" s="1580"/>
      <c r="F3" s="1580"/>
      <c r="G3" s="1580"/>
      <c r="H3" s="1580"/>
      <c r="I3" s="1580"/>
      <c r="J3" s="1580"/>
      <c r="K3" s="1580"/>
      <c r="L3" s="1580"/>
      <c r="M3" s="1581"/>
      <c r="N3" s="1582"/>
    </row>
    <row r="4" spans="1:14" ht="13.5" customHeight="1" x14ac:dyDescent="0.2">
      <c r="A4" s="463" t="s">
        <v>1750</v>
      </c>
      <c r="B4" s="464"/>
      <c r="C4" s="465">
        <v>3613560</v>
      </c>
      <c r="D4" s="466">
        <v>0</v>
      </c>
      <c r="E4" s="466">
        <v>0</v>
      </c>
      <c r="F4" s="466">
        <v>0</v>
      </c>
      <c r="G4" s="466">
        <v>0</v>
      </c>
      <c r="H4" s="466">
        <v>0</v>
      </c>
      <c r="I4" s="466">
        <v>0</v>
      </c>
      <c r="J4" s="467">
        <v>0</v>
      </c>
      <c r="K4" s="466">
        <v>0</v>
      </c>
      <c r="L4" s="466"/>
      <c r="M4" s="468"/>
      <c r="N4" s="469"/>
    </row>
    <row r="5" spans="1:14" x14ac:dyDescent="0.2">
      <c r="A5" s="463" t="s">
        <v>1049</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2401794</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455566</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455137</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6" t="s">
        <v>665</v>
      </c>
      <c r="B13" s="1729"/>
      <c r="C13" s="1757">
        <f>SUM(C4:C12)</f>
        <v>6926057</v>
      </c>
      <c r="D13" s="1757">
        <f t="shared" ref="D13:L13" si="0">SUM(D4:D12)</f>
        <v>0</v>
      </c>
      <c r="E13" s="1757">
        <f t="shared" si="0"/>
        <v>0</v>
      </c>
      <c r="F13" s="1757">
        <f t="shared" si="0"/>
        <v>0</v>
      </c>
      <c r="G13" s="1757">
        <f t="shared" si="0"/>
        <v>0</v>
      </c>
      <c r="H13" s="1757">
        <f t="shared" si="0"/>
        <v>0</v>
      </c>
      <c r="I13" s="1757">
        <f t="shared" si="0"/>
        <v>0</v>
      </c>
      <c r="J13" s="1757">
        <f t="shared" si="0"/>
        <v>0</v>
      </c>
      <c r="K13" s="1757">
        <f t="shared" si="0"/>
        <v>0</v>
      </c>
      <c r="L13" s="1757">
        <f t="shared" si="0"/>
        <v>0</v>
      </c>
      <c r="M13" s="468"/>
      <c r="N13" s="469"/>
    </row>
    <row r="14" spans="1:14" ht="18" customHeight="1" thickTop="1" x14ac:dyDescent="0.2">
      <c r="A14" s="2126" t="s">
        <v>149</v>
      </c>
      <c r="B14" s="2127"/>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0</v>
      </c>
      <c r="N16" s="484"/>
    </row>
    <row r="17" spans="1:14" s="485" customFormat="1" ht="12.75" customHeight="1" x14ac:dyDescent="0.2">
      <c r="A17" s="482" t="s">
        <v>1470</v>
      </c>
      <c r="B17" s="483">
        <v>230</v>
      </c>
      <c r="C17" s="477"/>
      <c r="D17" s="477"/>
      <c r="E17" s="477"/>
      <c r="F17" s="477"/>
      <c r="G17" s="477"/>
      <c r="H17" s="477"/>
      <c r="I17" s="477"/>
      <c r="J17" s="477"/>
      <c r="K17" s="477"/>
      <c r="L17" s="477"/>
      <c r="M17" s="467">
        <v>402203</v>
      </c>
      <c r="N17" s="484"/>
    </row>
    <row r="18" spans="1:14" s="485" customFormat="1" ht="12.75" customHeight="1" x14ac:dyDescent="0.2">
      <c r="A18" s="482" t="s">
        <v>1471</v>
      </c>
      <c r="B18" s="483">
        <v>240</v>
      </c>
      <c r="C18" s="477"/>
      <c r="D18" s="477"/>
      <c r="E18" s="477"/>
      <c r="F18" s="477"/>
      <c r="G18" s="477"/>
      <c r="H18" s="477"/>
      <c r="I18" s="477"/>
      <c r="J18" s="477"/>
      <c r="K18" s="477"/>
      <c r="L18" s="477"/>
      <c r="M18" s="467">
        <v>236553</v>
      </c>
      <c r="N18" s="484"/>
    </row>
    <row r="19" spans="1:14" s="485" customFormat="1" ht="12.75" customHeight="1" x14ac:dyDescent="0.2">
      <c r="A19" s="482" t="s">
        <v>1472</v>
      </c>
      <c r="B19" s="483">
        <v>250</v>
      </c>
      <c r="C19" s="477"/>
      <c r="D19" s="477"/>
      <c r="E19" s="477"/>
      <c r="F19" s="477"/>
      <c r="G19" s="477"/>
      <c r="H19" s="477"/>
      <c r="I19" s="477"/>
      <c r="J19" s="477"/>
      <c r="K19" s="477"/>
      <c r="L19" s="477"/>
      <c r="M19" s="467">
        <v>148251</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787007</v>
      </c>
      <c r="N23" s="1708">
        <f>SUM(N21:N22)</f>
        <v>0</v>
      </c>
    </row>
    <row r="24" spans="1:14" ht="18" customHeight="1" thickTop="1" x14ac:dyDescent="0.2">
      <c r="A24" s="2128" t="s">
        <v>619</v>
      </c>
      <c r="B24" s="2129"/>
      <c r="C24" s="1588"/>
      <c r="D24" s="1585"/>
      <c r="E24" s="1585"/>
      <c r="F24" s="1585"/>
      <c r="G24" s="1585"/>
      <c r="H24" s="1585"/>
      <c r="I24" s="1585"/>
      <c r="J24" s="1585"/>
      <c r="K24" s="1585"/>
      <c r="L24" s="1585"/>
      <c r="M24" s="1584"/>
      <c r="N24" s="1589"/>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534453</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66771</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417554</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0</v>
      </c>
      <c r="M33" s="468"/>
      <c r="N33" s="469"/>
    </row>
    <row r="34" spans="1:14" ht="13.5" customHeight="1" thickBot="1" x14ac:dyDescent="0.25">
      <c r="A34" s="1758" t="s">
        <v>675</v>
      </c>
      <c r="B34" s="1759"/>
      <c r="C34" s="1760">
        <f>SUM(C25:C33)</f>
        <v>1018778</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0</v>
      </c>
      <c r="M34" s="468"/>
      <c r="N34" s="480"/>
    </row>
    <row r="35" spans="1:14" ht="18" customHeight="1" thickTop="1" x14ac:dyDescent="0.2">
      <c r="A35" s="2130" t="s">
        <v>550</v>
      </c>
      <c r="B35" s="2131"/>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6" t="s">
        <v>674</v>
      </c>
      <c r="B37" s="1761"/>
      <c r="C37" s="477"/>
      <c r="D37" s="477"/>
      <c r="E37" s="477"/>
      <c r="F37" s="477"/>
      <c r="G37" s="477"/>
      <c r="H37" s="477"/>
      <c r="I37" s="477"/>
      <c r="J37" s="477"/>
      <c r="K37" s="477"/>
      <c r="L37" s="480"/>
      <c r="M37" s="468"/>
      <c r="N37" s="1708">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5907279</v>
      </c>
      <c r="D39" s="466">
        <v>0</v>
      </c>
      <c r="E39" s="466">
        <v>0</v>
      </c>
      <c r="F39" s="466">
        <v>0</v>
      </c>
      <c r="G39" s="466">
        <v>0</v>
      </c>
      <c r="H39" s="466">
        <v>0</v>
      </c>
      <c r="I39" s="466">
        <v>0</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787007</v>
      </c>
      <c r="N40" s="497"/>
    </row>
    <row r="41" spans="1:14" ht="13.5" customHeight="1" thickBot="1" x14ac:dyDescent="0.25">
      <c r="A41" s="1756" t="s">
        <v>676</v>
      </c>
      <c r="B41" s="1726"/>
      <c r="C41" s="1708">
        <f>(SUM(C34,C37,C38,C39))</f>
        <v>6926057</v>
      </c>
      <c r="D41" s="1708">
        <f t="shared" ref="D41:L41" si="2">SUM(D34,D37,D38:D39)</f>
        <v>0</v>
      </c>
      <c r="E41" s="1708">
        <f t="shared" si="2"/>
        <v>0</v>
      </c>
      <c r="F41" s="1708">
        <f t="shared" si="2"/>
        <v>0</v>
      </c>
      <c r="G41" s="1708">
        <f t="shared" si="2"/>
        <v>0</v>
      </c>
      <c r="H41" s="1708">
        <f t="shared" si="2"/>
        <v>0</v>
      </c>
      <c r="I41" s="1708">
        <f t="shared" si="2"/>
        <v>0</v>
      </c>
      <c r="J41" s="1708">
        <f t="shared" si="2"/>
        <v>0</v>
      </c>
      <c r="K41" s="1708">
        <f t="shared" si="2"/>
        <v>0</v>
      </c>
      <c r="L41" s="1708">
        <f t="shared" si="2"/>
        <v>0</v>
      </c>
      <c r="M41" s="1708">
        <f>SUM(M40)</f>
        <v>787007</v>
      </c>
      <c r="N41" s="1708">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M87"/>
  <sheetViews>
    <sheetView showGridLines="0" defaultGridColor="0" colorId="8" zoomScale="110" zoomScaleNormal="110" zoomScaleSheetLayoutView="100" workbookViewId="0">
      <pane ySplit="2" topLeftCell="A3" activePane="bottomLeft" state="frozenSplit"/>
      <selection activeCell="C4" sqref="C4"/>
      <selection pane="bottomLeft" activeCell="K75" sqref="K7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3"/>
      <c r="D3" s="1594"/>
      <c r="E3" s="1594"/>
      <c r="F3" s="1594"/>
      <c r="G3" s="1594"/>
      <c r="H3" s="1594"/>
      <c r="I3" s="1594"/>
      <c r="J3" s="1594"/>
      <c r="K3" s="1595"/>
      <c r="L3" s="506"/>
    </row>
    <row r="4" spans="1:13" ht="15.75" customHeight="1" x14ac:dyDescent="0.2">
      <c r="A4" s="1952" t="s">
        <v>1579</v>
      </c>
      <c r="B4" s="1953">
        <v>1000</v>
      </c>
      <c r="C4" s="1762">
        <f>'Revenues 9-14'!C109</f>
        <v>14022380</v>
      </c>
      <c r="D4" s="1762">
        <f>'Revenues 9-14'!D109</f>
        <v>0</v>
      </c>
      <c r="E4" s="1762">
        <f>'Revenues 9-14'!E109</f>
        <v>0</v>
      </c>
      <c r="F4" s="1762">
        <f>'Revenues 9-14'!F109</f>
        <v>0</v>
      </c>
      <c r="G4" s="1762">
        <f>'Revenues 9-14'!G109</f>
        <v>0</v>
      </c>
      <c r="H4" s="1762">
        <f>'Revenues 9-14'!H109</f>
        <v>0</v>
      </c>
      <c r="I4" s="1762">
        <f>'Revenues 9-14'!I109</f>
        <v>0</v>
      </c>
      <c r="J4" s="1762">
        <f>'Revenues 9-14'!J109</f>
        <v>0</v>
      </c>
      <c r="K4" s="1762">
        <f>'Revenues 9-14'!K109</f>
        <v>0</v>
      </c>
      <c r="L4" s="347"/>
    </row>
    <row r="5" spans="1:13" ht="15.75" customHeight="1" x14ac:dyDescent="0.2">
      <c r="A5" s="1596" t="s">
        <v>1580</v>
      </c>
      <c r="B5" s="1597">
        <v>2000</v>
      </c>
      <c r="C5" s="1763">
        <f>'Revenues 9-14'!C114</f>
        <v>1674840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6" t="s">
        <v>1581</v>
      </c>
      <c r="B6" s="1598">
        <v>3000</v>
      </c>
      <c r="C6" s="1763">
        <f>'Revenues 9-14'!C173</f>
        <v>2299262</v>
      </c>
      <c r="D6" s="1763">
        <f>'Revenues 9-14'!D173</f>
        <v>0</v>
      </c>
      <c r="E6" s="1763">
        <f>'Revenues 9-14'!E173</f>
        <v>0</v>
      </c>
      <c r="F6" s="1763">
        <f>'Revenues 9-14'!F173</f>
        <v>0</v>
      </c>
      <c r="G6" s="1763">
        <f>'Revenues 9-14'!G173</f>
        <v>0</v>
      </c>
      <c r="H6" s="1763">
        <f>'Revenues 9-14'!H173</f>
        <v>0</v>
      </c>
      <c r="I6" s="1763">
        <f>'Revenues 9-14'!I173</f>
        <v>0</v>
      </c>
      <c r="J6" s="1763">
        <f>'Revenues 9-14'!J173</f>
        <v>0</v>
      </c>
      <c r="K6" s="1763">
        <f>'Revenues 9-14'!K173</f>
        <v>0</v>
      </c>
      <c r="L6" s="347"/>
      <c r="M6" s="513"/>
    </row>
    <row r="7" spans="1:13" ht="15.75" customHeight="1" x14ac:dyDescent="0.2">
      <c r="A7" s="1596" t="s">
        <v>1582</v>
      </c>
      <c r="B7" s="1598">
        <v>4000</v>
      </c>
      <c r="C7" s="1763">
        <f>'Revenues 9-14'!C274</f>
        <v>5368086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23364568</v>
      </c>
      <c r="D8" s="1708">
        <f t="shared" ref="D8:K8" si="0">SUM(D4:D7)</f>
        <v>0</v>
      </c>
      <c r="E8" s="1708">
        <f t="shared" si="0"/>
        <v>0</v>
      </c>
      <c r="F8" s="1708">
        <f t="shared" si="0"/>
        <v>0</v>
      </c>
      <c r="G8" s="1708">
        <f t="shared" si="0"/>
        <v>0</v>
      </c>
      <c r="H8" s="1708">
        <f t="shared" si="0"/>
        <v>0</v>
      </c>
      <c r="I8" s="1708">
        <f t="shared" si="0"/>
        <v>0</v>
      </c>
      <c r="J8" s="1708">
        <f t="shared" si="0"/>
        <v>0</v>
      </c>
      <c r="K8" s="1708">
        <f t="shared" si="0"/>
        <v>0</v>
      </c>
      <c r="L8" s="347"/>
    </row>
    <row r="9" spans="1:13" ht="15.75" thickTop="1" x14ac:dyDescent="0.2">
      <c r="A9" s="514" t="s">
        <v>1752</v>
      </c>
      <c r="B9" s="515">
        <v>3998</v>
      </c>
      <c r="C9" s="481">
        <v>6198168</v>
      </c>
      <c r="D9" s="516">
        <v>0</v>
      </c>
      <c r="E9" s="481">
        <v>0</v>
      </c>
      <c r="F9" s="481">
        <v>0</v>
      </c>
      <c r="G9" s="517">
        <v>0</v>
      </c>
      <c r="H9" s="481">
        <v>0</v>
      </c>
      <c r="I9" s="509" t="s">
        <v>1231</v>
      </c>
      <c r="J9" s="478">
        <v>0</v>
      </c>
      <c r="K9" s="481">
        <v>0</v>
      </c>
      <c r="L9" s="347"/>
    </row>
    <row r="10" spans="1:13" s="519" customFormat="1" ht="13.5" thickBot="1" x14ac:dyDescent="0.25">
      <c r="A10" s="1756" t="s">
        <v>1235</v>
      </c>
      <c r="B10" s="1729"/>
      <c r="C10" s="1708">
        <f>SUM(C8:C9)</f>
        <v>29562736</v>
      </c>
      <c r="D10" s="1708">
        <f t="shared" ref="D10:K10" si="1">SUM(D8:D9)</f>
        <v>0</v>
      </c>
      <c r="E10" s="1708">
        <f t="shared" si="1"/>
        <v>0</v>
      </c>
      <c r="F10" s="1708">
        <f t="shared" si="1"/>
        <v>0</v>
      </c>
      <c r="G10" s="1708">
        <f t="shared" si="1"/>
        <v>0</v>
      </c>
      <c r="H10" s="1708">
        <f t="shared" si="1"/>
        <v>0</v>
      </c>
      <c r="I10" s="1708">
        <f t="shared" si="1"/>
        <v>0</v>
      </c>
      <c r="J10" s="1708">
        <f t="shared" si="1"/>
        <v>0</v>
      </c>
      <c r="K10" s="1708">
        <f t="shared" si="1"/>
        <v>0</v>
      </c>
      <c r="L10" s="518"/>
    </row>
    <row r="11" spans="1:13" s="519" customFormat="1" ht="16.7" customHeight="1" thickTop="1" x14ac:dyDescent="0.2">
      <c r="A11" s="2126" t="s">
        <v>1238</v>
      </c>
      <c r="B11" s="2127"/>
      <c r="C11" s="1590"/>
      <c r="D11" s="1591"/>
      <c r="E11" s="1591"/>
      <c r="F11" s="1591"/>
      <c r="G11" s="1591"/>
      <c r="H11" s="1591"/>
      <c r="I11" s="1591"/>
      <c r="J11" s="1591"/>
      <c r="K11" s="1592"/>
      <c r="L11" s="518"/>
    </row>
    <row r="12" spans="1:13" ht="15.75" customHeight="1" x14ac:dyDescent="0.2">
      <c r="A12" s="1596" t="s">
        <v>476</v>
      </c>
      <c r="B12" s="1598">
        <v>1000</v>
      </c>
      <c r="C12" s="1762">
        <f>'Expenditures 15-22'!K33</f>
        <v>6317522</v>
      </c>
      <c r="D12" s="520" t="s">
        <v>1231</v>
      </c>
      <c r="E12" s="468" t="s">
        <v>1231</v>
      </c>
      <c r="F12" s="468" t="s">
        <v>1231</v>
      </c>
      <c r="G12" s="1762">
        <f>'Expenditures 15-22'!K229</f>
        <v>0</v>
      </c>
      <c r="H12" s="521"/>
      <c r="I12" s="468" t="s">
        <v>1231</v>
      </c>
      <c r="J12" s="468" t="s">
        <v>1231</v>
      </c>
      <c r="K12" s="521" t="s">
        <v>1231</v>
      </c>
      <c r="L12" s="347"/>
    </row>
    <row r="13" spans="1:13" ht="15.75" customHeight="1" x14ac:dyDescent="0.2">
      <c r="A13" s="1596" t="s">
        <v>477</v>
      </c>
      <c r="B13" s="1598">
        <v>2000</v>
      </c>
      <c r="C13" s="1763">
        <f>'Expenditures 15-22'!K74</f>
        <v>14874835</v>
      </c>
      <c r="D13" s="1763">
        <f>'Expenditures 15-22'!K129</f>
        <v>0</v>
      </c>
      <c r="E13" s="469" t="s">
        <v>1231</v>
      </c>
      <c r="F13" s="1763">
        <f>'Expenditures 15-22'!K184</f>
        <v>0</v>
      </c>
      <c r="G13" s="1763">
        <f>'Expenditures 15-22'!K279</f>
        <v>0</v>
      </c>
      <c r="H13" s="1763">
        <f>'Expenditures 15-22'!K303</f>
        <v>0</v>
      </c>
      <c r="I13" s="468" t="s">
        <v>1231</v>
      </c>
      <c r="J13" s="1763">
        <f>'Expenditures 15-22'!K330</f>
        <v>0</v>
      </c>
      <c r="K13" s="1767">
        <f>'Expenditures 15-22'!K352</f>
        <v>0</v>
      </c>
      <c r="L13" s="347"/>
    </row>
    <row r="14" spans="1:13" ht="15.75" customHeight="1" x14ac:dyDescent="0.2">
      <c r="A14" s="1596" t="s">
        <v>469</v>
      </c>
      <c r="B14" s="1598">
        <v>3000</v>
      </c>
      <c r="C14" s="1763">
        <f>'Expenditures 15-22'!K75</f>
        <v>10694</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6" t="s">
        <v>109</v>
      </c>
      <c r="B15" s="1598">
        <v>4000</v>
      </c>
      <c r="C15" s="1763">
        <f>'Expenditures 15-22'!K102</f>
        <v>1861860</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23064911</v>
      </c>
      <c r="D17" s="1708">
        <f t="shared" si="2"/>
        <v>0</v>
      </c>
      <c r="E17" s="1708">
        <f t="shared" si="2"/>
        <v>0</v>
      </c>
      <c r="F17" s="1708">
        <f t="shared" si="2"/>
        <v>0</v>
      </c>
      <c r="G17" s="1708">
        <f t="shared" si="2"/>
        <v>0</v>
      </c>
      <c r="H17" s="1708">
        <f t="shared" si="2"/>
        <v>0</v>
      </c>
      <c r="I17" s="468"/>
      <c r="J17" s="1708">
        <f>SUM(J12:J16)</f>
        <v>0</v>
      </c>
      <c r="K17" s="1708">
        <f>SUM(K12:K16)</f>
        <v>0</v>
      </c>
      <c r="L17" s="347"/>
    </row>
    <row r="18" spans="1:12" ht="15" customHeight="1" thickTop="1" x14ac:dyDescent="0.2">
      <c r="A18" s="1764" t="s">
        <v>1753</v>
      </c>
      <c r="B18" s="1765">
        <v>4180</v>
      </c>
      <c r="C18" s="1762">
        <f t="shared" ref="C18:H18" si="3">C9</f>
        <v>6198168</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29263079</v>
      </c>
      <c r="D19" s="1708">
        <f t="shared" si="4"/>
        <v>0</v>
      </c>
      <c r="E19" s="1708">
        <f t="shared" si="4"/>
        <v>0</v>
      </c>
      <c r="F19" s="1708">
        <f t="shared" si="4"/>
        <v>0</v>
      </c>
      <c r="G19" s="1708">
        <f t="shared" si="4"/>
        <v>0</v>
      </c>
      <c r="H19" s="1708">
        <f t="shared" si="4"/>
        <v>0</v>
      </c>
      <c r="I19" s="468"/>
      <c r="J19" s="1708">
        <f>SUM(J17:J18)</f>
        <v>0</v>
      </c>
      <c r="K19" s="1708">
        <f>SUM(K17:K18)</f>
        <v>0</v>
      </c>
      <c r="L19" s="347"/>
    </row>
    <row r="20" spans="1:12" ht="16.5" thickTop="1" thickBot="1" x14ac:dyDescent="0.25">
      <c r="A20" s="2142" t="s">
        <v>1754</v>
      </c>
      <c r="B20" s="2143"/>
      <c r="C20" s="1766">
        <f>C8-C17</f>
        <v>299657</v>
      </c>
      <c r="D20" s="1766">
        <f t="shared" ref="D20:K20" si="5">D8-D17</f>
        <v>0</v>
      </c>
      <c r="E20" s="1766">
        <f t="shared" si="5"/>
        <v>0</v>
      </c>
      <c r="F20" s="1766">
        <f t="shared" si="5"/>
        <v>0</v>
      </c>
      <c r="G20" s="1766">
        <f t="shared" si="5"/>
        <v>0</v>
      </c>
      <c r="H20" s="1766">
        <f t="shared" si="5"/>
        <v>0</v>
      </c>
      <c r="I20" s="1766">
        <f t="shared" si="5"/>
        <v>0</v>
      </c>
      <c r="J20" s="1766">
        <f t="shared" si="5"/>
        <v>0</v>
      </c>
      <c r="K20" s="1766">
        <f t="shared" si="5"/>
        <v>0</v>
      </c>
      <c r="L20" s="347"/>
    </row>
    <row r="21" spans="1:12" ht="16.7" customHeight="1" thickTop="1" x14ac:dyDescent="0.2">
      <c r="A21" s="2154" t="s">
        <v>616</v>
      </c>
      <c r="B21" s="2155"/>
      <c r="C21" s="1590"/>
      <c r="D21" s="1591"/>
      <c r="E21" s="1591"/>
      <c r="F21" s="1591"/>
      <c r="G21" s="1591"/>
      <c r="H21" s="1591"/>
      <c r="I21" s="1591"/>
      <c r="J21" s="1591"/>
      <c r="K21" s="1592"/>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09" t="s">
        <v>1755</v>
      </c>
      <c r="B24" s="525">
        <v>7110</v>
      </c>
      <c r="C24" s="467"/>
      <c r="D24" s="477"/>
      <c r="E24" s="477"/>
      <c r="F24" s="477"/>
      <c r="G24" s="477"/>
      <c r="H24" s="477"/>
      <c r="I24" s="477"/>
      <c r="J24" s="477"/>
      <c r="K24" s="477"/>
      <c r="L24" s="524"/>
    </row>
    <row r="25" spans="1:12" s="485" customFormat="1" ht="13.5" customHeight="1" x14ac:dyDescent="0.2">
      <c r="A25" s="1509"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09"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9" t="s">
        <v>194</v>
      </c>
      <c r="B27" s="483">
        <v>7130</v>
      </c>
      <c r="C27" s="467">
        <v>0</v>
      </c>
      <c r="D27" s="467">
        <v>0</v>
      </c>
      <c r="E27" s="526"/>
      <c r="F27" s="467">
        <v>0</v>
      </c>
      <c r="G27" s="480"/>
      <c r="H27" s="480"/>
      <c r="I27" s="480"/>
      <c r="J27" s="480"/>
      <c r="K27" s="480"/>
      <c r="L27" s="524"/>
    </row>
    <row r="28" spans="1:12" s="485" customFormat="1" ht="13.5" customHeight="1" x14ac:dyDescent="0.2">
      <c r="A28" s="1509"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9" t="s">
        <v>312</v>
      </c>
      <c r="B29" s="483">
        <v>7150</v>
      </c>
      <c r="C29" s="475"/>
      <c r="D29" s="467">
        <v>0</v>
      </c>
      <c r="E29" s="475"/>
      <c r="F29" s="475"/>
      <c r="G29" s="475"/>
      <c r="H29" s="475"/>
      <c r="I29" s="475"/>
      <c r="J29" s="475"/>
      <c r="K29" s="475"/>
      <c r="L29" s="524"/>
    </row>
    <row r="30" spans="1:12" s="485" customFormat="1" ht="26.25" x14ac:dyDescent="0.2">
      <c r="A30" s="1509" t="s">
        <v>1894</v>
      </c>
      <c r="B30" s="527">
        <v>7160</v>
      </c>
      <c r="C30" s="477"/>
      <c r="D30" s="467">
        <v>0</v>
      </c>
      <c r="E30" s="477"/>
      <c r="F30" s="477"/>
      <c r="G30" s="477"/>
      <c r="H30" s="477"/>
      <c r="I30" s="477"/>
      <c r="J30" s="477"/>
      <c r="K30" s="477"/>
      <c r="L30" s="524"/>
    </row>
    <row r="31" spans="1:12" s="485" customFormat="1" ht="26.25" x14ac:dyDescent="0.2">
      <c r="A31" s="1509" t="s">
        <v>1898</v>
      </c>
      <c r="B31" s="527">
        <v>7170</v>
      </c>
      <c r="C31" s="477"/>
      <c r="D31" s="477"/>
      <c r="E31" s="474">
        <v>0</v>
      </c>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09" t="s">
        <v>432</v>
      </c>
      <c r="B33" s="525">
        <v>7210</v>
      </c>
      <c r="C33" s="467">
        <v>0</v>
      </c>
      <c r="D33" s="467">
        <v>0</v>
      </c>
      <c r="E33" s="467">
        <v>0</v>
      </c>
      <c r="F33" s="467">
        <v>0</v>
      </c>
      <c r="G33" s="477"/>
      <c r="H33" s="467">
        <v>0</v>
      </c>
      <c r="I33" s="467">
        <v>0</v>
      </c>
      <c r="J33" s="467">
        <v>0</v>
      </c>
      <c r="K33" s="467">
        <v>0</v>
      </c>
      <c r="L33" s="524"/>
    </row>
    <row r="34" spans="1:12" s="485" customFormat="1" x14ac:dyDescent="0.2">
      <c r="A34" s="1509" t="s">
        <v>1058</v>
      </c>
      <c r="B34" s="525">
        <v>7220</v>
      </c>
      <c r="C34" s="467">
        <v>0</v>
      </c>
      <c r="D34" s="467">
        <v>0</v>
      </c>
      <c r="E34" s="467">
        <v>0</v>
      </c>
      <c r="F34" s="467">
        <v>0</v>
      </c>
      <c r="G34" s="477"/>
      <c r="H34" s="478">
        <v>0</v>
      </c>
      <c r="I34" s="478">
        <v>0</v>
      </c>
      <c r="J34" s="478">
        <v>0</v>
      </c>
      <c r="K34" s="478">
        <v>0</v>
      </c>
      <c r="L34" s="524"/>
    </row>
    <row r="35" spans="1:12" s="485" customFormat="1" x14ac:dyDescent="0.2">
      <c r="A35" s="1509" t="s">
        <v>1047</v>
      </c>
      <c r="B35" s="525">
        <v>7230</v>
      </c>
      <c r="C35" s="467">
        <v>0</v>
      </c>
      <c r="D35" s="467">
        <v>0</v>
      </c>
      <c r="E35" s="467">
        <v>0</v>
      </c>
      <c r="F35" s="467">
        <v>0</v>
      </c>
      <c r="G35" s="480"/>
      <c r="H35" s="467">
        <v>0</v>
      </c>
      <c r="I35" s="467">
        <v>0</v>
      </c>
      <c r="J35" s="467">
        <v>0</v>
      </c>
      <c r="K35" s="467">
        <v>0</v>
      </c>
      <c r="L35" s="524"/>
    </row>
    <row r="36" spans="1:12" s="485" customFormat="1" ht="15" x14ac:dyDescent="0.2">
      <c r="A36" s="1509" t="s">
        <v>1757</v>
      </c>
      <c r="B36" s="525">
        <v>7300</v>
      </c>
      <c r="C36" s="467">
        <v>0</v>
      </c>
      <c r="D36" s="467">
        <v>0</v>
      </c>
      <c r="E36" s="467">
        <v>0</v>
      </c>
      <c r="F36" s="467">
        <v>0</v>
      </c>
      <c r="G36" s="467">
        <v>0</v>
      </c>
      <c r="H36" s="467">
        <v>0</v>
      </c>
      <c r="I36" s="475"/>
      <c r="J36" s="467">
        <v>0</v>
      </c>
      <c r="K36" s="467">
        <v>0</v>
      </c>
      <c r="L36" s="524"/>
    </row>
    <row r="37" spans="1:12" s="485" customFormat="1" x14ac:dyDescent="0.2">
      <c r="A37" s="1509" t="s">
        <v>461</v>
      </c>
      <c r="B37" s="525">
        <v>7400</v>
      </c>
      <c r="C37" s="475"/>
      <c r="D37" s="475"/>
      <c r="E37" s="1763">
        <f>SUM(C54:D57,H54:H57)</f>
        <v>0</v>
      </c>
      <c r="F37" s="475"/>
      <c r="G37" s="475"/>
      <c r="H37" s="475"/>
      <c r="I37" s="477"/>
      <c r="J37" s="475"/>
      <c r="K37" s="475"/>
      <c r="L37" s="524"/>
    </row>
    <row r="38" spans="1:12" s="485" customFormat="1" x14ac:dyDescent="0.2">
      <c r="A38" s="1509" t="s">
        <v>462</v>
      </c>
      <c r="B38" s="525">
        <v>7500</v>
      </c>
      <c r="C38" s="477"/>
      <c r="D38" s="477"/>
      <c r="E38" s="1763">
        <f>SUM(C58:D61,H58:H61)</f>
        <v>0</v>
      </c>
      <c r="F38" s="477"/>
      <c r="G38" s="477"/>
      <c r="H38" s="477"/>
      <c r="I38" s="477"/>
      <c r="J38" s="477"/>
      <c r="K38" s="477"/>
      <c r="L38" s="524"/>
    </row>
    <row r="39" spans="1:12" s="485" customFormat="1" x14ac:dyDescent="0.2">
      <c r="A39" s="1509" t="s">
        <v>463</v>
      </c>
      <c r="B39" s="525">
        <v>7600</v>
      </c>
      <c r="C39" s="477"/>
      <c r="D39" s="477"/>
      <c r="E39" s="1763">
        <f>SUM(C62:D65)</f>
        <v>0</v>
      </c>
      <c r="F39" s="477"/>
      <c r="G39" s="477"/>
      <c r="H39" s="477"/>
      <c r="I39" s="477"/>
      <c r="J39" s="477"/>
      <c r="K39" s="477"/>
      <c r="L39" s="524"/>
    </row>
    <row r="40" spans="1:12" s="485" customFormat="1" ht="13.5" customHeight="1" x14ac:dyDescent="0.2">
      <c r="A40" s="1509" t="s">
        <v>663</v>
      </c>
      <c r="B40" s="483">
        <v>7700</v>
      </c>
      <c r="C40" s="477"/>
      <c r="D40" s="477"/>
      <c r="E40" s="1763">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3">
        <f>SUM(C70:D73)</f>
        <v>0</v>
      </c>
      <c r="I41" s="477"/>
      <c r="J41" s="477"/>
      <c r="K41" s="480"/>
      <c r="L41" s="524"/>
    </row>
    <row r="42" spans="1:12" s="485" customFormat="1" ht="13.5" customHeight="1" x14ac:dyDescent="0.2">
      <c r="A42" s="1509"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9"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6" t="s">
        <v>392</v>
      </c>
      <c r="B44" s="2157"/>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3">
        <f>SUM(C24,C25:H25,J25:K25)</f>
        <v>0</v>
      </c>
      <c r="J47" s="477"/>
      <c r="K47" s="477"/>
      <c r="L47" s="529"/>
    </row>
    <row r="48" spans="1:12" s="485" customFormat="1" ht="15" x14ac:dyDescent="0.2">
      <c r="A48" s="1510" t="s">
        <v>1759</v>
      </c>
      <c r="B48" s="483">
        <v>8120</v>
      </c>
      <c r="C48" s="480"/>
      <c r="D48" s="480"/>
      <c r="E48" s="477"/>
      <c r="F48" s="480"/>
      <c r="G48" s="477"/>
      <c r="H48" s="477"/>
      <c r="I48" s="1763">
        <f>SUM(C26:H26,J26,K26)</f>
        <v>0</v>
      </c>
      <c r="J48" s="477"/>
      <c r="K48" s="477"/>
      <c r="L48" s="529"/>
    </row>
    <row r="49" spans="1:12" s="485" customFormat="1" x14ac:dyDescent="0.2">
      <c r="A49" s="1510" t="s">
        <v>194</v>
      </c>
      <c r="B49" s="483">
        <v>8130</v>
      </c>
      <c r="C49" s="467">
        <v>0</v>
      </c>
      <c r="D49" s="467">
        <v>0</v>
      </c>
      <c r="E49" s="480"/>
      <c r="F49" s="467">
        <v>0</v>
      </c>
      <c r="G49" s="480"/>
      <c r="H49" s="480"/>
      <c r="I49" s="477"/>
      <c r="J49" s="480"/>
      <c r="K49" s="477"/>
      <c r="L49" s="524"/>
    </row>
    <row r="50" spans="1:12" s="485" customFormat="1" x14ac:dyDescent="0.2">
      <c r="A50" s="1510" t="s">
        <v>1465</v>
      </c>
      <c r="B50" s="483">
        <v>8140</v>
      </c>
      <c r="C50" s="467">
        <v>0</v>
      </c>
      <c r="D50" s="467">
        <v>0</v>
      </c>
      <c r="E50" s="467">
        <v>0</v>
      </c>
      <c r="F50" s="467">
        <v>0</v>
      </c>
      <c r="G50" s="467">
        <v>0</v>
      </c>
      <c r="H50" s="467">
        <v>0</v>
      </c>
      <c r="I50" s="477"/>
      <c r="J50" s="467">
        <v>0</v>
      </c>
      <c r="K50" s="477"/>
      <c r="L50" s="524"/>
    </row>
    <row r="51" spans="1:12" s="485" customFormat="1" x14ac:dyDescent="0.2">
      <c r="A51" s="1510" t="s">
        <v>312</v>
      </c>
      <c r="B51" s="483">
        <v>8150</v>
      </c>
      <c r="C51" s="475"/>
      <c r="D51" s="475"/>
      <c r="E51" s="475"/>
      <c r="F51" s="475"/>
      <c r="G51" s="475"/>
      <c r="H51" s="1763">
        <f>SUM(D29)</f>
        <v>0</v>
      </c>
      <c r="I51" s="477"/>
      <c r="J51" s="475"/>
      <c r="K51" s="480"/>
      <c r="L51" s="524"/>
    </row>
    <row r="52" spans="1:12" s="485" customFormat="1" ht="26.25" x14ac:dyDescent="0.2">
      <c r="A52" s="1510" t="s">
        <v>1897</v>
      </c>
      <c r="B52" s="483">
        <v>8160</v>
      </c>
      <c r="C52" s="477"/>
      <c r="D52" s="477"/>
      <c r="E52" s="477"/>
      <c r="F52" s="477"/>
      <c r="G52" s="477"/>
      <c r="H52" s="477"/>
      <c r="I52" s="477"/>
      <c r="J52" s="477"/>
      <c r="K52" s="1763">
        <f>D30</f>
        <v>0</v>
      </c>
      <c r="L52" s="524"/>
    </row>
    <row r="53" spans="1:12" s="485" customFormat="1" ht="26.25" x14ac:dyDescent="0.2">
      <c r="A53" s="1510" t="s">
        <v>1896</v>
      </c>
      <c r="B53" s="483">
        <v>8170</v>
      </c>
      <c r="C53" s="480"/>
      <c r="D53" s="480"/>
      <c r="E53" s="477"/>
      <c r="F53" s="477"/>
      <c r="G53" s="477"/>
      <c r="H53" s="480"/>
      <c r="I53" s="477"/>
      <c r="J53" s="477"/>
      <c r="K53" s="1763">
        <f>E31</f>
        <v>0</v>
      </c>
      <c r="L53" s="524"/>
    </row>
    <row r="54" spans="1:12" s="485" customFormat="1" ht="13.5" thickBot="1" x14ac:dyDescent="0.25">
      <c r="A54" s="1510" t="s">
        <v>716</v>
      </c>
      <c r="B54" s="483">
        <v>8410</v>
      </c>
      <c r="C54" s="530">
        <v>0</v>
      </c>
      <c r="D54" s="530">
        <v>0</v>
      </c>
      <c r="E54" s="477"/>
      <c r="F54" s="477"/>
      <c r="G54" s="477"/>
      <c r="H54" s="530">
        <v>0</v>
      </c>
      <c r="I54" s="477"/>
      <c r="J54" s="477"/>
      <c r="K54" s="475"/>
      <c r="L54" s="524"/>
    </row>
    <row r="55" spans="1:12" s="485" customFormat="1" ht="14.25" thickTop="1" thickBot="1" x14ac:dyDescent="0.25">
      <c r="A55" s="1511" t="s">
        <v>717</v>
      </c>
      <c r="B55" s="483">
        <v>8420</v>
      </c>
      <c r="C55" s="531">
        <v>0</v>
      </c>
      <c r="D55" s="531">
        <v>0</v>
      </c>
      <c r="E55" s="477"/>
      <c r="F55" s="477"/>
      <c r="G55" s="477"/>
      <c r="H55" s="530">
        <v>0</v>
      </c>
      <c r="I55" s="477"/>
      <c r="J55" s="477"/>
      <c r="K55" s="477"/>
      <c r="L55" s="524"/>
    </row>
    <row r="56" spans="1:12" s="485" customFormat="1" ht="14.25" thickTop="1" thickBot="1" x14ac:dyDescent="0.25">
      <c r="A56" s="1510" t="s">
        <v>602</v>
      </c>
      <c r="B56" s="483">
        <v>8430</v>
      </c>
      <c r="C56" s="531">
        <v>0</v>
      </c>
      <c r="D56" s="531">
        <v>0</v>
      </c>
      <c r="E56" s="477"/>
      <c r="F56" s="477"/>
      <c r="G56" s="477"/>
      <c r="H56" s="530">
        <v>0</v>
      </c>
      <c r="I56" s="477"/>
      <c r="J56" s="477"/>
      <c r="K56" s="477"/>
      <c r="L56" s="524"/>
    </row>
    <row r="57" spans="1:12" s="485" customFormat="1" ht="14.25" thickTop="1" thickBot="1" x14ac:dyDescent="0.25">
      <c r="A57" s="1511" t="s">
        <v>599</v>
      </c>
      <c r="B57" s="483">
        <v>8440</v>
      </c>
      <c r="C57" s="531">
        <v>0</v>
      </c>
      <c r="D57" s="531">
        <v>0</v>
      </c>
      <c r="E57" s="477"/>
      <c r="F57" s="477"/>
      <c r="G57" s="477"/>
      <c r="H57" s="530">
        <v>0</v>
      </c>
      <c r="I57" s="477"/>
      <c r="J57" s="477"/>
      <c r="K57" s="477"/>
      <c r="L57" s="524"/>
    </row>
    <row r="58" spans="1:12" s="485" customFormat="1" ht="14.25" thickTop="1" thickBot="1" x14ac:dyDescent="0.25">
      <c r="A58" s="1510" t="s">
        <v>600</v>
      </c>
      <c r="B58" s="483">
        <v>8510</v>
      </c>
      <c r="C58" s="531">
        <v>0</v>
      </c>
      <c r="D58" s="531">
        <v>0</v>
      </c>
      <c r="E58" s="477"/>
      <c r="F58" s="477"/>
      <c r="G58" s="477"/>
      <c r="H58" s="530">
        <v>0</v>
      </c>
      <c r="I58" s="477"/>
      <c r="J58" s="477"/>
      <c r="K58" s="477"/>
      <c r="L58" s="524"/>
    </row>
    <row r="59" spans="1:12" s="485" customFormat="1" ht="14.25" thickTop="1" thickBot="1" x14ac:dyDescent="0.25">
      <c r="A59" s="1512" t="s">
        <v>718</v>
      </c>
      <c r="B59" s="483">
        <v>8520</v>
      </c>
      <c r="C59" s="531">
        <v>0</v>
      </c>
      <c r="D59" s="531">
        <v>0</v>
      </c>
      <c r="E59" s="477"/>
      <c r="F59" s="477"/>
      <c r="G59" s="477"/>
      <c r="H59" s="530">
        <v>0</v>
      </c>
      <c r="I59" s="477"/>
      <c r="J59" s="477"/>
      <c r="K59" s="477"/>
      <c r="L59" s="524"/>
    </row>
    <row r="60" spans="1:12" s="485" customFormat="1" ht="14.25" thickTop="1" thickBot="1" x14ac:dyDescent="0.25">
      <c r="A60" s="1510" t="s">
        <v>601</v>
      </c>
      <c r="B60" s="483">
        <v>8530</v>
      </c>
      <c r="C60" s="531">
        <v>0</v>
      </c>
      <c r="D60" s="531">
        <v>0</v>
      </c>
      <c r="E60" s="477"/>
      <c r="F60" s="477"/>
      <c r="G60" s="477"/>
      <c r="H60" s="530">
        <v>0</v>
      </c>
      <c r="I60" s="477"/>
      <c r="J60" s="477"/>
      <c r="K60" s="477"/>
      <c r="L60" s="524"/>
    </row>
    <row r="61" spans="1:12" s="485" customFormat="1" ht="14.25" thickTop="1" thickBot="1" x14ac:dyDescent="0.25">
      <c r="A61" s="1511"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0" t="s">
        <v>768</v>
      </c>
      <c r="B62" s="483">
        <v>8610</v>
      </c>
      <c r="C62" s="531">
        <v>0</v>
      </c>
      <c r="D62" s="531">
        <v>0</v>
      </c>
      <c r="E62" s="477"/>
      <c r="F62" s="477"/>
      <c r="G62" s="477"/>
      <c r="H62" s="477"/>
      <c r="I62" s="477"/>
      <c r="J62" s="477"/>
      <c r="K62" s="477"/>
      <c r="L62" s="524"/>
    </row>
    <row r="63" spans="1:12" s="485" customFormat="1" ht="14.25" thickTop="1" thickBot="1" x14ac:dyDescent="0.25">
      <c r="A63" s="1511" t="s">
        <v>719</v>
      </c>
      <c r="B63" s="483">
        <v>8620</v>
      </c>
      <c r="C63" s="531">
        <v>0</v>
      </c>
      <c r="D63" s="531">
        <v>0</v>
      </c>
      <c r="E63" s="477"/>
      <c r="F63" s="477"/>
      <c r="G63" s="477"/>
      <c r="H63" s="477"/>
      <c r="I63" s="477"/>
      <c r="J63" s="477"/>
      <c r="K63" s="477"/>
      <c r="L63" s="524"/>
    </row>
    <row r="64" spans="1:12" s="485" customFormat="1" ht="13.5" customHeight="1" thickTop="1" thickBot="1" x14ac:dyDescent="0.25">
      <c r="A64" s="1510" t="s">
        <v>769</v>
      </c>
      <c r="B64" s="483">
        <v>8630</v>
      </c>
      <c r="C64" s="531">
        <v>0</v>
      </c>
      <c r="D64" s="531">
        <v>0</v>
      </c>
      <c r="E64" s="477"/>
      <c r="F64" s="477"/>
      <c r="G64" s="477"/>
      <c r="H64" s="477"/>
      <c r="I64" s="477"/>
      <c r="J64" s="477"/>
      <c r="K64" s="477"/>
      <c r="L64" s="524"/>
    </row>
    <row r="65" spans="1:12" s="485" customFormat="1" ht="14.25" thickTop="1" thickBot="1" x14ac:dyDescent="0.25">
      <c r="A65" s="1511" t="s">
        <v>770</v>
      </c>
      <c r="B65" s="483">
        <v>8640</v>
      </c>
      <c r="C65" s="531">
        <v>0</v>
      </c>
      <c r="D65" s="531">
        <v>0</v>
      </c>
      <c r="E65" s="477"/>
      <c r="F65" s="477"/>
      <c r="G65" s="477"/>
      <c r="H65" s="477"/>
      <c r="I65" s="477"/>
      <c r="J65" s="477"/>
      <c r="K65" s="477"/>
      <c r="L65" s="524"/>
    </row>
    <row r="66" spans="1:12" s="485" customFormat="1" ht="14.25" thickTop="1" thickBot="1" x14ac:dyDescent="0.25">
      <c r="A66" s="1510" t="s">
        <v>771</v>
      </c>
      <c r="B66" s="483">
        <v>8710</v>
      </c>
      <c r="C66" s="531">
        <v>0</v>
      </c>
      <c r="D66" s="531">
        <v>0</v>
      </c>
      <c r="E66" s="477"/>
      <c r="F66" s="477"/>
      <c r="G66" s="477"/>
      <c r="H66" s="477"/>
      <c r="I66" s="477"/>
      <c r="J66" s="477"/>
      <c r="K66" s="477"/>
      <c r="L66" s="524"/>
    </row>
    <row r="67" spans="1:12" s="485" customFormat="1" ht="14.25" thickTop="1" thickBot="1" x14ac:dyDescent="0.25">
      <c r="A67" s="1511" t="s">
        <v>720</v>
      </c>
      <c r="B67" s="483">
        <v>8720</v>
      </c>
      <c r="C67" s="531">
        <v>0</v>
      </c>
      <c r="D67" s="531">
        <v>0</v>
      </c>
      <c r="E67" s="477"/>
      <c r="F67" s="477"/>
      <c r="G67" s="477"/>
      <c r="H67" s="477"/>
      <c r="I67" s="477"/>
      <c r="J67" s="477"/>
      <c r="K67" s="477"/>
      <c r="L67" s="524"/>
    </row>
    <row r="68" spans="1:12" s="485" customFormat="1" ht="14.25" thickTop="1" thickBot="1" x14ac:dyDescent="0.25">
      <c r="A68" s="1512" t="s">
        <v>772</v>
      </c>
      <c r="B68" s="483">
        <v>8730</v>
      </c>
      <c r="C68" s="531">
        <v>0</v>
      </c>
      <c r="D68" s="531">
        <v>0</v>
      </c>
      <c r="E68" s="477"/>
      <c r="F68" s="477"/>
      <c r="G68" s="477"/>
      <c r="H68" s="477"/>
      <c r="I68" s="477"/>
      <c r="J68" s="477"/>
      <c r="K68" s="477"/>
      <c r="L68" s="524"/>
    </row>
    <row r="69" spans="1:12" s="485" customFormat="1" ht="14.25" thickTop="1" thickBot="1" x14ac:dyDescent="0.25">
      <c r="A69" s="1511" t="s">
        <v>773</v>
      </c>
      <c r="B69" s="483">
        <v>8740</v>
      </c>
      <c r="C69" s="531">
        <v>0</v>
      </c>
      <c r="D69" s="531">
        <v>0</v>
      </c>
      <c r="E69" s="477"/>
      <c r="F69" s="477"/>
      <c r="G69" s="477"/>
      <c r="H69" s="477"/>
      <c r="I69" s="477"/>
      <c r="J69" s="477"/>
      <c r="K69" s="477"/>
      <c r="L69" s="524"/>
    </row>
    <row r="70" spans="1:12" s="485" customFormat="1" ht="14.25" thickTop="1" thickBot="1" x14ac:dyDescent="0.25">
      <c r="A70" s="1510" t="s">
        <v>774</v>
      </c>
      <c r="B70" s="483">
        <v>8810</v>
      </c>
      <c r="C70" s="531">
        <v>0</v>
      </c>
      <c r="D70" s="531">
        <v>0</v>
      </c>
      <c r="E70" s="477"/>
      <c r="F70" s="477"/>
      <c r="G70" s="477"/>
      <c r="H70" s="477"/>
      <c r="I70" s="477"/>
      <c r="J70" s="477"/>
      <c r="K70" s="477"/>
      <c r="L70" s="524"/>
    </row>
    <row r="71" spans="1:12" s="485" customFormat="1" ht="14.25" thickTop="1" thickBot="1" x14ac:dyDescent="0.25">
      <c r="A71" s="1510" t="s">
        <v>778</v>
      </c>
      <c r="B71" s="483">
        <v>8820</v>
      </c>
      <c r="C71" s="531">
        <v>0</v>
      </c>
      <c r="D71" s="531">
        <v>0</v>
      </c>
      <c r="E71" s="477"/>
      <c r="F71" s="477"/>
      <c r="G71" s="477"/>
      <c r="H71" s="477"/>
      <c r="I71" s="477"/>
      <c r="J71" s="477"/>
      <c r="K71" s="477"/>
      <c r="L71" s="524"/>
    </row>
    <row r="72" spans="1:12" s="485" customFormat="1" ht="14.25" thickTop="1" thickBot="1" x14ac:dyDescent="0.25">
      <c r="A72" s="1510" t="s">
        <v>775</v>
      </c>
      <c r="B72" s="483">
        <v>8830</v>
      </c>
      <c r="C72" s="531">
        <v>0</v>
      </c>
      <c r="D72" s="531">
        <v>0</v>
      </c>
      <c r="E72" s="477"/>
      <c r="F72" s="477"/>
      <c r="G72" s="477"/>
      <c r="H72" s="477"/>
      <c r="I72" s="477"/>
      <c r="J72" s="477"/>
      <c r="K72" s="477"/>
      <c r="L72" s="524"/>
    </row>
    <row r="73" spans="1:12" s="485" customFormat="1" ht="14.25" thickTop="1" thickBot="1" x14ac:dyDescent="0.25">
      <c r="A73" s="1510" t="s">
        <v>776</v>
      </c>
      <c r="B73" s="483">
        <v>8840</v>
      </c>
      <c r="C73" s="531">
        <v>0</v>
      </c>
      <c r="D73" s="531">
        <v>0</v>
      </c>
      <c r="E73" s="477"/>
      <c r="F73" s="477"/>
      <c r="G73" s="477"/>
      <c r="H73" s="477"/>
      <c r="I73" s="477"/>
      <c r="J73" s="477"/>
      <c r="K73" s="480"/>
      <c r="L73" s="524"/>
    </row>
    <row r="74" spans="1:12" s="485" customFormat="1" ht="14.25" thickTop="1" thickBot="1" x14ac:dyDescent="0.25">
      <c r="A74" s="1510"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3"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2" t="s">
        <v>460</v>
      </c>
      <c r="B76" s="2133"/>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34" t="s">
        <v>1239</v>
      </c>
      <c r="B77" s="2135"/>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8" t="s">
        <v>618</v>
      </c>
      <c r="B78" s="2139"/>
      <c r="C78" s="1722">
        <f t="shared" ref="C78:K78" si="9">C20+C77</f>
        <v>299657</v>
      </c>
      <c r="D78" s="1722">
        <f t="shared" si="9"/>
        <v>0</v>
      </c>
      <c r="E78" s="1722">
        <f t="shared" si="9"/>
        <v>0</v>
      </c>
      <c r="F78" s="1722">
        <f t="shared" si="9"/>
        <v>0</v>
      </c>
      <c r="G78" s="1722">
        <f t="shared" si="9"/>
        <v>0</v>
      </c>
      <c r="H78" s="1722">
        <f t="shared" si="9"/>
        <v>0</v>
      </c>
      <c r="I78" s="1722">
        <f t="shared" si="9"/>
        <v>0</v>
      </c>
      <c r="J78" s="1722">
        <f t="shared" si="9"/>
        <v>0</v>
      </c>
      <c r="K78" s="1722">
        <f t="shared" si="9"/>
        <v>0</v>
      </c>
      <c r="L78" s="533"/>
    </row>
    <row r="79" spans="1:12" ht="13.5" thickTop="1" x14ac:dyDescent="0.2">
      <c r="A79" s="1514" t="s">
        <v>2070</v>
      </c>
      <c r="B79" s="534"/>
      <c r="C79" s="478">
        <v>4790462</v>
      </c>
      <c r="D79" s="535">
        <v>0</v>
      </c>
      <c r="E79" s="535">
        <v>0</v>
      </c>
      <c r="F79" s="535">
        <v>0</v>
      </c>
      <c r="G79" s="535">
        <v>0</v>
      </c>
      <c r="H79" s="535">
        <v>0</v>
      </c>
      <c r="I79" s="535">
        <v>0</v>
      </c>
      <c r="J79" s="535">
        <v>0</v>
      </c>
      <c r="K79" s="535">
        <v>0</v>
      </c>
      <c r="L79" s="347"/>
    </row>
    <row r="80" spans="1:12" x14ac:dyDescent="0.2">
      <c r="A80" s="2144" t="s">
        <v>1895</v>
      </c>
      <c r="B80" s="2145"/>
      <c r="C80" s="467">
        <v>817160</v>
      </c>
      <c r="D80" s="467"/>
      <c r="E80" s="467"/>
      <c r="F80" s="467"/>
      <c r="G80" s="467"/>
      <c r="H80" s="467"/>
      <c r="I80" s="467"/>
      <c r="J80" s="467"/>
      <c r="K80" s="467"/>
      <c r="L80" s="347"/>
    </row>
    <row r="81" spans="1:12" ht="13.5" thickBot="1" x14ac:dyDescent="0.25">
      <c r="A81" s="2136" t="s">
        <v>2071</v>
      </c>
      <c r="B81" s="2137"/>
      <c r="C81" s="1708">
        <f>(SUM(C78:C80))</f>
        <v>5907279</v>
      </c>
      <c r="D81" s="1708">
        <f>SUM(D78:D80)</f>
        <v>0</v>
      </c>
      <c r="E81" s="1708">
        <f t="shared" ref="E81:K81" si="10">SUM(E78:E80)</f>
        <v>0</v>
      </c>
      <c r="F81" s="1708">
        <f t="shared" si="10"/>
        <v>0</v>
      </c>
      <c r="G81" s="1708">
        <f t="shared" si="10"/>
        <v>0</v>
      </c>
      <c r="H81" s="1708">
        <f t="shared" si="10"/>
        <v>0</v>
      </c>
      <c r="I81" s="1708">
        <f t="shared" si="10"/>
        <v>0</v>
      </c>
      <c r="J81" s="1708">
        <f t="shared" si="10"/>
        <v>0</v>
      </c>
      <c r="K81" s="1708">
        <f t="shared" si="10"/>
        <v>0</v>
      </c>
      <c r="L81" s="347"/>
    </row>
    <row r="82" spans="1:12" ht="0.75" customHeight="1" thickTop="1" thickBot="1" x14ac:dyDescent="0.25">
      <c r="A82" s="536" t="s">
        <v>361</v>
      </c>
      <c r="B82" s="537"/>
      <c r="C82" s="538">
        <f>(C81-C79)</f>
        <v>1116817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0.18905777092972922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A1:L286"/>
  <sheetViews>
    <sheetView showGridLines="0" defaultGridColor="0" colorId="8" zoomScale="110" zoomScaleNormal="110" zoomScaleSheetLayoutView="75" workbookViewId="0">
      <pane ySplit="2" topLeftCell="A3" activePane="bottomLeft" state="frozen"/>
      <selection activeCell="C4" sqref="C4"/>
      <selection pane="bottomLeft" activeCell="D89" sqref="D8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1902</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v>0</v>
      </c>
      <c r="D5" s="481">
        <v>0</v>
      </c>
      <c r="E5" s="466">
        <v>0</v>
      </c>
      <c r="F5" s="548">
        <v>0</v>
      </c>
      <c r="G5" s="466">
        <v>0</v>
      </c>
      <c r="H5" s="466">
        <v>0</v>
      </c>
      <c r="I5" s="466">
        <v>0</v>
      </c>
      <c r="J5" s="467">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0</v>
      </c>
      <c r="D7" s="466">
        <v>0</v>
      </c>
      <c r="E7" s="468"/>
      <c r="F7" s="467">
        <v>0</v>
      </c>
      <c r="G7" s="467">
        <v>0</v>
      </c>
      <c r="H7" s="467">
        <v>0</v>
      </c>
      <c r="I7" s="468"/>
      <c r="J7" s="468"/>
      <c r="K7" s="468"/>
    </row>
    <row r="8" spans="1:12" x14ac:dyDescent="0.2">
      <c r="A8" s="463" t="s">
        <v>433</v>
      </c>
      <c r="B8" s="470">
        <v>1150</v>
      </c>
      <c r="C8" s="475"/>
      <c r="D8" s="475"/>
      <c r="E8" s="477"/>
      <c r="F8" s="477"/>
      <c r="G8" s="481">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5" t="s">
        <v>29</v>
      </c>
      <c r="B12" s="1726"/>
      <c r="C12" s="1727">
        <f t="shared" ref="C12:K12" si="0">SUM(C5:C11)</f>
        <v>0</v>
      </c>
      <c r="D12" s="1727">
        <f t="shared" si="0"/>
        <v>0</v>
      </c>
      <c r="E12" s="1727">
        <f t="shared" si="0"/>
        <v>0</v>
      </c>
      <c r="F12" s="1727">
        <f t="shared" si="0"/>
        <v>0</v>
      </c>
      <c r="G12" s="1727">
        <f t="shared" si="0"/>
        <v>0</v>
      </c>
      <c r="H12" s="1727">
        <f t="shared" si="0"/>
        <v>0</v>
      </c>
      <c r="I12" s="1727">
        <f t="shared" si="0"/>
        <v>0</v>
      </c>
      <c r="J12" s="1727">
        <f t="shared" si="0"/>
        <v>0</v>
      </c>
      <c r="K12" s="1708">
        <f t="shared" si="0"/>
        <v>0</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0</v>
      </c>
      <c r="D16" s="466">
        <v>0</v>
      </c>
      <c r="E16" s="466">
        <v>0</v>
      </c>
      <c r="F16" s="466">
        <v>0</v>
      </c>
      <c r="G16" s="466">
        <v>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0</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293468</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13664696</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5" t="s">
        <v>615</v>
      </c>
      <c r="B39" s="556">
        <v>1354</v>
      </c>
      <c r="C39" s="489">
        <v>0</v>
      </c>
      <c r="D39" s="468"/>
      <c r="E39" s="468"/>
      <c r="F39" s="468"/>
      <c r="G39" s="468"/>
      <c r="H39" s="468"/>
      <c r="I39" s="468"/>
      <c r="J39" s="468"/>
      <c r="K39" s="468"/>
    </row>
    <row r="40" spans="1:11" ht="12.75" customHeight="1" thickBot="1" x14ac:dyDescent="0.25">
      <c r="A40" s="1728" t="s">
        <v>559</v>
      </c>
      <c r="B40" s="1729"/>
      <c r="C40" s="1708">
        <f>SUM(C20:C39)</f>
        <v>13958164</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7">
        <v>1431</v>
      </c>
      <c r="C51" s="468"/>
      <c r="D51" s="468"/>
      <c r="E51" s="468"/>
      <c r="F51" s="466">
        <v>0</v>
      </c>
      <c r="G51" s="468"/>
      <c r="H51" s="468"/>
      <c r="I51" s="468"/>
      <c r="J51" s="468"/>
      <c r="K51" s="468"/>
    </row>
    <row r="52" spans="1:11" ht="12.75" customHeight="1" x14ac:dyDescent="0.2">
      <c r="A52" s="1516" t="s">
        <v>1168</v>
      </c>
      <c r="B52" s="557">
        <v>1432</v>
      </c>
      <c r="C52" s="468"/>
      <c r="D52" s="468"/>
      <c r="E52" s="468"/>
      <c r="F52" s="466">
        <v>0</v>
      </c>
      <c r="G52" s="468"/>
      <c r="H52" s="468"/>
      <c r="I52" s="468"/>
      <c r="J52" s="468"/>
      <c r="K52" s="468"/>
    </row>
    <row r="53" spans="1:11" ht="12.75" customHeight="1" x14ac:dyDescent="0.2">
      <c r="A53" s="1516" t="s">
        <v>63</v>
      </c>
      <c r="B53" s="557">
        <v>1433</v>
      </c>
      <c r="C53" s="468"/>
      <c r="D53" s="468"/>
      <c r="E53" s="468"/>
      <c r="F53" s="466">
        <v>0</v>
      </c>
      <c r="G53" s="468"/>
      <c r="H53" s="468"/>
      <c r="I53" s="468"/>
      <c r="J53" s="468"/>
      <c r="K53" s="468"/>
    </row>
    <row r="54" spans="1:11" ht="12.75" customHeight="1" x14ac:dyDescent="0.2">
      <c r="A54" s="1516" t="s">
        <v>64</v>
      </c>
      <c r="B54" s="557">
        <v>1434</v>
      </c>
      <c r="C54" s="468"/>
      <c r="D54" s="468"/>
      <c r="E54" s="468"/>
      <c r="F54" s="467">
        <v>0</v>
      </c>
      <c r="G54" s="468"/>
      <c r="H54" s="468"/>
      <c r="I54" s="468"/>
      <c r="J54" s="468"/>
      <c r="K54" s="468"/>
    </row>
    <row r="55" spans="1:11" ht="12.75" customHeight="1" x14ac:dyDescent="0.2">
      <c r="A55" s="1516" t="s">
        <v>65</v>
      </c>
      <c r="B55" s="557">
        <v>1441</v>
      </c>
      <c r="C55" s="468"/>
      <c r="D55" s="468"/>
      <c r="E55" s="468"/>
      <c r="F55" s="466">
        <v>0</v>
      </c>
      <c r="G55" s="468"/>
      <c r="H55" s="468"/>
      <c r="I55" s="468"/>
      <c r="J55" s="468"/>
      <c r="K55" s="468"/>
    </row>
    <row r="56" spans="1:11" ht="12.75" customHeight="1" x14ac:dyDescent="0.2">
      <c r="A56" s="1516" t="s">
        <v>1169</v>
      </c>
      <c r="B56" s="557">
        <v>1442</v>
      </c>
      <c r="C56" s="468"/>
      <c r="D56" s="468"/>
      <c r="E56" s="468"/>
      <c r="F56" s="466">
        <v>0</v>
      </c>
      <c r="G56" s="468"/>
      <c r="H56" s="468"/>
      <c r="I56" s="468"/>
      <c r="J56" s="468"/>
      <c r="K56" s="468"/>
    </row>
    <row r="57" spans="1:11" ht="12.75" customHeight="1" x14ac:dyDescent="0.2">
      <c r="A57" s="1516" t="s">
        <v>510</v>
      </c>
      <c r="B57" s="557">
        <v>1443</v>
      </c>
      <c r="C57" s="468"/>
      <c r="D57" s="468"/>
      <c r="E57" s="468"/>
      <c r="F57" s="466">
        <v>0</v>
      </c>
      <c r="G57" s="468"/>
      <c r="H57" s="468"/>
      <c r="I57" s="468"/>
      <c r="J57" s="468"/>
      <c r="K57" s="468"/>
    </row>
    <row r="58" spans="1:11" ht="12.75" customHeight="1" x14ac:dyDescent="0.2">
      <c r="A58" s="1516" t="s">
        <v>67</v>
      </c>
      <c r="B58" s="557">
        <v>1444</v>
      </c>
      <c r="C58" s="468"/>
      <c r="D58" s="468"/>
      <c r="E58" s="468"/>
      <c r="F58" s="466">
        <v>0</v>
      </c>
      <c r="G58" s="468"/>
      <c r="H58" s="468"/>
      <c r="I58" s="468"/>
      <c r="J58" s="468"/>
      <c r="K58" s="468"/>
    </row>
    <row r="59" spans="1:11" ht="12.75" customHeight="1" x14ac:dyDescent="0.2">
      <c r="A59" s="1516" t="s">
        <v>933</v>
      </c>
      <c r="B59" s="557">
        <v>1451</v>
      </c>
      <c r="C59" s="468"/>
      <c r="D59" s="468"/>
      <c r="E59" s="468"/>
      <c r="F59" s="466">
        <v>0</v>
      </c>
      <c r="G59" s="468"/>
      <c r="H59" s="468"/>
      <c r="I59" s="468"/>
      <c r="J59" s="468"/>
      <c r="K59" s="468"/>
    </row>
    <row r="60" spans="1:11" ht="12.75" customHeight="1" x14ac:dyDescent="0.2">
      <c r="A60" s="1516"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7" t="s">
        <v>935</v>
      </c>
      <c r="B62" s="558">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51823</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51823</v>
      </c>
      <c r="D67" s="1708">
        <f t="shared" ref="D67:K67" si="2">SUM(D65:D66)</f>
        <v>0</v>
      </c>
      <c r="E67" s="1708">
        <f t="shared" si="2"/>
        <v>0</v>
      </c>
      <c r="F67" s="1708">
        <f t="shared" si="2"/>
        <v>0</v>
      </c>
      <c r="G67" s="1708">
        <f t="shared" si="2"/>
        <v>0</v>
      </c>
      <c r="H67" s="1708">
        <f t="shared" si="2"/>
        <v>0</v>
      </c>
      <c r="I67" s="1708">
        <f t="shared" si="2"/>
        <v>0</v>
      </c>
      <c r="J67" s="1708">
        <f t="shared" si="2"/>
        <v>0</v>
      </c>
      <c r="K67" s="1708">
        <f t="shared" si="2"/>
        <v>0</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v>0</v>
      </c>
      <c r="D95" s="551">
        <v>0</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515"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12363</v>
      </c>
      <c r="D106" s="489">
        <v>0</v>
      </c>
      <c r="E106" s="467">
        <v>0</v>
      </c>
      <c r="F106" s="467">
        <v>0</v>
      </c>
      <c r="G106" s="467">
        <v>0</v>
      </c>
      <c r="H106" s="467">
        <v>0</v>
      </c>
      <c r="I106" s="521"/>
      <c r="J106" s="467">
        <v>0</v>
      </c>
      <c r="K106" s="467">
        <v>0</v>
      </c>
    </row>
    <row r="107" spans="1:12" ht="12.75" customHeight="1" x14ac:dyDescent="0.2">
      <c r="A107" s="463" t="s">
        <v>80</v>
      </c>
      <c r="B107" s="470">
        <v>1999</v>
      </c>
      <c r="C107" s="551">
        <v>30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12393</v>
      </c>
      <c r="D108" s="1727">
        <f t="shared" ref="D108:K108" si="3">SUM(D95:D107)</f>
        <v>0</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14022380</v>
      </c>
      <c r="D109" s="1735">
        <f t="shared" si="4"/>
        <v>0</v>
      </c>
      <c r="E109" s="1735">
        <f t="shared" si="4"/>
        <v>0</v>
      </c>
      <c r="F109" s="1735">
        <f t="shared" si="4"/>
        <v>0</v>
      </c>
      <c r="G109" s="1735">
        <f t="shared" si="4"/>
        <v>0</v>
      </c>
      <c r="H109" s="1735">
        <f t="shared" si="4"/>
        <v>0</v>
      </c>
      <c r="I109" s="1735">
        <f t="shared" si="4"/>
        <v>0</v>
      </c>
      <c r="J109" s="1735">
        <f t="shared" si="4"/>
        <v>0</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v>702758</v>
      </c>
      <c r="D111" s="481">
        <v>0</v>
      </c>
      <c r="E111" s="561"/>
      <c r="F111" s="481">
        <v>0</v>
      </c>
      <c r="G111" s="481">
        <v>0</v>
      </c>
      <c r="H111" s="561"/>
      <c r="I111" s="468"/>
      <c r="J111" s="468"/>
      <c r="K111" s="468"/>
    </row>
    <row r="112" spans="1:12" ht="12.75" customHeight="1" x14ac:dyDescent="0.2">
      <c r="A112" s="463" t="s">
        <v>878</v>
      </c>
      <c r="B112" s="470">
        <v>2200</v>
      </c>
      <c r="C112" s="551">
        <v>972082</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6" t="s">
        <v>839</v>
      </c>
      <c r="B114" s="1737" t="s">
        <v>590</v>
      </c>
      <c r="C114" s="1738">
        <f>SUM(C111:C113)</f>
        <v>1674840</v>
      </c>
      <c r="D114" s="1738">
        <f>SUM(D111:D113)</f>
        <v>0</v>
      </c>
      <c r="E114" s="561" t="s">
        <v>1231</v>
      </c>
      <c r="F114" s="1738">
        <f>SUM(F111:F113)</f>
        <v>0</v>
      </c>
      <c r="G114" s="1738">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1650113</v>
      </c>
      <c r="D117" s="481">
        <v>0</v>
      </c>
      <c r="E117" s="466">
        <v>0</v>
      </c>
      <c r="F117" s="481">
        <v>0</v>
      </c>
      <c r="G117" s="481">
        <v>0</v>
      </c>
      <c r="H117" s="466">
        <v>0</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6"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1650113</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v>0</v>
      </c>
      <c r="D124" s="561"/>
      <c r="E124" s="468"/>
      <c r="F124" s="548">
        <v>0</v>
      </c>
      <c r="G124" s="468"/>
      <c r="H124" s="468"/>
      <c r="I124" s="468"/>
      <c r="J124" s="468"/>
      <c r="K124" s="468"/>
    </row>
    <row r="125" spans="1:11" ht="12.75" customHeight="1" x14ac:dyDescent="0.2">
      <c r="A125" s="463" t="s">
        <v>1521</v>
      </c>
      <c r="B125" s="562">
        <v>3105</v>
      </c>
      <c r="C125" s="466">
        <v>0</v>
      </c>
      <c r="D125" s="561"/>
      <c r="E125" s="468"/>
      <c r="F125" s="466">
        <v>0</v>
      </c>
      <c r="G125" s="468"/>
      <c r="H125" s="468"/>
      <c r="I125" s="468"/>
      <c r="J125" s="468"/>
      <c r="K125" s="468"/>
    </row>
    <row r="126" spans="1:11" ht="12.75" customHeight="1" x14ac:dyDescent="0.2">
      <c r="A126" s="463" t="s">
        <v>922</v>
      </c>
      <c r="B126" s="562">
        <v>3110</v>
      </c>
      <c r="C126" s="551">
        <v>412528</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8" t="s">
        <v>1092</v>
      </c>
      <c r="B131" s="1740"/>
      <c r="C131" s="1727">
        <f>SUM(C124:C130)</f>
        <v>412528</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18" t="s">
        <v>1116</v>
      </c>
      <c r="B145" s="568">
        <v>3360</v>
      </c>
      <c r="C145" s="569">
        <v>0</v>
      </c>
      <c r="D145" s="570"/>
      <c r="E145" s="509"/>
      <c r="F145" s="468"/>
      <c r="G145" s="571"/>
      <c r="H145" s="468"/>
      <c r="I145" s="468"/>
      <c r="J145" s="468"/>
      <c r="K145" s="468"/>
    </row>
    <row r="146" spans="1:11" ht="12.75" customHeight="1" thickBot="1" x14ac:dyDescent="0.25">
      <c r="A146" s="1519" t="s">
        <v>979</v>
      </c>
      <c r="B146" s="572">
        <v>3365</v>
      </c>
      <c r="C146" s="573">
        <v>0</v>
      </c>
      <c r="D146" s="532">
        <v>0</v>
      </c>
      <c r="E146" s="561"/>
      <c r="F146" s="468"/>
      <c r="G146" s="532">
        <v>0</v>
      </c>
      <c r="H146" s="468"/>
      <c r="I146" s="468"/>
      <c r="J146" s="468"/>
      <c r="K146" s="468"/>
    </row>
    <row r="147" spans="1:11" ht="12.75" customHeight="1" thickTop="1" thickBot="1" x14ac:dyDescent="0.25">
      <c r="A147" s="1520" t="s">
        <v>140</v>
      </c>
      <c r="B147" s="574">
        <v>3370</v>
      </c>
      <c r="C147" s="573">
        <v>0</v>
      </c>
      <c r="D147" s="573">
        <v>0</v>
      </c>
      <c r="E147" s="509"/>
      <c r="F147" s="468"/>
      <c r="G147" s="468"/>
      <c r="H147" s="468"/>
      <c r="I147" s="468"/>
      <c r="J147" s="468"/>
      <c r="K147" s="468"/>
    </row>
    <row r="148" spans="1:11" ht="12.75" customHeight="1" thickTop="1" thickBot="1" x14ac:dyDescent="0.25">
      <c r="A148" s="1520"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0"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0</v>
      </c>
      <c r="G151" s="467">
        <v>0</v>
      </c>
      <c r="H151" s="468"/>
      <c r="I151" s="468"/>
      <c r="J151" s="468"/>
      <c r="K151" s="468"/>
    </row>
    <row r="152" spans="1:11" ht="12.75" customHeight="1" x14ac:dyDescent="0.2">
      <c r="A152" s="463" t="s">
        <v>1117</v>
      </c>
      <c r="B152" s="562">
        <v>3510</v>
      </c>
      <c r="C152" s="551">
        <v>81752</v>
      </c>
      <c r="D152" s="466">
        <v>0</v>
      </c>
      <c r="E152" s="561"/>
      <c r="F152" s="466">
        <v>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8" t="s">
        <v>96</v>
      </c>
      <c r="B154" s="1740"/>
      <c r="C154" s="1727">
        <f>SUM(C151:C153)</f>
        <v>81752</v>
      </c>
      <c r="D154" s="1727">
        <f>SUM(D151:D153)</f>
        <v>0</v>
      </c>
      <c r="E154" s="561"/>
      <c r="F154" s="1727">
        <f>SUM(F151:F153)</f>
        <v>0</v>
      </c>
      <c r="G154" s="1727">
        <f>SUM(G151:G153)</f>
        <v>0</v>
      </c>
      <c r="H154" s="468"/>
      <c r="I154" s="468"/>
      <c r="J154" s="468"/>
      <c r="K154" s="468"/>
    </row>
    <row r="155" spans="1:11" ht="12.75" customHeight="1" thickTop="1" thickBot="1" x14ac:dyDescent="0.25">
      <c r="A155" s="1520" t="s">
        <v>398</v>
      </c>
      <c r="B155" s="574">
        <v>3610</v>
      </c>
      <c r="C155" s="576">
        <v>0</v>
      </c>
      <c r="D155" s="468"/>
      <c r="E155" s="509"/>
      <c r="F155" s="468"/>
      <c r="G155" s="468"/>
      <c r="H155" s="468"/>
      <c r="I155" s="468"/>
      <c r="J155" s="468"/>
      <c r="K155" s="468"/>
    </row>
    <row r="156" spans="1:11" ht="12.75" customHeight="1" thickTop="1" thickBot="1" x14ac:dyDescent="0.25">
      <c r="A156" s="1520" t="s">
        <v>52</v>
      </c>
      <c r="B156" s="574">
        <v>3660</v>
      </c>
      <c r="C156" s="573">
        <v>0</v>
      </c>
      <c r="D156" s="578">
        <v>0</v>
      </c>
      <c r="E156" s="561"/>
      <c r="F156" s="578">
        <v>0</v>
      </c>
      <c r="G156" s="578">
        <v>0</v>
      </c>
      <c r="H156" s="468"/>
      <c r="I156" s="468"/>
      <c r="J156" s="468"/>
      <c r="K156" s="468"/>
    </row>
    <row r="157" spans="1:11" ht="12.75" customHeight="1" thickTop="1" thickBot="1" x14ac:dyDescent="0.25">
      <c r="A157" s="1520" t="s">
        <v>1057</v>
      </c>
      <c r="B157" s="574">
        <v>3695</v>
      </c>
      <c r="C157" s="576">
        <v>0</v>
      </c>
      <c r="D157" s="468"/>
      <c r="E157" s="561"/>
      <c r="F157" s="576">
        <v>0</v>
      </c>
      <c r="G157" s="576">
        <v>0</v>
      </c>
      <c r="H157" s="468"/>
      <c r="I157" s="468"/>
      <c r="J157" s="468"/>
      <c r="K157" s="468"/>
    </row>
    <row r="158" spans="1:11" ht="12.75" customHeight="1" thickTop="1" thickBot="1" x14ac:dyDescent="0.25">
      <c r="A158" s="1520" t="s">
        <v>1111</v>
      </c>
      <c r="B158" s="574">
        <v>3705</v>
      </c>
      <c r="C158" s="576">
        <v>0</v>
      </c>
      <c r="D158" s="578">
        <v>0</v>
      </c>
      <c r="E158" s="561"/>
      <c r="F158" s="576">
        <v>0</v>
      </c>
      <c r="G158" s="576">
        <v>0</v>
      </c>
      <c r="H158" s="468"/>
      <c r="I158" s="468"/>
      <c r="J158" s="468"/>
      <c r="K158" s="468"/>
    </row>
    <row r="159" spans="1:11" ht="12.75" customHeight="1" thickTop="1" thickBot="1" x14ac:dyDescent="0.25">
      <c r="A159" s="1520" t="s">
        <v>39</v>
      </c>
      <c r="B159" s="574">
        <v>3715</v>
      </c>
      <c r="C159" s="576">
        <v>0</v>
      </c>
      <c r="D159" s="468"/>
      <c r="E159" s="561"/>
      <c r="F159" s="576">
        <v>0</v>
      </c>
      <c r="G159" s="576">
        <v>0</v>
      </c>
      <c r="H159" s="468"/>
      <c r="I159" s="468"/>
      <c r="J159" s="468"/>
      <c r="K159" s="468"/>
    </row>
    <row r="160" spans="1:11" ht="12.75" customHeight="1" thickTop="1" thickBot="1" x14ac:dyDescent="0.25">
      <c r="A160" s="1520" t="s">
        <v>40</v>
      </c>
      <c r="B160" s="574">
        <v>3720</v>
      </c>
      <c r="C160" s="576">
        <v>0</v>
      </c>
      <c r="D160" s="468"/>
      <c r="E160" s="561"/>
      <c r="F160" s="576">
        <v>0</v>
      </c>
      <c r="G160" s="576">
        <v>0</v>
      </c>
      <c r="H160" s="468"/>
      <c r="I160" s="468"/>
      <c r="J160" s="468"/>
      <c r="K160" s="468"/>
    </row>
    <row r="161" spans="1:11" ht="12.75" customHeight="1" thickTop="1" thickBot="1" x14ac:dyDescent="0.25">
      <c r="A161" s="1520" t="s">
        <v>415</v>
      </c>
      <c r="B161" s="574">
        <v>3725</v>
      </c>
      <c r="C161" s="531">
        <v>0</v>
      </c>
      <c r="D161" s="468"/>
      <c r="E161" s="561"/>
      <c r="F161" s="531">
        <v>0</v>
      </c>
      <c r="G161" s="531">
        <v>0</v>
      </c>
      <c r="H161" s="468"/>
      <c r="I161" s="468"/>
      <c r="J161" s="468"/>
      <c r="K161" s="468"/>
    </row>
    <row r="162" spans="1:11" ht="12.75" customHeight="1" thickTop="1" thickBot="1" x14ac:dyDescent="0.25">
      <c r="A162" s="1520" t="s">
        <v>416</v>
      </c>
      <c r="B162" s="574">
        <v>3726</v>
      </c>
      <c r="C162" s="531">
        <v>0</v>
      </c>
      <c r="D162" s="468"/>
      <c r="E162" s="561"/>
      <c r="F162" s="531">
        <v>0</v>
      </c>
      <c r="G162" s="531">
        <v>0</v>
      </c>
      <c r="H162" s="468"/>
      <c r="I162" s="468"/>
      <c r="J162" s="468"/>
      <c r="K162" s="468"/>
    </row>
    <row r="163" spans="1:11" ht="12.75" customHeight="1" thickTop="1" thickBot="1" x14ac:dyDescent="0.25">
      <c r="A163" s="1520" t="s">
        <v>41</v>
      </c>
      <c r="B163" s="574">
        <v>3766</v>
      </c>
      <c r="C163" s="576">
        <v>0</v>
      </c>
      <c r="D163" s="578">
        <v>0</v>
      </c>
      <c r="E163" s="561"/>
      <c r="F163" s="576">
        <v>0</v>
      </c>
      <c r="G163" s="531">
        <v>0</v>
      </c>
      <c r="H163" s="468"/>
      <c r="I163" s="468"/>
      <c r="J163" s="468"/>
      <c r="K163" s="468"/>
    </row>
    <row r="164" spans="1:11" ht="12.75" customHeight="1" thickTop="1" thickBot="1" x14ac:dyDescent="0.25">
      <c r="A164" s="1520" t="s">
        <v>1042</v>
      </c>
      <c r="B164" s="574">
        <v>3767</v>
      </c>
      <c r="C164" s="576">
        <v>0</v>
      </c>
      <c r="D164" s="531">
        <v>0</v>
      </c>
      <c r="E164" s="561"/>
      <c r="F164" s="531">
        <v>0</v>
      </c>
      <c r="G164" s="531">
        <v>0</v>
      </c>
      <c r="H164" s="468"/>
      <c r="I164" s="468"/>
      <c r="J164" s="468"/>
      <c r="K164" s="468"/>
    </row>
    <row r="165" spans="1:11" ht="12.75" customHeight="1" thickTop="1" thickBot="1" x14ac:dyDescent="0.25">
      <c r="A165" s="1520"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0"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0" t="s">
        <v>913</v>
      </c>
      <c r="B167" s="574">
        <v>3815</v>
      </c>
      <c r="C167" s="576">
        <v>0</v>
      </c>
      <c r="D167" s="468"/>
      <c r="E167" s="561"/>
      <c r="F167" s="576">
        <v>0</v>
      </c>
      <c r="G167" s="468"/>
      <c r="H167" s="468"/>
      <c r="I167" s="468"/>
      <c r="J167" s="468"/>
      <c r="K167" s="468"/>
    </row>
    <row r="168" spans="1:11" ht="12.75" customHeight="1" thickTop="1" thickBot="1" x14ac:dyDescent="0.25">
      <c r="A168" s="1520" t="s">
        <v>417</v>
      </c>
      <c r="B168" s="574">
        <v>3825</v>
      </c>
      <c r="C168" s="576">
        <v>0</v>
      </c>
      <c r="D168" s="468"/>
      <c r="E168" s="561"/>
      <c r="F168" s="576">
        <v>0</v>
      </c>
      <c r="G168" s="468"/>
      <c r="H168" s="468"/>
      <c r="I168" s="468"/>
      <c r="J168" s="468"/>
      <c r="K168" s="468"/>
    </row>
    <row r="169" spans="1:11" ht="12.75" customHeight="1" thickTop="1" thickBot="1" x14ac:dyDescent="0.25">
      <c r="A169" s="1520" t="s">
        <v>366</v>
      </c>
      <c r="B169" s="574">
        <v>3920</v>
      </c>
      <c r="C169" s="566"/>
      <c r="D169" s="578">
        <v>0</v>
      </c>
      <c r="E169" s="468"/>
      <c r="F169" s="566"/>
      <c r="G169" s="468"/>
      <c r="H169" s="530">
        <v>0</v>
      </c>
      <c r="I169" s="468"/>
      <c r="J169" s="468"/>
      <c r="K169" s="468"/>
    </row>
    <row r="170" spans="1:11" ht="12.75" customHeight="1" thickTop="1" thickBot="1" x14ac:dyDescent="0.25">
      <c r="A170" s="1520" t="s">
        <v>367</v>
      </c>
      <c r="B170" s="574">
        <v>3925</v>
      </c>
      <c r="C170" s="521"/>
      <c r="D170" s="576">
        <v>0</v>
      </c>
      <c r="E170" s="521"/>
      <c r="F170" s="521"/>
      <c r="G170" s="468"/>
      <c r="H170" s="531">
        <v>0</v>
      </c>
      <c r="I170" s="468"/>
      <c r="J170" s="468"/>
      <c r="K170" s="530">
        <v>0</v>
      </c>
    </row>
    <row r="171" spans="1:11" ht="14.25" thickTop="1" thickBot="1" x14ac:dyDescent="0.25">
      <c r="A171" s="1520" t="s">
        <v>72</v>
      </c>
      <c r="B171" s="574">
        <v>3999</v>
      </c>
      <c r="C171" s="579">
        <v>154869</v>
      </c>
      <c r="D171" s="580">
        <v>0</v>
      </c>
      <c r="E171" s="580">
        <v>0</v>
      </c>
      <c r="F171" s="580">
        <v>0</v>
      </c>
      <c r="G171" s="581">
        <v>0</v>
      </c>
      <c r="H171" s="582">
        <v>0</v>
      </c>
      <c r="I171" s="581">
        <v>0</v>
      </c>
      <c r="J171" s="581">
        <v>0</v>
      </c>
      <c r="K171" s="582">
        <v>0</v>
      </c>
    </row>
    <row r="172" spans="1:11" ht="12.75" customHeight="1" thickTop="1" thickBot="1" x14ac:dyDescent="0.25">
      <c r="A172" s="2160" t="s">
        <v>418</v>
      </c>
      <c r="B172" s="2161"/>
      <c r="C172" s="1742">
        <f t="shared" ref="C172:K172" si="6">SUM(C131,C140,C144,C145:C149,C154,C155:C170,C171)</f>
        <v>649149</v>
      </c>
      <c r="D172" s="1742">
        <f t="shared" si="6"/>
        <v>0</v>
      </c>
      <c r="E172" s="1742">
        <f t="shared" si="6"/>
        <v>0</v>
      </c>
      <c r="F172" s="1742">
        <f t="shared" si="6"/>
        <v>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2299262</v>
      </c>
      <c r="D173" s="1735">
        <f>SUM(D121,D172)</f>
        <v>0</v>
      </c>
      <c r="E173" s="1735">
        <f>SUM(E121,E172)</f>
        <v>0</v>
      </c>
      <c r="F173" s="1735">
        <f t="shared" ref="F173:K173" si="7">SUM(F121,F172)</f>
        <v>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6" t="s">
        <v>1764</v>
      </c>
      <c r="B178" s="2167"/>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8" t="s">
        <v>818</v>
      </c>
      <c r="B184" s="2169"/>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4" t="s">
        <v>1903</v>
      </c>
      <c r="B185" s="2165"/>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0</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8" t="s">
        <v>569</v>
      </c>
      <c r="B201" s="1729"/>
      <c r="C201" s="1708">
        <f>SUM(C193:C200)</f>
        <v>0</v>
      </c>
      <c r="D201" s="468"/>
      <c r="E201" s="468"/>
      <c r="F201" s="468"/>
      <c r="G201" s="1708">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120891</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4710469</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1" t="s">
        <v>76</v>
      </c>
      <c r="B223" s="557">
        <v>4699</v>
      </c>
      <c r="C223" s="551">
        <v>0</v>
      </c>
      <c r="D223" s="466">
        <v>0</v>
      </c>
      <c r="E223" s="468"/>
      <c r="F223" s="466">
        <v>0</v>
      </c>
      <c r="G223" s="466">
        <v>0</v>
      </c>
      <c r="H223" s="468"/>
      <c r="I223" s="468"/>
      <c r="J223" s="468"/>
      <c r="K223" s="468"/>
    </row>
    <row r="224" spans="1:11" ht="12.75" customHeight="1" thickBot="1" x14ac:dyDescent="0.25">
      <c r="A224" s="1728" t="s">
        <v>467</v>
      </c>
      <c r="B224" s="1729"/>
      <c r="C224" s="1727">
        <f>SUM(C218:C223)</f>
        <v>4831360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2" t="s">
        <v>1493</v>
      </c>
      <c r="B260" s="588">
        <v>4901</v>
      </c>
      <c r="C260" s="589">
        <v>0</v>
      </c>
      <c r="D260" s="469"/>
      <c r="E260" s="468"/>
      <c r="F260" s="468"/>
      <c r="G260" s="468"/>
      <c r="H260" s="468"/>
      <c r="I260" s="468"/>
      <c r="J260" s="468"/>
      <c r="K260" s="468"/>
    </row>
    <row r="261" spans="1:11" ht="12.75" customHeight="1" thickTop="1" thickBot="1" x14ac:dyDescent="0.25">
      <c r="A261" s="1523"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275717</v>
      </c>
      <c r="D270" s="576">
        <v>0</v>
      </c>
      <c r="E270" s="468"/>
      <c r="F270" s="576">
        <v>0</v>
      </c>
      <c r="G270" s="576">
        <v>0</v>
      </c>
      <c r="H270" s="468"/>
      <c r="I270" s="468"/>
      <c r="J270" s="468"/>
      <c r="K270" s="468"/>
    </row>
    <row r="271" spans="1:11" ht="12.75" customHeight="1" thickTop="1" thickBot="1" x14ac:dyDescent="0.25">
      <c r="A271" s="463" t="s">
        <v>395</v>
      </c>
      <c r="B271" s="470">
        <v>4992</v>
      </c>
      <c r="C271" s="575">
        <v>33697</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227312</v>
      </c>
      <c r="D272" s="576">
        <v>0</v>
      </c>
      <c r="E272" s="468"/>
      <c r="F272" s="576">
        <v>0</v>
      </c>
      <c r="G272" s="576">
        <v>0</v>
      </c>
      <c r="H272" s="530">
        <v>0</v>
      </c>
      <c r="I272" s="468"/>
      <c r="J272" s="468"/>
      <c r="K272" s="530">
        <v>0</v>
      </c>
    </row>
    <row r="273" spans="1:11" ht="14.25" thickTop="1" thickBot="1" x14ac:dyDescent="0.25">
      <c r="A273" s="1728" t="s">
        <v>1765</v>
      </c>
      <c r="B273" s="1747"/>
      <c r="C273" s="1735">
        <f t="shared" ref="C273:H273" si="10">SUM(C191,C201,C211,C216,C224,C228,C229,C259:C272)</f>
        <v>5368086</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5368086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23364568</v>
      </c>
      <c r="D275" s="1735">
        <f t="shared" si="12"/>
        <v>0</v>
      </c>
      <c r="E275" s="1735">
        <f t="shared" si="12"/>
        <v>0</v>
      </c>
      <c r="F275" s="1735">
        <f t="shared" si="12"/>
        <v>0</v>
      </c>
      <c r="G275" s="1735">
        <f t="shared" si="12"/>
        <v>0</v>
      </c>
      <c r="H275" s="1735">
        <f t="shared" si="12"/>
        <v>0</v>
      </c>
      <c r="I275" s="1735">
        <f t="shared" si="12"/>
        <v>0</v>
      </c>
      <c r="J275" s="1735">
        <f t="shared" si="12"/>
        <v>0</v>
      </c>
      <c r="K275" s="1722">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sheetPr>
  <dimension ref="A1:N368"/>
  <sheetViews>
    <sheetView showGridLines="0" defaultGridColor="0" colorId="8" zoomScale="110" zoomScaleNormal="110" workbookViewId="0">
      <pane ySplit="2" topLeftCell="A120" activePane="bottomLeft" state="frozen"/>
      <selection activeCell="C4" sqref="C4"/>
      <selection pane="bottomLeft" activeCell="L209" sqref="L20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118871</v>
      </c>
      <c r="D5" s="466">
        <v>9060</v>
      </c>
      <c r="E5" s="466">
        <v>592</v>
      </c>
      <c r="F5" s="466">
        <v>99</v>
      </c>
      <c r="G5" s="466">
        <v>0</v>
      </c>
      <c r="H5" s="466">
        <v>0</v>
      </c>
      <c r="I5" s="467">
        <v>0</v>
      </c>
      <c r="J5" s="467">
        <v>0</v>
      </c>
      <c r="K5" s="1691">
        <f>SUM(C5:J5)</f>
        <v>128622</v>
      </c>
      <c r="L5" s="466">
        <v>0</v>
      </c>
    </row>
    <row r="6" spans="1:14" x14ac:dyDescent="0.2">
      <c r="A6" s="1524" t="s">
        <v>1508</v>
      </c>
      <c r="B6" s="615" t="s">
        <v>1506</v>
      </c>
      <c r="C6" s="477"/>
      <c r="D6" s="477"/>
      <c r="E6" s="466">
        <v>0</v>
      </c>
      <c r="F6" s="477"/>
      <c r="G6" s="477"/>
      <c r="H6" s="477"/>
      <c r="I6" s="477"/>
      <c r="J6" s="477"/>
      <c r="K6" s="1691">
        <f>SUM(C6,E6)</f>
        <v>0</v>
      </c>
      <c r="L6" s="466">
        <v>0</v>
      </c>
    </row>
    <row r="7" spans="1:14" x14ac:dyDescent="0.2">
      <c r="A7" s="1524" t="s">
        <v>165</v>
      </c>
      <c r="B7" s="615"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5">
        <v>1200</v>
      </c>
      <c r="C8" s="466">
        <v>4047805</v>
      </c>
      <c r="D8" s="466">
        <v>1178929</v>
      </c>
      <c r="E8" s="466">
        <v>75394</v>
      </c>
      <c r="F8" s="466">
        <v>115049</v>
      </c>
      <c r="G8" s="466">
        <v>0</v>
      </c>
      <c r="H8" s="466">
        <v>340</v>
      </c>
      <c r="I8" s="467">
        <v>0</v>
      </c>
      <c r="J8" s="467">
        <v>0</v>
      </c>
      <c r="K8" s="1691">
        <f t="shared" si="0"/>
        <v>5417517</v>
      </c>
      <c r="L8" s="466">
        <v>5300179</v>
      </c>
    </row>
    <row r="9" spans="1:14" x14ac:dyDescent="0.2">
      <c r="A9" s="1524" t="s">
        <v>745</v>
      </c>
      <c r="B9" s="615" t="s">
        <v>1025</v>
      </c>
      <c r="C9" s="467">
        <v>0</v>
      </c>
      <c r="D9" s="467">
        <v>0</v>
      </c>
      <c r="E9" s="467">
        <v>0</v>
      </c>
      <c r="F9" s="467">
        <v>0</v>
      </c>
      <c r="G9" s="467">
        <v>0</v>
      </c>
      <c r="H9" s="467">
        <v>0</v>
      </c>
      <c r="I9" s="467">
        <v>0</v>
      </c>
      <c r="J9" s="467">
        <v>0</v>
      </c>
      <c r="K9" s="1691">
        <f t="shared" si="0"/>
        <v>0</v>
      </c>
      <c r="L9" s="466">
        <v>0</v>
      </c>
    </row>
    <row r="10" spans="1:14" x14ac:dyDescent="0.2">
      <c r="A10" s="1524" t="s">
        <v>746</v>
      </c>
      <c r="B10" s="615">
        <v>1250</v>
      </c>
      <c r="C10" s="466">
        <v>0</v>
      </c>
      <c r="D10" s="466">
        <v>0</v>
      </c>
      <c r="E10" s="466">
        <v>0</v>
      </c>
      <c r="F10" s="466">
        <v>0</v>
      </c>
      <c r="G10" s="466">
        <v>0</v>
      </c>
      <c r="H10" s="466">
        <v>0</v>
      </c>
      <c r="I10" s="467">
        <v>0</v>
      </c>
      <c r="J10" s="467">
        <v>0</v>
      </c>
      <c r="K10" s="1691">
        <f t="shared" si="0"/>
        <v>0</v>
      </c>
      <c r="L10" s="466">
        <v>0</v>
      </c>
    </row>
    <row r="11" spans="1:14" x14ac:dyDescent="0.2">
      <c r="A11" s="1524" t="s">
        <v>1192</v>
      </c>
      <c r="B11" s="615"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5">
        <v>1300</v>
      </c>
      <c r="C12" s="466">
        <v>0</v>
      </c>
      <c r="D12" s="466">
        <v>0</v>
      </c>
      <c r="E12" s="466">
        <v>0</v>
      </c>
      <c r="F12" s="466">
        <v>0</v>
      </c>
      <c r="G12" s="466">
        <v>0</v>
      </c>
      <c r="H12" s="466">
        <v>0</v>
      </c>
      <c r="I12" s="467">
        <v>0</v>
      </c>
      <c r="J12" s="467">
        <v>0</v>
      </c>
      <c r="K12" s="1691">
        <f t="shared" si="0"/>
        <v>0</v>
      </c>
      <c r="L12" s="466">
        <v>0</v>
      </c>
    </row>
    <row r="13" spans="1:14" x14ac:dyDescent="0.2">
      <c r="A13" s="1524" t="s">
        <v>747</v>
      </c>
      <c r="B13" s="615">
        <v>1400</v>
      </c>
      <c r="C13" s="466">
        <v>585727</v>
      </c>
      <c r="D13" s="466">
        <v>156300</v>
      </c>
      <c r="E13" s="466">
        <v>21892</v>
      </c>
      <c r="F13" s="466">
        <v>5391</v>
      </c>
      <c r="G13" s="466">
        <v>0</v>
      </c>
      <c r="H13" s="466">
        <v>683</v>
      </c>
      <c r="I13" s="467">
        <v>1390</v>
      </c>
      <c r="J13" s="467">
        <v>0</v>
      </c>
      <c r="K13" s="1691">
        <f t="shared" si="0"/>
        <v>771383</v>
      </c>
      <c r="L13" s="466">
        <v>759721</v>
      </c>
    </row>
    <row r="14" spans="1:14" x14ac:dyDescent="0.2">
      <c r="A14" s="1524" t="s">
        <v>1020</v>
      </c>
      <c r="B14" s="615">
        <v>1500</v>
      </c>
      <c r="C14" s="466">
        <v>0</v>
      </c>
      <c r="D14" s="466">
        <v>0</v>
      </c>
      <c r="E14" s="466">
        <v>0</v>
      </c>
      <c r="F14" s="466">
        <v>0</v>
      </c>
      <c r="G14" s="466">
        <v>0</v>
      </c>
      <c r="H14" s="466">
        <v>0</v>
      </c>
      <c r="I14" s="467">
        <v>0</v>
      </c>
      <c r="J14" s="467">
        <v>0</v>
      </c>
      <c r="K14" s="1691">
        <f t="shared" si="0"/>
        <v>0</v>
      </c>
      <c r="L14" s="466">
        <v>0</v>
      </c>
    </row>
    <row r="15" spans="1:14" x14ac:dyDescent="0.2">
      <c r="A15" s="1524" t="s">
        <v>1021</v>
      </c>
      <c r="B15" s="615">
        <v>1600</v>
      </c>
      <c r="C15" s="466">
        <v>0</v>
      </c>
      <c r="D15" s="466">
        <v>0</v>
      </c>
      <c r="E15" s="466">
        <v>0</v>
      </c>
      <c r="F15" s="466">
        <v>0</v>
      </c>
      <c r="G15" s="466">
        <v>0</v>
      </c>
      <c r="H15" s="466">
        <v>0</v>
      </c>
      <c r="I15" s="467">
        <v>0</v>
      </c>
      <c r="J15" s="467">
        <v>0</v>
      </c>
      <c r="K15" s="1691">
        <f t="shared" si="0"/>
        <v>0</v>
      </c>
      <c r="L15" s="466">
        <v>0</v>
      </c>
    </row>
    <row r="16" spans="1:14" x14ac:dyDescent="0.2">
      <c r="A16" s="1524" t="s">
        <v>1044</v>
      </c>
      <c r="B16" s="615" t="s">
        <v>444</v>
      </c>
      <c r="C16" s="466">
        <v>0</v>
      </c>
      <c r="D16" s="466">
        <v>0</v>
      </c>
      <c r="E16" s="466">
        <v>0</v>
      </c>
      <c r="F16" s="466">
        <v>0</v>
      </c>
      <c r="G16" s="466">
        <v>0</v>
      </c>
      <c r="H16" s="466">
        <v>0</v>
      </c>
      <c r="I16" s="467">
        <v>0</v>
      </c>
      <c r="J16" s="467">
        <v>0</v>
      </c>
      <c r="K16" s="1691">
        <f t="shared" si="0"/>
        <v>0</v>
      </c>
      <c r="L16" s="466">
        <v>0</v>
      </c>
    </row>
    <row r="17" spans="1:12" x14ac:dyDescent="0.2">
      <c r="A17" s="1524" t="s">
        <v>748</v>
      </c>
      <c r="B17" s="615"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5">
        <v>1800</v>
      </c>
      <c r="C18" s="466">
        <v>0</v>
      </c>
      <c r="D18" s="466">
        <v>0</v>
      </c>
      <c r="E18" s="466">
        <v>0</v>
      </c>
      <c r="F18" s="466">
        <v>0</v>
      </c>
      <c r="G18" s="466">
        <v>0</v>
      </c>
      <c r="H18" s="466">
        <v>0</v>
      </c>
      <c r="I18" s="467">
        <v>0</v>
      </c>
      <c r="J18" s="467">
        <v>0</v>
      </c>
      <c r="K18" s="1691">
        <f t="shared" si="0"/>
        <v>0</v>
      </c>
      <c r="L18" s="466">
        <v>0</v>
      </c>
    </row>
    <row r="19" spans="1:12" x14ac:dyDescent="0.2">
      <c r="A19" s="1524" t="s">
        <v>136</v>
      </c>
      <c r="B19" s="615">
        <v>1900</v>
      </c>
      <c r="C19" s="466">
        <v>0</v>
      </c>
      <c r="D19" s="466">
        <v>0</v>
      </c>
      <c r="E19" s="466">
        <v>0</v>
      </c>
      <c r="F19" s="466">
        <v>0</v>
      </c>
      <c r="G19" s="466">
        <v>0</v>
      </c>
      <c r="H19" s="466">
        <v>0</v>
      </c>
      <c r="I19" s="467">
        <v>0</v>
      </c>
      <c r="J19" s="467">
        <v>0</v>
      </c>
      <c r="K19" s="1691">
        <f t="shared" si="0"/>
        <v>0</v>
      </c>
      <c r="L19" s="466">
        <v>0</v>
      </c>
    </row>
    <row r="20" spans="1:12" x14ac:dyDescent="0.2">
      <c r="A20" s="1525" t="s">
        <v>762</v>
      </c>
      <c r="B20" s="603" t="s">
        <v>749</v>
      </c>
      <c r="C20" s="477"/>
      <c r="D20" s="477"/>
      <c r="E20" s="477"/>
      <c r="F20" s="477"/>
      <c r="G20" s="477"/>
      <c r="H20" s="474">
        <v>0</v>
      </c>
      <c r="I20" s="617"/>
      <c r="J20" s="475"/>
      <c r="K20" s="1691">
        <f t="shared" si="0"/>
        <v>0</v>
      </c>
      <c r="L20" s="471">
        <v>0</v>
      </c>
    </row>
    <row r="21" spans="1:12" x14ac:dyDescent="0.2">
      <c r="A21" s="1525" t="s">
        <v>763</v>
      </c>
      <c r="B21" s="603" t="s">
        <v>750</v>
      </c>
      <c r="C21" s="477"/>
      <c r="D21" s="477"/>
      <c r="E21" s="477"/>
      <c r="F21" s="477"/>
      <c r="G21" s="477"/>
      <c r="H21" s="474">
        <v>0</v>
      </c>
      <c r="I21" s="617"/>
      <c r="J21" s="477"/>
      <c r="K21" s="1691">
        <f t="shared" si="0"/>
        <v>0</v>
      </c>
      <c r="L21" s="471">
        <v>0</v>
      </c>
    </row>
    <row r="22" spans="1:12" x14ac:dyDescent="0.2">
      <c r="A22" s="1525" t="s">
        <v>764</v>
      </c>
      <c r="B22" s="603" t="s">
        <v>751</v>
      </c>
      <c r="C22" s="477"/>
      <c r="D22" s="477"/>
      <c r="E22" s="477"/>
      <c r="F22" s="477"/>
      <c r="G22" s="477"/>
      <c r="H22" s="474">
        <v>0</v>
      </c>
      <c r="I22" s="617"/>
      <c r="J22" s="477"/>
      <c r="K22" s="1691">
        <f t="shared" si="0"/>
        <v>0</v>
      </c>
      <c r="L22" s="471">
        <v>0</v>
      </c>
    </row>
    <row r="23" spans="1:12" x14ac:dyDescent="0.2">
      <c r="A23" s="1525" t="s">
        <v>765</v>
      </c>
      <c r="B23" s="603" t="s">
        <v>752</v>
      </c>
      <c r="C23" s="477"/>
      <c r="D23" s="477"/>
      <c r="E23" s="477"/>
      <c r="F23" s="477"/>
      <c r="G23" s="477"/>
      <c r="H23" s="474">
        <v>0</v>
      </c>
      <c r="I23" s="617"/>
      <c r="J23" s="477"/>
      <c r="K23" s="1691">
        <f t="shared" si="0"/>
        <v>0</v>
      </c>
      <c r="L23" s="471">
        <v>0</v>
      </c>
    </row>
    <row r="24" spans="1:12" ht="12.75" customHeight="1" x14ac:dyDescent="0.2">
      <c r="A24" s="1525" t="s">
        <v>766</v>
      </c>
      <c r="B24" s="603" t="s">
        <v>753</v>
      </c>
      <c r="C24" s="477"/>
      <c r="D24" s="477"/>
      <c r="E24" s="477"/>
      <c r="F24" s="477"/>
      <c r="G24" s="477"/>
      <c r="H24" s="474">
        <v>0</v>
      </c>
      <c r="I24" s="617"/>
      <c r="J24" s="477"/>
      <c r="K24" s="1691">
        <f t="shared" si="0"/>
        <v>0</v>
      </c>
      <c r="L24" s="471">
        <v>0</v>
      </c>
    </row>
    <row r="25" spans="1:12" ht="12.75" customHeight="1" x14ac:dyDescent="0.2">
      <c r="A25" s="1525" t="s">
        <v>835</v>
      </c>
      <c r="B25" s="603" t="s">
        <v>754</v>
      </c>
      <c r="C25" s="477"/>
      <c r="D25" s="477"/>
      <c r="E25" s="477"/>
      <c r="F25" s="477"/>
      <c r="G25" s="477"/>
      <c r="H25" s="474">
        <v>0</v>
      </c>
      <c r="I25" s="617"/>
      <c r="J25" s="477"/>
      <c r="K25" s="1691">
        <f t="shared" si="0"/>
        <v>0</v>
      </c>
      <c r="L25" s="471">
        <v>0</v>
      </c>
    </row>
    <row r="26" spans="1:12" x14ac:dyDescent="0.2">
      <c r="A26" s="1525" t="s">
        <v>643</v>
      </c>
      <c r="B26" s="603" t="s">
        <v>755</v>
      </c>
      <c r="C26" s="477"/>
      <c r="D26" s="477"/>
      <c r="E26" s="477"/>
      <c r="F26" s="477"/>
      <c r="G26" s="477"/>
      <c r="H26" s="474">
        <v>0</v>
      </c>
      <c r="I26" s="617"/>
      <c r="J26" s="477"/>
      <c r="K26" s="1691">
        <f t="shared" si="0"/>
        <v>0</v>
      </c>
      <c r="L26" s="471">
        <v>0</v>
      </c>
    </row>
    <row r="27" spans="1:12" x14ac:dyDescent="0.2">
      <c r="A27" s="1525" t="s">
        <v>644</v>
      </c>
      <c r="B27" s="603" t="s">
        <v>756</v>
      </c>
      <c r="C27" s="477"/>
      <c r="D27" s="477"/>
      <c r="E27" s="477"/>
      <c r="F27" s="477"/>
      <c r="G27" s="477"/>
      <c r="H27" s="474">
        <v>0</v>
      </c>
      <c r="I27" s="617"/>
      <c r="J27" s="477"/>
      <c r="K27" s="1691">
        <f t="shared" si="0"/>
        <v>0</v>
      </c>
      <c r="L27" s="471">
        <v>0</v>
      </c>
    </row>
    <row r="28" spans="1:12" x14ac:dyDescent="0.2">
      <c r="A28" s="1525" t="s">
        <v>152</v>
      </c>
      <c r="B28" s="603" t="s">
        <v>757</v>
      </c>
      <c r="C28" s="477"/>
      <c r="D28" s="477"/>
      <c r="E28" s="477"/>
      <c r="F28" s="477"/>
      <c r="G28" s="477"/>
      <c r="H28" s="474">
        <v>0</v>
      </c>
      <c r="I28" s="617"/>
      <c r="J28" s="477"/>
      <c r="K28" s="1691">
        <f t="shared" si="0"/>
        <v>0</v>
      </c>
      <c r="L28" s="471">
        <v>0</v>
      </c>
    </row>
    <row r="29" spans="1:12" x14ac:dyDescent="0.2">
      <c r="A29" s="1525" t="s">
        <v>153</v>
      </c>
      <c r="B29" s="603" t="s">
        <v>758</v>
      </c>
      <c r="C29" s="477"/>
      <c r="D29" s="477"/>
      <c r="E29" s="477"/>
      <c r="F29" s="477"/>
      <c r="G29" s="477"/>
      <c r="H29" s="474">
        <v>0</v>
      </c>
      <c r="I29" s="617"/>
      <c r="J29" s="477"/>
      <c r="K29" s="1691">
        <f t="shared" si="0"/>
        <v>0</v>
      </c>
      <c r="L29" s="471">
        <v>0</v>
      </c>
    </row>
    <row r="30" spans="1:12" x14ac:dyDescent="0.2">
      <c r="A30" s="1525" t="s">
        <v>154</v>
      </c>
      <c r="B30" s="603" t="s">
        <v>759</v>
      </c>
      <c r="C30" s="477"/>
      <c r="D30" s="477"/>
      <c r="E30" s="477"/>
      <c r="F30" s="477"/>
      <c r="G30" s="477"/>
      <c r="H30" s="474">
        <v>0</v>
      </c>
      <c r="I30" s="617"/>
      <c r="J30" s="477"/>
      <c r="K30" s="1691">
        <f t="shared" si="0"/>
        <v>0</v>
      </c>
      <c r="L30" s="471">
        <v>0</v>
      </c>
    </row>
    <row r="31" spans="1:12" x14ac:dyDescent="0.2">
      <c r="A31" s="1525" t="s">
        <v>155</v>
      </c>
      <c r="B31" s="603" t="s">
        <v>760</v>
      </c>
      <c r="C31" s="477"/>
      <c r="D31" s="477"/>
      <c r="E31" s="477"/>
      <c r="F31" s="477"/>
      <c r="G31" s="477"/>
      <c r="H31" s="474">
        <v>0</v>
      </c>
      <c r="I31" s="617"/>
      <c r="J31" s="477"/>
      <c r="K31" s="1691">
        <f t="shared" si="0"/>
        <v>0</v>
      </c>
      <c r="L31" s="471">
        <v>0</v>
      </c>
    </row>
    <row r="32" spans="1:12" x14ac:dyDescent="0.2">
      <c r="A32" s="1526" t="s">
        <v>1191</v>
      </c>
      <c r="B32" s="615" t="s">
        <v>761</v>
      </c>
      <c r="C32" s="477"/>
      <c r="D32" s="477"/>
      <c r="E32" s="477"/>
      <c r="F32" s="477"/>
      <c r="G32" s="477"/>
      <c r="H32" s="474">
        <v>0</v>
      </c>
      <c r="I32" s="617"/>
      <c r="J32" s="480"/>
      <c r="K32" s="1691">
        <f t="shared" si="0"/>
        <v>0</v>
      </c>
      <c r="L32" s="471">
        <v>0</v>
      </c>
    </row>
    <row r="33" spans="1:14" ht="12.75" customHeight="1" thickBot="1" x14ac:dyDescent="0.25">
      <c r="A33" s="1688" t="s">
        <v>1767</v>
      </c>
      <c r="B33" s="1689" t="s">
        <v>591</v>
      </c>
      <c r="C33" s="1690">
        <f>SUM(C5:C32)</f>
        <v>4752403</v>
      </c>
      <c r="D33" s="1690">
        <f t="shared" ref="D33:L33" si="1">SUM(D5:D32)</f>
        <v>1344289</v>
      </c>
      <c r="E33" s="1690">
        <f t="shared" si="1"/>
        <v>97878</v>
      </c>
      <c r="F33" s="1690">
        <f t="shared" si="1"/>
        <v>120539</v>
      </c>
      <c r="G33" s="1690">
        <f t="shared" si="1"/>
        <v>0</v>
      </c>
      <c r="H33" s="1690">
        <f t="shared" si="1"/>
        <v>1023</v>
      </c>
      <c r="I33" s="1690">
        <f t="shared" si="1"/>
        <v>1390</v>
      </c>
      <c r="J33" s="1690">
        <f t="shared" si="1"/>
        <v>0</v>
      </c>
      <c r="K33" s="1690">
        <f t="shared" si="1"/>
        <v>6317522</v>
      </c>
      <c r="L33" s="1690">
        <f t="shared" si="1"/>
        <v>6059900</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613013</v>
      </c>
      <c r="D36" s="481">
        <v>89373</v>
      </c>
      <c r="E36" s="481">
        <v>41051</v>
      </c>
      <c r="F36" s="481">
        <v>0</v>
      </c>
      <c r="G36" s="481">
        <v>0</v>
      </c>
      <c r="H36" s="481">
        <v>0</v>
      </c>
      <c r="I36" s="467">
        <v>0</v>
      </c>
      <c r="J36" s="467">
        <v>0</v>
      </c>
      <c r="K36" s="1691">
        <f t="shared" ref="K36:K41" si="2">SUM(C36:J36)</f>
        <v>743437</v>
      </c>
      <c r="L36" s="466">
        <v>729836</v>
      </c>
    </row>
    <row r="37" spans="1:14" x14ac:dyDescent="0.2">
      <c r="A37" s="1524" t="s">
        <v>1151</v>
      </c>
      <c r="B37" s="615">
        <v>2120</v>
      </c>
      <c r="C37" s="466">
        <v>0</v>
      </c>
      <c r="D37" s="466">
        <v>0</v>
      </c>
      <c r="E37" s="466">
        <v>0</v>
      </c>
      <c r="F37" s="466">
        <v>0</v>
      </c>
      <c r="G37" s="466">
        <v>0</v>
      </c>
      <c r="H37" s="466">
        <v>0</v>
      </c>
      <c r="I37" s="467">
        <v>0</v>
      </c>
      <c r="J37" s="467">
        <v>0</v>
      </c>
      <c r="K37" s="1691">
        <f t="shared" si="2"/>
        <v>0</v>
      </c>
      <c r="L37" s="466">
        <v>0</v>
      </c>
    </row>
    <row r="38" spans="1:14" x14ac:dyDescent="0.2">
      <c r="A38" s="1524" t="s">
        <v>207</v>
      </c>
      <c r="B38" s="615">
        <v>2130</v>
      </c>
      <c r="C38" s="466">
        <v>3892057</v>
      </c>
      <c r="D38" s="466">
        <v>1332155</v>
      </c>
      <c r="E38" s="466">
        <v>74018</v>
      </c>
      <c r="F38" s="466">
        <v>10548</v>
      </c>
      <c r="G38" s="466">
        <v>0</v>
      </c>
      <c r="H38" s="466">
        <v>0</v>
      </c>
      <c r="I38" s="467">
        <v>0</v>
      </c>
      <c r="J38" s="467">
        <v>0</v>
      </c>
      <c r="K38" s="1691">
        <f t="shared" si="2"/>
        <v>5308778</v>
      </c>
      <c r="L38" s="466">
        <v>5158969</v>
      </c>
    </row>
    <row r="39" spans="1:14" x14ac:dyDescent="0.2">
      <c r="A39" s="1524" t="s">
        <v>208</v>
      </c>
      <c r="B39" s="615">
        <v>2140</v>
      </c>
      <c r="C39" s="466">
        <v>1638572</v>
      </c>
      <c r="D39" s="466">
        <v>297929</v>
      </c>
      <c r="E39" s="466">
        <v>2838</v>
      </c>
      <c r="F39" s="466">
        <v>18509</v>
      </c>
      <c r="G39" s="466">
        <v>0</v>
      </c>
      <c r="H39" s="466">
        <v>0</v>
      </c>
      <c r="I39" s="467">
        <v>0</v>
      </c>
      <c r="J39" s="467">
        <v>0</v>
      </c>
      <c r="K39" s="1691">
        <f t="shared" si="2"/>
        <v>1957848</v>
      </c>
      <c r="L39" s="466">
        <v>1926241</v>
      </c>
    </row>
    <row r="40" spans="1:14" x14ac:dyDescent="0.2">
      <c r="A40" s="1524" t="s">
        <v>209</v>
      </c>
      <c r="B40" s="615">
        <v>2150</v>
      </c>
      <c r="C40" s="466">
        <v>2778895</v>
      </c>
      <c r="D40" s="466">
        <v>425445</v>
      </c>
      <c r="E40" s="466">
        <v>4532</v>
      </c>
      <c r="F40" s="466">
        <v>2334</v>
      </c>
      <c r="G40" s="466">
        <v>0</v>
      </c>
      <c r="H40" s="466">
        <v>0</v>
      </c>
      <c r="I40" s="467">
        <v>0</v>
      </c>
      <c r="J40" s="467">
        <v>0</v>
      </c>
      <c r="K40" s="1691">
        <f t="shared" si="2"/>
        <v>3211206</v>
      </c>
      <c r="L40" s="466">
        <v>2873358</v>
      </c>
    </row>
    <row r="41" spans="1:14" x14ac:dyDescent="0.2">
      <c r="A41" s="1524" t="s">
        <v>1768</v>
      </c>
      <c r="B41" s="615">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8922537</v>
      </c>
      <c r="D42" s="1690">
        <f t="shared" ref="D42:L42" si="3">SUM(D36:D41)</f>
        <v>2144902</v>
      </c>
      <c r="E42" s="1690">
        <f t="shared" si="3"/>
        <v>122439</v>
      </c>
      <c r="F42" s="1690">
        <f t="shared" si="3"/>
        <v>31391</v>
      </c>
      <c r="G42" s="1690">
        <f t="shared" si="3"/>
        <v>0</v>
      </c>
      <c r="H42" s="1690">
        <f t="shared" si="3"/>
        <v>0</v>
      </c>
      <c r="I42" s="1690">
        <f t="shared" si="3"/>
        <v>0</v>
      </c>
      <c r="J42" s="1690">
        <f t="shared" si="3"/>
        <v>0</v>
      </c>
      <c r="K42" s="1690">
        <f t="shared" si="3"/>
        <v>11221269</v>
      </c>
      <c r="L42" s="1690">
        <f t="shared" si="3"/>
        <v>10688404</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175866</v>
      </c>
      <c r="D44" s="481">
        <v>50333</v>
      </c>
      <c r="E44" s="481">
        <v>103729</v>
      </c>
      <c r="F44" s="481">
        <v>3424</v>
      </c>
      <c r="G44" s="481">
        <v>0</v>
      </c>
      <c r="H44" s="481">
        <v>1455</v>
      </c>
      <c r="I44" s="467">
        <v>0</v>
      </c>
      <c r="J44" s="467">
        <v>0</v>
      </c>
      <c r="K44" s="1692">
        <f>SUM(C44:J44)</f>
        <v>334807</v>
      </c>
      <c r="L44" s="481">
        <v>305585</v>
      </c>
    </row>
    <row r="45" spans="1:14" x14ac:dyDescent="0.2">
      <c r="A45" s="1524" t="s">
        <v>869</v>
      </c>
      <c r="B45" s="615">
        <v>2220</v>
      </c>
      <c r="C45" s="466">
        <v>0</v>
      </c>
      <c r="D45" s="466">
        <v>0</v>
      </c>
      <c r="E45" s="466">
        <v>0</v>
      </c>
      <c r="F45" s="466">
        <v>0</v>
      </c>
      <c r="G45" s="466">
        <v>0</v>
      </c>
      <c r="H45" s="466">
        <v>0</v>
      </c>
      <c r="I45" s="467">
        <v>0</v>
      </c>
      <c r="J45" s="467">
        <v>0</v>
      </c>
      <c r="K45" s="1692">
        <f>SUM(C45:J45)</f>
        <v>0</v>
      </c>
      <c r="L45" s="466">
        <v>0</v>
      </c>
    </row>
    <row r="46" spans="1:14" x14ac:dyDescent="0.2">
      <c r="A46" s="1524" t="s">
        <v>870</v>
      </c>
      <c r="B46" s="615">
        <v>2230</v>
      </c>
      <c r="C46" s="466">
        <v>0</v>
      </c>
      <c r="D46" s="466">
        <v>0</v>
      </c>
      <c r="E46" s="466">
        <v>16364</v>
      </c>
      <c r="F46" s="466">
        <v>0</v>
      </c>
      <c r="G46" s="466">
        <v>0</v>
      </c>
      <c r="H46" s="466">
        <v>0</v>
      </c>
      <c r="I46" s="467">
        <v>0</v>
      </c>
      <c r="J46" s="467">
        <v>0</v>
      </c>
      <c r="K46" s="1692">
        <f>SUM(C46:J46)</f>
        <v>16364</v>
      </c>
      <c r="L46" s="466">
        <v>40000</v>
      </c>
    </row>
    <row r="47" spans="1:14" ht="12.75" customHeight="1" thickBot="1" x14ac:dyDescent="0.25">
      <c r="A47" s="1688" t="s">
        <v>582</v>
      </c>
      <c r="B47" s="1689" t="s">
        <v>32</v>
      </c>
      <c r="C47" s="1690">
        <f>SUM(C44:C46)</f>
        <v>175866</v>
      </c>
      <c r="D47" s="1690">
        <f t="shared" ref="D47:K47" si="4">SUM(D44:D46)</f>
        <v>50333</v>
      </c>
      <c r="E47" s="1690">
        <f t="shared" si="4"/>
        <v>120093</v>
      </c>
      <c r="F47" s="1690">
        <f t="shared" si="4"/>
        <v>3424</v>
      </c>
      <c r="G47" s="1690">
        <f t="shared" si="4"/>
        <v>0</v>
      </c>
      <c r="H47" s="1690">
        <f t="shared" si="4"/>
        <v>1455</v>
      </c>
      <c r="I47" s="1690">
        <f t="shared" si="4"/>
        <v>0</v>
      </c>
      <c r="J47" s="1690">
        <f t="shared" si="4"/>
        <v>0</v>
      </c>
      <c r="K47" s="1690">
        <f t="shared" si="4"/>
        <v>351171</v>
      </c>
      <c r="L47" s="1690">
        <f>SUM(L44:L46)</f>
        <v>345585</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v>0</v>
      </c>
      <c r="D49" s="481">
        <v>0</v>
      </c>
      <c r="E49" s="481">
        <v>0</v>
      </c>
      <c r="F49" s="481">
        <v>0</v>
      </c>
      <c r="G49" s="481">
        <v>0</v>
      </c>
      <c r="H49" s="481">
        <v>0</v>
      </c>
      <c r="I49" s="467">
        <v>0</v>
      </c>
      <c r="J49" s="467">
        <v>0</v>
      </c>
      <c r="K49" s="1692">
        <f>SUM(C49:J49)</f>
        <v>0</v>
      </c>
      <c r="L49" s="481">
        <v>0</v>
      </c>
    </row>
    <row r="50" spans="1:14" x14ac:dyDescent="0.2">
      <c r="A50" s="1524" t="s">
        <v>872</v>
      </c>
      <c r="B50" s="615">
        <v>2320</v>
      </c>
      <c r="C50" s="466">
        <v>223904</v>
      </c>
      <c r="D50" s="466">
        <v>65558</v>
      </c>
      <c r="E50" s="466">
        <v>225765</v>
      </c>
      <c r="F50" s="466">
        <v>1759</v>
      </c>
      <c r="G50" s="466">
        <v>0</v>
      </c>
      <c r="H50" s="466">
        <v>4147</v>
      </c>
      <c r="I50" s="467">
        <v>0</v>
      </c>
      <c r="J50" s="467">
        <v>0</v>
      </c>
      <c r="K50" s="1692">
        <f>SUM(C50:J50)</f>
        <v>521133</v>
      </c>
      <c r="L50" s="466">
        <v>524042</v>
      </c>
    </row>
    <row r="51" spans="1:14" x14ac:dyDescent="0.2">
      <c r="A51" s="1524" t="s">
        <v>44</v>
      </c>
      <c r="B51" s="615">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8" t="s">
        <v>384</v>
      </c>
      <c r="C52" s="474">
        <v>0</v>
      </c>
      <c r="D52" s="474">
        <v>0</v>
      </c>
      <c r="E52" s="474">
        <v>0</v>
      </c>
      <c r="F52" s="474">
        <v>0</v>
      </c>
      <c r="G52" s="474">
        <v>0</v>
      </c>
      <c r="H52" s="474">
        <v>0</v>
      </c>
      <c r="I52" s="474">
        <v>0</v>
      </c>
      <c r="J52" s="474">
        <v>0</v>
      </c>
      <c r="K52" s="1692">
        <f>SUM(C52:J52)</f>
        <v>0</v>
      </c>
      <c r="L52" s="474">
        <v>0</v>
      </c>
    </row>
    <row r="53" spans="1:14" ht="12.75" customHeight="1" thickBot="1" x14ac:dyDescent="0.25">
      <c r="A53" s="1688" t="s">
        <v>741</v>
      </c>
      <c r="B53" s="1689" t="s">
        <v>33</v>
      </c>
      <c r="C53" s="1690">
        <f>SUM(C49:C52)</f>
        <v>223904</v>
      </c>
      <c r="D53" s="1690">
        <f t="shared" ref="D53:L53" si="5">SUM(D49:D52)</f>
        <v>65558</v>
      </c>
      <c r="E53" s="1690">
        <f t="shared" si="5"/>
        <v>225765</v>
      </c>
      <c r="F53" s="1690">
        <f t="shared" si="5"/>
        <v>1759</v>
      </c>
      <c r="G53" s="1690">
        <f t="shared" si="5"/>
        <v>0</v>
      </c>
      <c r="H53" s="1690">
        <f t="shared" si="5"/>
        <v>4147</v>
      </c>
      <c r="I53" s="1690">
        <f t="shared" si="5"/>
        <v>0</v>
      </c>
      <c r="J53" s="1690">
        <f t="shared" si="5"/>
        <v>0</v>
      </c>
      <c r="K53" s="1690">
        <f t="shared" si="5"/>
        <v>521133</v>
      </c>
      <c r="L53" s="1690">
        <f t="shared" si="5"/>
        <v>524042</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848378</v>
      </c>
      <c r="D55" s="481">
        <v>218061</v>
      </c>
      <c r="E55" s="481">
        <v>43827</v>
      </c>
      <c r="F55" s="481">
        <v>3731</v>
      </c>
      <c r="G55" s="481">
        <v>0</v>
      </c>
      <c r="H55" s="481">
        <v>0</v>
      </c>
      <c r="I55" s="467">
        <v>0</v>
      </c>
      <c r="J55" s="467">
        <v>0</v>
      </c>
      <c r="K55" s="1692">
        <f>SUM(C55:J55)</f>
        <v>1113997</v>
      </c>
      <c r="L55" s="481">
        <v>1089782</v>
      </c>
    </row>
    <row r="56" spans="1:14" ht="12.75" customHeight="1" x14ac:dyDescent="0.2">
      <c r="A56" s="1528" t="s">
        <v>394</v>
      </c>
      <c r="B56" s="629">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848378</v>
      </c>
      <c r="D57" s="1694">
        <f t="shared" ref="D57:K57" si="6">SUM(D55:D56)</f>
        <v>218061</v>
      </c>
      <c r="E57" s="1694">
        <f t="shared" si="6"/>
        <v>43827</v>
      </c>
      <c r="F57" s="1694">
        <f t="shared" si="6"/>
        <v>3731</v>
      </c>
      <c r="G57" s="1694">
        <f t="shared" si="6"/>
        <v>0</v>
      </c>
      <c r="H57" s="1694">
        <f t="shared" si="6"/>
        <v>0</v>
      </c>
      <c r="I57" s="1694">
        <f t="shared" si="6"/>
        <v>0</v>
      </c>
      <c r="J57" s="1694">
        <f t="shared" si="6"/>
        <v>0</v>
      </c>
      <c r="K57" s="1694">
        <f t="shared" si="6"/>
        <v>1113997</v>
      </c>
      <c r="L57" s="1690">
        <f>SUM(L55:L56)</f>
        <v>1089782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v>91800</v>
      </c>
      <c r="D59" s="481">
        <v>36135</v>
      </c>
      <c r="E59" s="481">
        <v>6636</v>
      </c>
      <c r="F59" s="481">
        <v>13182</v>
      </c>
      <c r="G59" s="481">
        <v>0</v>
      </c>
      <c r="H59" s="481">
        <v>855</v>
      </c>
      <c r="I59" s="467">
        <v>230</v>
      </c>
      <c r="J59" s="467">
        <v>0</v>
      </c>
      <c r="K59" s="1692">
        <f t="shared" ref="K59:K64" si="7">SUM(C59:J59)</f>
        <v>148838</v>
      </c>
      <c r="L59" s="481">
        <v>130039</v>
      </c>
      <c r="M59" s="610"/>
      <c r="N59" s="610"/>
    </row>
    <row r="60" spans="1:14" s="343" customFormat="1" x14ac:dyDescent="0.2">
      <c r="A60" s="1524" t="s">
        <v>483</v>
      </c>
      <c r="B60" s="615">
        <v>2520</v>
      </c>
      <c r="C60" s="466">
        <v>49440</v>
      </c>
      <c r="D60" s="466">
        <v>29948</v>
      </c>
      <c r="E60" s="466">
        <v>0</v>
      </c>
      <c r="F60" s="466">
        <v>0</v>
      </c>
      <c r="G60" s="466">
        <v>0</v>
      </c>
      <c r="H60" s="466">
        <v>0</v>
      </c>
      <c r="I60" s="467">
        <v>0</v>
      </c>
      <c r="J60" s="467">
        <v>0</v>
      </c>
      <c r="K60" s="1692">
        <f t="shared" si="7"/>
        <v>79388</v>
      </c>
      <c r="L60" s="466">
        <v>79130</v>
      </c>
      <c r="M60" s="610"/>
      <c r="N60" s="610"/>
    </row>
    <row r="61" spans="1:14" s="343" customFormat="1" x14ac:dyDescent="0.2">
      <c r="A61" s="1524" t="s">
        <v>206</v>
      </c>
      <c r="B61" s="615">
        <v>2540</v>
      </c>
      <c r="C61" s="466">
        <v>29531</v>
      </c>
      <c r="D61" s="466">
        <v>26435</v>
      </c>
      <c r="E61" s="466">
        <v>482259</v>
      </c>
      <c r="F61" s="466">
        <v>6725</v>
      </c>
      <c r="G61" s="466">
        <v>0</v>
      </c>
      <c r="H61" s="466">
        <v>0</v>
      </c>
      <c r="I61" s="467">
        <v>0</v>
      </c>
      <c r="J61" s="467">
        <v>0</v>
      </c>
      <c r="K61" s="1692">
        <f t="shared" si="7"/>
        <v>544950</v>
      </c>
      <c r="L61" s="466">
        <v>107611</v>
      </c>
      <c r="M61" s="610"/>
      <c r="N61" s="610"/>
    </row>
    <row r="62" spans="1:14" s="343" customFormat="1" x14ac:dyDescent="0.2">
      <c r="A62" s="1524" t="s">
        <v>1010</v>
      </c>
      <c r="B62" s="615">
        <v>2550</v>
      </c>
      <c r="C62" s="466">
        <v>59972</v>
      </c>
      <c r="D62" s="466">
        <v>40129</v>
      </c>
      <c r="E62" s="466">
        <v>16131</v>
      </c>
      <c r="F62" s="466">
        <v>0</v>
      </c>
      <c r="G62" s="466">
        <v>0</v>
      </c>
      <c r="H62" s="466">
        <v>0</v>
      </c>
      <c r="I62" s="467">
        <v>0</v>
      </c>
      <c r="J62" s="467">
        <v>0</v>
      </c>
      <c r="K62" s="1692">
        <f t="shared" si="7"/>
        <v>116232</v>
      </c>
      <c r="L62" s="466">
        <v>132646</v>
      </c>
      <c r="M62" s="610"/>
      <c r="N62" s="610"/>
    </row>
    <row r="63" spans="1:14" s="610" customFormat="1" x14ac:dyDescent="0.2">
      <c r="A63" s="1524" t="s">
        <v>102</v>
      </c>
      <c r="B63" s="615">
        <v>2560</v>
      </c>
      <c r="C63" s="466">
        <v>0</v>
      </c>
      <c r="D63" s="466">
        <v>0</v>
      </c>
      <c r="E63" s="466">
        <v>0</v>
      </c>
      <c r="F63" s="466">
        <v>0</v>
      </c>
      <c r="G63" s="466">
        <v>0</v>
      </c>
      <c r="H63" s="466">
        <v>0</v>
      </c>
      <c r="I63" s="467">
        <v>0</v>
      </c>
      <c r="J63" s="467">
        <v>0</v>
      </c>
      <c r="K63" s="1692">
        <f t="shared" si="7"/>
        <v>0</v>
      </c>
      <c r="L63" s="466">
        <v>0</v>
      </c>
    </row>
    <row r="64" spans="1:14" s="610" customFormat="1" x14ac:dyDescent="0.2">
      <c r="A64" s="1529" t="s">
        <v>103</v>
      </c>
      <c r="B64" s="631">
        <v>2570</v>
      </c>
      <c r="C64" s="481">
        <v>0</v>
      </c>
      <c r="D64" s="481">
        <v>462</v>
      </c>
      <c r="E64" s="481">
        <v>84812</v>
      </c>
      <c r="F64" s="481">
        <v>0</v>
      </c>
      <c r="G64" s="481">
        <v>0</v>
      </c>
      <c r="H64" s="481">
        <v>0</v>
      </c>
      <c r="I64" s="467">
        <v>0</v>
      </c>
      <c r="J64" s="467">
        <v>0</v>
      </c>
      <c r="K64" s="1692">
        <f t="shared" si="7"/>
        <v>85274</v>
      </c>
      <c r="L64" s="481">
        <v>474351</v>
      </c>
    </row>
    <row r="65" spans="1:14" s="343" customFormat="1" ht="12.75" customHeight="1" thickBot="1" x14ac:dyDescent="0.25">
      <c r="A65" s="1688" t="s">
        <v>743</v>
      </c>
      <c r="B65" s="1689" t="s">
        <v>35</v>
      </c>
      <c r="C65" s="1690">
        <f>SUM(C59:C64)</f>
        <v>230743</v>
      </c>
      <c r="D65" s="1690">
        <f t="shared" ref="D65:L65" si="8">SUM(D59:D64)</f>
        <v>133109</v>
      </c>
      <c r="E65" s="1690">
        <f t="shared" si="8"/>
        <v>589838</v>
      </c>
      <c r="F65" s="1690">
        <f t="shared" si="8"/>
        <v>19907</v>
      </c>
      <c r="G65" s="1690">
        <f t="shared" si="8"/>
        <v>0</v>
      </c>
      <c r="H65" s="1690">
        <f t="shared" si="8"/>
        <v>855</v>
      </c>
      <c r="I65" s="1690">
        <f t="shared" si="8"/>
        <v>230</v>
      </c>
      <c r="J65" s="1690">
        <f t="shared" si="8"/>
        <v>0</v>
      </c>
      <c r="K65" s="1690">
        <f t="shared" si="8"/>
        <v>974682</v>
      </c>
      <c r="L65" s="1690">
        <f t="shared" si="8"/>
        <v>923777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v>264886</v>
      </c>
      <c r="D67" s="466">
        <v>144404</v>
      </c>
      <c r="E67" s="466">
        <v>34230</v>
      </c>
      <c r="F67" s="466">
        <v>0</v>
      </c>
      <c r="G67" s="466">
        <v>0</v>
      </c>
      <c r="H67" s="466">
        <v>0</v>
      </c>
      <c r="I67" s="467">
        <v>0</v>
      </c>
      <c r="J67" s="467">
        <v>0</v>
      </c>
      <c r="K67" s="1692">
        <f>SUM(C67:J67)</f>
        <v>443520</v>
      </c>
      <c r="L67" s="481">
        <v>474860</v>
      </c>
      <c r="M67" s="610"/>
      <c r="N67" s="610"/>
    </row>
    <row r="68" spans="1:14" s="343" customFormat="1" x14ac:dyDescent="0.2">
      <c r="A68" s="1524" t="s">
        <v>628</v>
      </c>
      <c r="B68" s="615">
        <v>2620</v>
      </c>
      <c r="C68" s="466">
        <v>0</v>
      </c>
      <c r="D68" s="466">
        <v>0</v>
      </c>
      <c r="E68" s="466">
        <v>0</v>
      </c>
      <c r="F68" s="466">
        <v>0</v>
      </c>
      <c r="G68" s="466">
        <v>0</v>
      </c>
      <c r="H68" s="466">
        <v>0</v>
      </c>
      <c r="I68" s="467">
        <v>0</v>
      </c>
      <c r="J68" s="467">
        <v>0</v>
      </c>
      <c r="K68" s="1692">
        <f>SUM(C68:J68)</f>
        <v>0</v>
      </c>
      <c r="L68" s="466">
        <v>0</v>
      </c>
      <c r="M68" s="610"/>
      <c r="N68" s="610"/>
    </row>
    <row r="69" spans="1:14" s="343" customFormat="1" x14ac:dyDescent="0.2">
      <c r="A69" s="1524" t="s">
        <v>1121</v>
      </c>
      <c r="B69" s="615">
        <v>2630</v>
      </c>
      <c r="C69" s="466">
        <v>36417</v>
      </c>
      <c r="D69" s="466">
        <v>19620</v>
      </c>
      <c r="E69" s="466">
        <v>43927</v>
      </c>
      <c r="F69" s="466">
        <v>7030</v>
      </c>
      <c r="G69" s="466">
        <v>0</v>
      </c>
      <c r="H69" s="466">
        <v>523</v>
      </c>
      <c r="I69" s="467">
        <v>48057</v>
      </c>
      <c r="J69" s="467">
        <v>0</v>
      </c>
      <c r="K69" s="1692">
        <f>SUM(C69:J69)</f>
        <v>155574</v>
      </c>
      <c r="L69" s="466">
        <v>207623</v>
      </c>
      <c r="M69" s="610"/>
      <c r="N69" s="610"/>
    </row>
    <row r="70" spans="1:14" s="343" customFormat="1" x14ac:dyDescent="0.2">
      <c r="A70" s="1524" t="s">
        <v>423</v>
      </c>
      <c r="B70" s="615">
        <v>2640</v>
      </c>
      <c r="C70" s="466">
        <v>60000</v>
      </c>
      <c r="D70" s="466">
        <v>15727</v>
      </c>
      <c r="E70" s="466">
        <v>17713</v>
      </c>
      <c r="F70" s="466">
        <v>49</v>
      </c>
      <c r="G70" s="466">
        <v>0</v>
      </c>
      <c r="H70" s="466">
        <v>0</v>
      </c>
      <c r="I70" s="467">
        <v>0</v>
      </c>
      <c r="J70" s="467">
        <v>0</v>
      </c>
      <c r="K70" s="1692">
        <f>SUM(C70:J70)</f>
        <v>93489</v>
      </c>
      <c r="L70" s="466">
        <v>13500</v>
      </c>
      <c r="M70" s="610"/>
      <c r="N70" s="610"/>
    </row>
    <row r="71" spans="1:14" s="343" customFormat="1" x14ac:dyDescent="0.2">
      <c r="A71" s="1524" t="s">
        <v>424</v>
      </c>
      <c r="B71" s="615">
        <v>2660</v>
      </c>
      <c r="C71" s="466">
        <v>0</v>
      </c>
      <c r="D71" s="466">
        <v>0</v>
      </c>
      <c r="E71" s="466">
        <v>0</v>
      </c>
      <c r="F71" s="466">
        <v>0</v>
      </c>
      <c r="G71" s="466">
        <v>0</v>
      </c>
      <c r="H71" s="466">
        <v>0</v>
      </c>
      <c r="I71" s="467">
        <v>0</v>
      </c>
      <c r="J71" s="467">
        <v>0</v>
      </c>
      <c r="K71" s="1692">
        <f>SUM(C71:J71)</f>
        <v>0</v>
      </c>
      <c r="L71" s="466">
        <v>0</v>
      </c>
      <c r="M71" s="610"/>
      <c r="N71" s="610"/>
    </row>
    <row r="72" spans="1:14" s="343" customFormat="1" ht="12.75" customHeight="1" thickBot="1" x14ac:dyDescent="0.25">
      <c r="A72" s="1688" t="s">
        <v>37</v>
      </c>
      <c r="B72" s="1695" t="s">
        <v>36</v>
      </c>
      <c r="C72" s="1690">
        <f>SUM(C67:C71)</f>
        <v>361303</v>
      </c>
      <c r="D72" s="1690">
        <f t="shared" ref="D72:K72" si="9">SUM(D67:D71)</f>
        <v>179751</v>
      </c>
      <c r="E72" s="1690">
        <f t="shared" si="9"/>
        <v>95870</v>
      </c>
      <c r="F72" s="1690">
        <f t="shared" si="9"/>
        <v>7079</v>
      </c>
      <c r="G72" s="1690">
        <f t="shared" si="9"/>
        <v>0</v>
      </c>
      <c r="H72" s="1690">
        <f t="shared" si="9"/>
        <v>523</v>
      </c>
      <c r="I72" s="1690">
        <f t="shared" si="9"/>
        <v>48057</v>
      </c>
      <c r="J72" s="1690">
        <f t="shared" si="9"/>
        <v>0</v>
      </c>
      <c r="K72" s="1690">
        <f t="shared" si="9"/>
        <v>692583</v>
      </c>
      <c r="L72" s="1690">
        <f>SUM(L67:L71)</f>
        <v>695983</v>
      </c>
      <c r="M72" s="610"/>
      <c r="N72" s="610"/>
    </row>
    <row r="73" spans="1:14" s="343" customFormat="1" ht="14.25" thickTop="1" thickBot="1" x14ac:dyDescent="0.25">
      <c r="A73" s="1530" t="s">
        <v>1037</v>
      </c>
      <c r="B73" s="633" t="s">
        <v>595</v>
      </c>
      <c r="C73" s="573">
        <v>0</v>
      </c>
      <c r="D73" s="573">
        <v>0</v>
      </c>
      <c r="E73" s="573">
        <v>0</v>
      </c>
      <c r="F73" s="573">
        <v>0</v>
      </c>
      <c r="G73" s="573">
        <v>0</v>
      </c>
      <c r="H73" s="573">
        <v>0</v>
      </c>
      <c r="I73" s="531">
        <v>0</v>
      </c>
      <c r="J73" s="531">
        <v>0</v>
      </c>
      <c r="K73" s="1690">
        <f>SUM(C73:J73)</f>
        <v>0</v>
      </c>
      <c r="L73" s="576">
        <v>0</v>
      </c>
      <c r="M73" s="610"/>
      <c r="N73" s="610"/>
    </row>
    <row r="74" spans="1:14" ht="12.75" customHeight="1" thickTop="1" thickBot="1" x14ac:dyDescent="0.25">
      <c r="A74" s="1688" t="s">
        <v>865</v>
      </c>
      <c r="B74" s="1696">
        <v>2000</v>
      </c>
      <c r="C74" s="1697">
        <f>SUM(C42,C47,C53,C57,C65,C72,C73)</f>
        <v>10762731</v>
      </c>
      <c r="D74" s="1697">
        <f t="shared" ref="D74:K74" si="10">SUM(D42,D47,D53,D57,D65,D72,D73)</f>
        <v>2791714</v>
      </c>
      <c r="E74" s="1697">
        <f t="shared" si="10"/>
        <v>1197832</v>
      </c>
      <c r="F74" s="1697">
        <f t="shared" si="10"/>
        <v>67291</v>
      </c>
      <c r="G74" s="1697">
        <f t="shared" si="10"/>
        <v>0</v>
      </c>
      <c r="H74" s="1697">
        <f t="shared" si="10"/>
        <v>6980</v>
      </c>
      <c r="I74" s="1697">
        <f t="shared" si="10"/>
        <v>48287</v>
      </c>
      <c r="J74" s="1697">
        <f t="shared" si="10"/>
        <v>0</v>
      </c>
      <c r="K74" s="1697">
        <f t="shared" si="10"/>
        <v>14874835</v>
      </c>
      <c r="L74" s="1697">
        <f>SUM(L42,L47,L53,L57,L65,L72,L73)</f>
        <v>14267573</v>
      </c>
    </row>
    <row r="75" spans="1:14" s="259" customFormat="1" ht="15.75" customHeight="1" thickTop="1" thickBot="1" x14ac:dyDescent="0.25">
      <c r="A75" s="1630" t="s">
        <v>49</v>
      </c>
      <c r="B75" s="1631" t="s">
        <v>596</v>
      </c>
      <c r="C75" s="573">
        <v>0</v>
      </c>
      <c r="D75" s="573">
        <v>898</v>
      </c>
      <c r="E75" s="573">
        <v>5390</v>
      </c>
      <c r="F75" s="573">
        <v>4406</v>
      </c>
      <c r="G75" s="573">
        <v>0</v>
      </c>
      <c r="H75" s="573">
        <v>0</v>
      </c>
      <c r="I75" s="531">
        <v>0</v>
      </c>
      <c r="J75" s="531">
        <v>0</v>
      </c>
      <c r="K75" s="1690">
        <f>SUM(C75:J75)</f>
        <v>10694</v>
      </c>
      <c r="L75" s="576">
        <v>17725</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v>0</v>
      </c>
      <c r="F78" s="617"/>
      <c r="G78" s="617"/>
      <c r="H78" s="635">
        <v>0</v>
      </c>
      <c r="I78" s="477"/>
      <c r="J78" s="477"/>
      <c r="K78" s="1691">
        <f t="shared" ref="K78:K83" si="11">SUM(C78:J78)</f>
        <v>0</v>
      </c>
      <c r="L78" s="481">
        <v>0</v>
      </c>
    </row>
    <row r="79" spans="1:14" x14ac:dyDescent="0.2">
      <c r="A79" s="1524" t="s">
        <v>322</v>
      </c>
      <c r="B79" s="615">
        <v>4120</v>
      </c>
      <c r="C79" s="617"/>
      <c r="D79" s="617"/>
      <c r="E79" s="466">
        <v>0</v>
      </c>
      <c r="F79" s="617"/>
      <c r="G79" s="617"/>
      <c r="H79" s="466">
        <v>1838657</v>
      </c>
      <c r="I79" s="477"/>
      <c r="J79" s="477"/>
      <c r="K79" s="1691">
        <f t="shared" si="11"/>
        <v>1838657</v>
      </c>
      <c r="L79" s="466">
        <v>1222189</v>
      </c>
    </row>
    <row r="80" spans="1:14" x14ac:dyDescent="0.2">
      <c r="A80" s="1524" t="s">
        <v>323</v>
      </c>
      <c r="B80" s="615">
        <v>4130</v>
      </c>
      <c r="C80" s="617"/>
      <c r="D80" s="617"/>
      <c r="E80" s="466">
        <v>0</v>
      </c>
      <c r="F80" s="617"/>
      <c r="G80" s="617"/>
      <c r="H80" s="466">
        <v>0</v>
      </c>
      <c r="I80" s="477"/>
      <c r="J80" s="477"/>
      <c r="K80" s="1691">
        <f t="shared" si="11"/>
        <v>0</v>
      </c>
      <c r="L80" s="466">
        <v>0</v>
      </c>
    </row>
    <row r="81" spans="1:12" x14ac:dyDescent="0.2">
      <c r="A81" s="1524" t="s">
        <v>721</v>
      </c>
      <c r="B81" s="615">
        <v>4140</v>
      </c>
      <c r="C81" s="617"/>
      <c r="D81" s="617"/>
      <c r="E81" s="466">
        <v>0</v>
      </c>
      <c r="F81" s="617"/>
      <c r="G81" s="617"/>
      <c r="H81" s="466">
        <v>0</v>
      </c>
      <c r="I81" s="477"/>
      <c r="J81" s="477"/>
      <c r="K81" s="1691">
        <f t="shared" si="11"/>
        <v>0</v>
      </c>
      <c r="L81" s="466">
        <v>0</v>
      </c>
    </row>
    <row r="82" spans="1:12" x14ac:dyDescent="0.2">
      <c r="A82" s="1524" t="s">
        <v>88</v>
      </c>
      <c r="B82" s="615">
        <v>4170</v>
      </c>
      <c r="C82" s="617"/>
      <c r="D82" s="617"/>
      <c r="E82" s="466">
        <v>0</v>
      </c>
      <c r="F82" s="617"/>
      <c r="G82" s="617"/>
      <c r="H82" s="466">
        <v>0</v>
      </c>
      <c r="I82" s="477"/>
      <c r="J82" s="477"/>
      <c r="K82" s="1691">
        <f t="shared" si="11"/>
        <v>0</v>
      </c>
      <c r="L82" s="466">
        <v>0</v>
      </c>
    </row>
    <row r="83" spans="1:12" x14ac:dyDescent="0.2">
      <c r="A83" s="1528" t="s">
        <v>722</v>
      </c>
      <c r="B83" s="629">
        <v>4190</v>
      </c>
      <c r="C83" s="617"/>
      <c r="D83" s="617"/>
      <c r="E83" s="466">
        <v>0</v>
      </c>
      <c r="F83" s="617"/>
      <c r="G83" s="617"/>
      <c r="H83" s="466">
        <v>23203</v>
      </c>
      <c r="I83" s="477"/>
      <c r="J83" s="477"/>
      <c r="K83" s="1691">
        <f t="shared" si="11"/>
        <v>23203</v>
      </c>
      <c r="L83" s="466">
        <v>0</v>
      </c>
    </row>
    <row r="84" spans="1:12" ht="13.5" thickBot="1" x14ac:dyDescent="0.25">
      <c r="A84" s="1688" t="s">
        <v>1565</v>
      </c>
      <c r="B84" s="1698">
        <v>4100</v>
      </c>
      <c r="C84" s="617"/>
      <c r="D84" s="617"/>
      <c r="E84" s="1690">
        <f>SUM(E78:E83)</f>
        <v>0</v>
      </c>
      <c r="F84" s="617"/>
      <c r="G84" s="617"/>
      <c r="H84" s="1690">
        <f>SUM(H78:H83)</f>
        <v>1861860</v>
      </c>
      <c r="I84" s="477"/>
      <c r="J84" s="477"/>
      <c r="K84" s="1690">
        <f>SUM(K78:K83)</f>
        <v>1861860</v>
      </c>
      <c r="L84" s="1690">
        <f>SUM(L78:L83)</f>
        <v>1222189</v>
      </c>
    </row>
    <row r="85" spans="1:12" ht="12.75" customHeight="1" thickTop="1" thickBot="1" x14ac:dyDescent="0.25">
      <c r="A85" s="1531" t="s">
        <v>273</v>
      </c>
      <c r="B85" s="636">
        <v>4210</v>
      </c>
      <c r="C85" s="617"/>
      <c r="D85" s="617"/>
      <c r="E85" s="637"/>
      <c r="F85" s="617"/>
      <c r="G85" s="617"/>
      <c r="H85" s="535">
        <v>0</v>
      </c>
      <c r="I85" s="477"/>
      <c r="J85" s="477"/>
      <c r="K85" s="1697">
        <f>H85</f>
        <v>0</v>
      </c>
      <c r="L85" s="530">
        <v>0</v>
      </c>
    </row>
    <row r="86" spans="1:12" ht="12.75" customHeight="1" thickTop="1" thickBot="1" x14ac:dyDescent="0.25">
      <c r="A86" s="1532" t="s">
        <v>723</v>
      </c>
      <c r="B86" s="638">
        <v>4220</v>
      </c>
      <c r="C86" s="617"/>
      <c r="D86" s="617"/>
      <c r="E86" s="639"/>
      <c r="F86" s="617"/>
      <c r="G86" s="617"/>
      <c r="H86" s="467">
        <v>0</v>
      </c>
      <c r="I86" s="477"/>
      <c r="J86" s="477"/>
      <c r="K86" s="1697">
        <f t="shared" ref="K86:K98" si="12">H86</f>
        <v>0</v>
      </c>
      <c r="L86" s="530">
        <v>0</v>
      </c>
    </row>
    <row r="87" spans="1:12" ht="14.25" thickTop="1" thickBot="1" x14ac:dyDescent="0.25">
      <c r="A87" s="1533" t="s">
        <v>724</v>
      </c>
      <c r="B87" s="640">
        <v>4230</v>
      </c>
      <c r="C87" s="617"/>
      <c r="D87" s="617"/>
      <c r="E87" s="639"/>
      <c r="F87" s="617"/>
      <c r="G87" s="617"/>
      <c r="H87" s="467">
        <v>0</v>
      </c>
      <c r="I87" s="477"/>
      <c r="J87" s="477"/>
      <c r="K87" s="1697">
        <f t="shared" si="12"/>
        <v>0</v>
      </c>
      <c r="L87" s="530">
        <v>0</v>
      </c>
    </row>
    <row r="88" spans="1:12" ht="12.75" customHeight="1" thickTop="1" thickBot="1" x14ac:dyDescent="0.25">
      <c r="A88" s="1533" t="s">
        <v>789</v>
      </c>
      <c r="B88" s="640">
        <v>4240</v>
      </c>
      <c r="C88" s="617"/>
      <c r="D88" s="617"/>
      <c r="E88" s="639"/>
      <c r="F88" s="617"/>
      <c r="G88" s="617"/>
      <c r="H88" s="467">
        <v>0</v>
      </c>
      <c r="I88" s="477"/>
      <c r="J88" s="477"/>
      <c r="K88" s="1697">
        <f t="shared" si="12"/>
        <v>0</v>
      </c>
      <c r="L88" s="530">
        <v>0</v>
      </c>
    </row>
    <row r="89" spans="1:12" ht="12.75" customHeight="1" thickTop="1" thickBot="1" x14ac:dyDescent="0.25">
      <c r="A89" s="1533" t="s">
        <v>725</v>
      </c>
      <c r="B89" s="640">
        <v>4270</v>
      </c>
      <c r="C89" s="617"/>
      <c r="D89" s="617"/>
      <c r="E89" s="639"/>
      <c r="F89" s="617"/>
      <c r="G89" s="617"/>
      <c r="H89" s="467">
        <v>0</v>
      </c>
      <c r="I89" s="477"/>
      <c r="J89" s="477"/>
      <c r="K89" s="1697">
        <f t="shared" si="12"/>
        <v>0</v>
      </c>
      <c r="L89" s="530">
        <v>0</v>
      </c>
    </row>
    <row r="90" spans="1:12" ht="12.75" customHeight="1" thickTop="1" thickBot="1" x14ac:dyDescent="0.25">
      <c r="A90" s="1533" t="s">
        <v>710</v>
      </c>
      <c r="B90" s="640">
        <v>4280</v>
      </c>
      <c r="C90" s="617"/>
      <c r="D90" s="617"/>
      <c r="E90" s="639"/>
      <c r="F90" s="617"/>
      <c r="G90" s="617"/>
      <c r="H90" s="467">
        <v>0</v>
      </c>
      <c r="I90" s="477"/>
      <c r="J90" s="477"/>
      <c r="K90" s="1697">
        <f t="shared" si="12"/>
        <v>0</v>
      </c>
      <c r="L90" s="530">
        <v>0</v>
      </c>
    </row>
    <row r="91" spans="1:12" ht="12.75" customHeight="1" thickTop="1" thickBot="1" x14ac:dyDescent="0.25">
      <c r="A91" s="1533" t="s">
        <v>711</v>
      </c>
      <c r="B91" s="640">
        <v>4290</v>
      </c>
      <c r="C91" s="617"/>
      <c r="D91" s="617"/>
      <c r="E91" s="639"/>
      <c r="F91" s="617"/>
      <c r="G91" s="617"/>
      <c r="H91" s="467">
        <v>0</v>
      </c>
      <c r="I91" s="477"/>
      <c r="J91" s="477"/>
      <c r="K91" s="1697">
        <f t="shared" si="12"/>
        <v>0</v>
      </c>
      <c r="L91" s="530">
        <v>0</v>
      </c>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2" t="s">
        <v>712</v>
      </c>
      <c r="B93" s="641">
        <v>4310</v>
      </c>
      <c r="C93" s="617"/>
      <c r="D93" s="617"/>
      <c r="E93" s="639"/>
      <c r="F93" s="617"/>
      <c r="G93" s="617"/>
      <c r="H93" s="642">
        <v>0</v>
      </c>
      <c r="I93" s="477"/>
      <c r="J93" s="477"/>
      <c r="K93" s="1697">
        <f t="shared" si="12"/>
        <v>0</v>
      </c>
      <c r="L93" s="532">
        <v>0</v>
      </c>
    </row>
    <row r="94" spans="1:12" ht="12.75" customHeight="1" thickTop="1" thickBot="1" x14ac:dyDescent="0.25">
      <c r="A94" s="1533" t="s">
        <v>713</v>
      </c>
      <c r="B94" s="640">
        <v>4320</v>
      </c>
      <c r="C94" s="617"/>
      <c r="D94" s="617"/>
      <c r="E94" s="639"/>
      <c r="F94" s="617"/>
      <c r="G94" s="617"/>
      <c r="H94" s="467">
        <v>0</v>
      </c>
      <c r="I94" s="477"/>
      <c r="J94" s="477"/>
      <c r="K94" s="1697">
        <f t="shared" si="12"/>
        <v>0</v>
      </c>
      <c r="L94" s="530">
        <v>0</v>
      </c>
    </row>
    <row r="95" spans="1:12" ht="15" customHeight="1" thickTop="1" thickBot="1" x14ac:dyDescent="0.25">
      <c r="A95" s="1533" t="s">
        <v>1568</v>
      </c>
      <c r="B95" s="640">
        <v>4330</v>
      </c>
      <c r="C95" s="617"/>
      <c r="D95" s="617"/>
      <c r="E95" s="639"/>
      <c r="F95" s="617"/>
      <c r="G95" s="617"/>
      <c r="H95" s="467">
        <v>0</v>
      </c>
      <c r="I95" s="477"/>
      <c r="J95" s="477"/>
      <c r="K95" s="1697">
        <f t="shared" si="12"/>
        <v>0</v>
      </c>
      <c r="L95" s="530">
        <v>0</v>
      </c>
    </row>
    <row r="96" spans="1:12" ht="14.25" thickTop="1" thickBot="1" x14ac:dyDescent="0.25">
      <c r="A96" s="1533" t="s">
        <v>714</v>
      </c>
      <c r="B96" s="640">
        <v>4340</v>
      </c>
      <c r="C96" s="617"/>
      <c r="D96" s="617"/>
      <c r="E96" s="639"/>
      <c r="F96" s="617"/>
      <c r="G96" s="617"/>
      <c r="H96" s="467">
        <v>0</v>
      </c>
      <c r="I96" s="477"/>
      <c r="J96" s="477"/>
      <c r="K96" s="1697">
        <f t="shared" si="12"/>
        <v>0</v>
      </c>
      <c r="L96" s="530">
        <v>0</v>
      </c>
    </row>
    <row r="97" spans="1:14" ht="12.75" customHeight="1" thickTop="1" thickBot="1" x14ac:dyDescent="0.25">
      <c r="A97" s="1533" t="s">
        <v>787</v>
      </c>
      <c r="B97" s="640">
        <v>4370</v>
      </c>
      <c r="C97" s="617"/>
      <c r="D97" s="617"/>
      <c r="E97" s="639"/>
      <c r="F97" s="617"/>
      <c r="G97" s="617"/>
      <c r="H97" s="467">
        <v>0</v>
      </c>
      <c r="I97" s="477"/>
      <c r="J97" s="477"/>
      <c r="K97" s="1697">
        <f t="shared" si="12"/>
        <v>0</v>
      </c>
      <c r="L97" s="530">
        <v>0</v>
      </c>
    </row>
    <row r="98" spans="1:14" ht="14.25" thickTop="1" thickBot="1" x14ac:dyDescent="0.25">
      <c r="A98" s="1533" t="s">
        <v>788</v>
      </c>
      <c r="B98" s="640">
        <v>4380</v>
      </c>
      <c r="C98" s="617"/>
      <c r="D98" s="617"/>
      <c r="E98" s="643"/>
      <c r="F98" s="617"/>
      <c r="G98" s="617"/>
      <c r="H98" s="467">
        <v>0</v>
      </c>
      <c r="I98" s="477"/>
      <c r="J98" s="477"/>
      <c r="K98" s="1697">
        <f t="shared" si="12"/>
        <v>0</v>
      </c>
      <c r="L98" s="530">
        <v>0</v>
      </c>
    </row>
    <row r="99" spans="1:14" ht="14.25" thickTop="1" thickBot="1" x14ac:dyDescent="0.25">
      <c r="A99" s="1533" t="s">
        <v>385</v>
      </c>
      <c r="B99" s="640">
        <v>4390</v>
      </c>
      <c r="C99" s="617"/>
      <c r="D99" s="617"/>
      <c r="E99" s="532">
        <v>0</v>
      </c>
      <c r="F99" s="617"/>
      <c r="G99" s="617"/>
      <c r="H99" s="467">
        <v>0</v>
      </c>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0" t="s">
        <v>1569</v>
      </c>
      <c r="B101" s="644" t="s">
        <v>988</v>
      </c>
      <c r="C101" s="617"/>
      <c r="D101" s="617"/>
      <c r="E101" s="531">
        <v>0</v>
      </c>
      <c r="F101" s="617"/>
      <c r="G101" s="617"/>
      <c r="H101" s="531">
        <v>0</v>
      </c>
      <c r="I101" s="477"/>
      <c r="J101" s="477"/>
      <c r="K101" s="1699">
        <f>SUM(C101:J101)</f>
        <v>0</v>
      </c>
      <c r="L101" s="530">
        <v>0</v>
      </c>
    </row>
    <row r="102" spans="1:14" ht="12.75" customHeight="1" thickTop="1" thickBot="1" x14ac:dyDescent="0.25">
      <c r="A102" s="1688" t="s">
        <v>1567</v>
      </c>
      <c r="B102" s="1698">
        <v>4000</v>
      </c>
      <c r="C102" s="617"/>
      <c r="D102" s="617"/>
      <c r="E102" s="1697">
        <f>SUM(E84,E92,E100,E101)</f>
        <v>0</v>
      </c>
      <c r="F102" s="617"/>
      <c r="G102" s="617"/>
      <c r="H102" s="1697">
        <f>SUM(H84,H92,H100,H101)</f>
        <v>1861860</v>
      </c>
      <c r="I102" s="477"/>
      <c r="J102" s="477"/>
      <c r="K102" s="1697">
        <f>SUM(K84,K92,K100,K101)</f>
        <v>1861860</v>
      </c>
      <c r="L102" s="1697">
        <f>SUM(L84,L92,L100,L101)</f>
        <v>1222189</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v>0</v>
      </c>
      <c r="I105" s="468"/>
      <c r="J105" s="468"/>
      <c r="K105" s="1691">
        <f>H105</f>
        <v>0</v>
      </c>
      <c r="L105" s="481">
        <v>0</v>
      </c>
      <c r="M105" s="210"/>
      <c r="N105" s="210"/>
    </row>
    <row r="106" spans="1:14" s="598" customFormat="1" x14ac:dyDescent="0.2">
      <c r="A106" s="1524" t="s">
        <v>90</v>
      </c>
      <c r="B106" s="615">
        <v>5120</v>
      </c>
      <c r="C106" s="617"/>
      <c r="D106" s="617"/>
      <c r="E106" s="617"/>
      <c r="F106" s="617"/>
      <c r="G106" s="617"/>
      <c r="H106" s="466">
        <v>0</v>
      </c>
      <c r="I106" s="468"/>
      <c r="J106" s="468"/>
      <c r="K106" s="1691">
        <f>H106</f>
        <v>0</v>
      </c>
      <c r="L106" s="466">
        <v>0</v>
      </c>
      <c r="M106" s="210"/>
      <c r="N106" s="210"/>
    </row>
    <row r="107" spans="1:14" s="598" customFormat="1" ht="12.75" customHeight="1" x14ac:dyDescent="0.2">
      <c r="A107" s="1524" t="s">
        <v>1232</v>
      </c>
      <c r="B107" s="615">
        <v>5130</v>
      </c>
      <c r="C107" s="617"/>
      <c r="D107" s="617"/>
      <c r="E107" s="617"/>
      <c r="F107" s="617"/>
      <c r="G107" s="617"/>
      <c r="H107" s="466">
        <v>0</v>
      </c>
      <c r="I107" s="468"/>
      <c r="J107" s="468"/>
      <c r="K107" s="1691">
        <f>H107</f>
        <v>0</v>
      </c>
      <c r="L107" s="466">
        <v>0</v>
      </c>
      <c r="M107" s="210"/>
      <c r="N107" s="210"/>
    </row>
    <row r="108" spans="1:14" s="598" customFormat="1" x14ac:dyDescent="0.2">
      <c r="A108" s="1524" t="s">
        <v>91</v>
      </c>
      <c r="B108" s="615" t="s">
        <v>610</v>
      </c>
      <c r="C108" s="617"/>
      <c r="D108" s="617"/>
      <c r="E108" s="617"/>
      <c r="F108" s="617"/>
      <c r="G108" s="617"/>
      <c r="H108" s="466">
        <v>0</v>
      </c>
      <c r="I108" s="468"/>
      <c r="J108" s="468"/>
      <c r="K108" s="1691">
        <f>H108</f>
        <v>0</v>
      </c>
      <c r="L108" s="466">
        <v>0</v>
      </c>
      <c r="M108" s="210"/>
      <c r="N108" s="210"/>
    </row>
    <row r="109" spans="1:14" s="598" customFormat="1" x14ac:dyDescent="0.2">
      <c r="A109" s="1524" t="s">
        <v>272</v>
      </c>
      <c r="B109" s="629">
        <v>5150</v>
      </c>
      <c r="C109" s="617"/>
      <c r="D109" s="617"/>
      <c r="E109" s="617"/>
      <c r="F109" s="617"/>
      <c r="G109" s="617"/>
      <c r="H109" s="466">
        <v>0</v>
      </c>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4" t="s">
        <v>386</v>
      </c>
      <c r="B111" s="648" t="s">
        <v>38</v>
      </c>
      <c r="C111" s="617"/>
      <c r="D111" s="617"/>
      <c r="E111" s="617"/>
      <c r="F111" s="617"/>
      <c r="G111" s="617"/>
      <c r="H111" s="535">
        <v>0</v>
      </c>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15515134</v>
      </c>
      <c r="D114" s="1690">
        <f t="shared" ref="D114:K114" si="13">SUM(D33,D74,D75,D102,D112,D113)</f>
        <v>4136901</v>
      </c>
      <c r="E114" s="1690">
        <f t="shared" si="13"/>
        <v>1301100</v>
      </c>
      <c r="F114" s="1690">
        <f t="shared" si="13"/>
        <v>192236</v>
      </c>
      <c r="G114" s="1690">
        <f t="shared" si="13"/>
        <v>0</v>
      </c>
      <c r="H114" s="1690">
        <f>SUM(H33,H74,H75,H102,H112,H113)</f>
        <v>1869863</v>
      </c>
      <c r="I114" s="1690">
        <f t="shared" si="13"/>
        <v>49677</v>
      </c>
      <c r="J114" s="1690">
        <f t="shared" si="13"/>
        <v>0</v>
      </c>
      <c r="K114" s="1690">
        <f t="shared" si="13"/>
        <v>23064911</v>
      </c>
      <c r="L114" s="1690">
        <f>SUM(L33,L74,L75,L102,L112,L113)</f>
        <v>21567387</v>
      </c>
    </row>
    <row r="115" spans="1:14" ht="13.5" thickTop="1" x14ac:dyDescent="0.2">
      <c r="A115" s="2197" t="s">
        <v>1053</v>
      </c>
      <c r="B115" s="2198"/>
      <c r="C115" s="619"/>
      <c r="D115" s="619"/>
      <c r="E115" s="619"/>
      <c r="F115" s="619"/>
      <c r="G115" s="619"/>
      <c r="H115" s="619"/>
      <c r="I115" s="619"/>
      <c r="J115" s="619"/>
      <c r="K115" s="1704">
        <f>'Revenues 9-14'!C275-'Expenditures 15-22'!K114</f>
        <v>299657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5">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5">
        <v>2540</v>
      </c>
      <c r="C124" s="466">
        <v>0</v>
      </c>
      <c r="D124" s="466">
        <v>0</v>
      </c>
      <c r="E124" s="466">
        <v>0</v>
      </c>
      <c r="F124" s="466">
        <v>0</v>
      </c>
      <c r="G124" s="466">
        <v>0</v>
      </c>
      <c r="H124" s="466">
        <v>0</v>
      </c>
      <c r="I124" s="467">
        <v>0</v>
      </c>
      <c r="J124" s="467">
        <v>0</v>
      </c>
      <c r="K124" s="1690">
        <f>SUM(C124:J124)</f>
        <v>0</v>
      </c>
      <c r="L124" s="466">
        <v>0</v>
      </c>
    </row>
    <row r="125" spans="1:14" ht="14.25" thickTop="1" thickBot="1" x14ac:dyDescent="0.25">
      <c r="A125" s="1524" t="s">
        <v>1010</v>
      </c>
      <c r="B125" s="615">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5">
        <v>2560</v>
      </c>
      <c r="C126" s="655"/>
      <c r="D126" s="655"/>
      <c r="E126" s="655"/>
      <c r="F126" s="655"/>
      <c r="G126" s="466">
        <v>0</v>
      </c>
      <c r="H126" s="655"/>
      <c r="I126" s="474">
        <v>0</v>
      </c>
      <c r="J126" s="617"/>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0</v>
      </c>
      <c r="F127" s="1690">
        <f t="shared" si="14"/>
        <v>0</v>
      </c>
      <c r="G127" s="1690">
        <f t="shared" si="14"/>
        <v>0</v>
      </c>
      <c r="H127" s="1690">
        <f t="shared" si="14"/>
        <v>0</v>
      </c>
      <c r="I127" s="1690">
        <f t="shared" si="14"/>
        <v>0</v>
      </c>
      <c r="J127" s="1690">
        <f t="shared" si="14"/>
        <v>0</v>
      </c>
      <c r="K127" s="1690">
        <f t="shared" si="14"/>
        <v>0</v>
      </c>
      <c r="L127" s="1690">
        <f t="shared" si="14"/>
        <v>0</v>
      </c>
    </row>
    <row r="128" spans="1:14" ht="12.75" customHeight="1" thickTop="1" x14ac:dyDescent="0.2">
      <c r="A128" s="1531" t="s">
        <v>1037</v>
      </c>
      <c r="B128" s="656" t="s">
        <v>595</v>
      </c>
      <c r="C128" s="657">
        <v>0</v>
      </c>
      <c r="D128" s="657">
        <v>0</v>
      </c>
      <c r="E128" s="657">
        <v>0</v>
      </c>
      <c r="F128" s="657">
        <v>0</v>
      </c>
      <c r="G128" s="657">
        <v>0</v>
      </c>
      <c r="H128" s="657">
        <v>0</v>
      </c>
      <c r="I128" s="535">
        <v>0</v>
      </c>
      <c r="J128" s="535">
        <v>0</v>
      </c>
      <c r="K128" s="1705">
        <f>SUM(C128:J128)</f>
        <v>0</v>
      </c>
      <c r="L128" s="657">
        <v>0</v>
      </c>
    </row>
    <row r="129" spans="1:14" ht="12.75" customHeight="1" thickBot="1" x14ac:dyDescent="0.25">
      <c r="A129" s="1706" t="s">
        <v>865</v>
      </c>
      <c r="B129" s="1707" t="s">
        <v>590</v>
      </c>
      <c r="C129" s="1697">
        <f>SUM(C120,C127,C128)</f>
        <v>0</v>
      </c>
      <c r="D129" s="1697">
        <f t="shared" ref="D129:L129" si="15">SUM(D120,D127,D128)</f>
        <v>0</v>
      </c>
      <c r="E129" s="1697">
        <f t="shared" si="15"/>
        <v>0</v>
      </c>
      <c r="F129" s="1697">
        <f t="shared" si="15"/>
        <v>0</v>
      </c>
      <c r="G129" s="1697">
        <f t="shared" si="15"/>
        <v>0</v>
      </c>
      <c r="H129" s="1697">
        <f t="shared" si="15"/>
        <v>0</v>
      </c>
      <c r="I129" s="1697">
        <f t="shared" si="15"/>
        <v>0</v>
      </c>
      <c r="J129" s="1697">
        <f t="shared" si="15"/>
        <v>0</v>
      </c>
      <c r="K129" s="1697">
        <f t="shared" si="15"/>
        <v>0</v>
      </c>
      <c r="L129" s="1697">
        <f t="shared" si="15"/>
        <v>0</v>
      </c>
    </row>
    <row r="130" spans="1:14" ht="15.75" customHeight="1" thickTop="1" thickBot="1" x14ac:dyDescent="0.25">
      <c r="A130" s="1630" t="s">
        <v>1096</v>
      </c>
      <c r="B130" s="1631" t="s">
        <v>596</v>
      </c>
      <c r="C130" s="576">
        <v>0</v>
      </c>
      <c r="D130" s="576">
        <v>0</v>
      </c>
      <c r="E130" s="576">
        <v>0</v>
      </c>
      <c r="F130" s="576">
        <v>0</v>
      </c>
      <c r="G130" s="576">
        <v>0</v>
      </c>
      <c r="H130" s="576">
        <v>0</v>
      </c>
      <c r="I130" s="531">
        <v>0</v>
      </c>
      <c r="J130" s="531">
        <v>0</v>
      </c>
      <c r="K130" s="1690">
        <f>SUM(C130:J130)</f>
        <v>0</v>
      </c>
      <c r="L130" s="576">
        <v>0</v>
      </c>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62" t="s">
        <v>1954</v>
      </c>
      <c r="C133" s="468"/>
      <c r="D133" s="468"/>
      <c r="E133" s="642">
        <v>0</v>
      </c>
      <c r="F133" s="468"/>
      <c r="G133" s="468"/>
      <c r="H133" s="642">
        <v>0</v>
      </c>
      <c r="I133" s="468"/>
      <c r="J133" s="468"/>
      <c r="K133" s="1842">
        <f>SUM(E133,H133)</f>
        <v>0</v>
      </c>
      <c r="L133" s="642">
        <v>0</v>
      </c>
      <c r="M133" s="206"/>
      <c r="N133" s="206"/>
    </row>
    <row r="134" spans="1:14" x14ac:dyDescent="0.2">
      <c r="A134" s="1524" t="s">
        <v>322</v>
      </c>
      <c r="B134" s="615">
        <v>4120</v>
      </c>
      <c r="C134" s="617"/>
      <c r="D134" s="617"/>
      <c r="E134" s="478">
        <v>0</v>
      </c>
      <c r="F134" s="617"/>
      <c r="G134" s="617"/>
      <c r="H134" s="481">
        <v>0</v>
      </c>
      <c r="I134" s="477"/>
      <c r="J134" s="617"/>
      <c r="K134" s="1692">
        <f>SUM(E134,H134)</f>
        <v>0</v>
      </c>
      <c r="L134" s="481">
        <v>0</v>
      </c>
    </row>
    <row r="135" spans="1:14" x14ac:dyDescent="0.2">
      <c r="A135" s="1524" t="s">
        <v>721</v>
      </c>
      <c r="B135" s="615">
        <v>4140</v>
      </c>
      <c r="C135" s="617"/>
      <c r="D135" s="617"/>
      <c r="E135" s="467">
        <v>0</v>
      </c>
      <c r="F135" s="617"/>
      <c r="G135" s="617"/>
      <c r="H135" s="466">
        <v>0</v>
      </c>
      <c r="I135" s="477"/>
      <c r="J135" s="617"/>
      <c r="K135" s="1692">
        <f>SUM(E135,H135)</f>
        <v>0</v>
      </c>
      <c r="L135" s="466">
        <v>0</v>
      </c>
    </row>
    <row r="136" spans="1:14" x14ac:dyDescent="0.2">
      <c r="A136" s="1528" t="s">
        <v>722</v>
      </c>
      <c r="B136" s="629">
        <v>4190</v>
      </c>
      <c r="C136" s="617"/>
      <c r="D136" s="617"/>
      <c r="E136" s="467">
        <v>0</v>
      </c>
      <c r="F136" s="617"/>
      <c r="G136" s="617"/>
      <c r="H136" s="466">
        <v>0</v>
      </c>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0" t="s">
        <v>98</v>
      </c>
      <c r="B138" s="644" t="s">
        <v>988</v>
      </c>
      <c r="C138" s="617"/>
      <c r="D138" s="617"/>
      <c r="E138" s="479"/>
      <c r="F138" s="617"/>
      <c r="G138" s="617"/>
      <c r="H138" s="576">
        <v>0</v>
      </c>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v>0</v>
      </c>
      <c r="I142" s="468"/>
      <c r="J142" s="617"/>
      <c r="K142" s="1692">
        <f>SUM(H142)</f>
        <v>0</v>
      </c>
      <c r="L142" s="481">
        <v>0</v>
      </c>
    </row>
    <row r="143" spans="1:14" x14ac:dyDescent="0.2">
      <c r="A143" s="1524" t="s">
        <v>90</v>
      </c>
      <c r="B143" s="615">
        <v>5120</v>
      </c>
      <c r="C143" s="617"/>
      <c r="D143" s="617"/>
      <c r="E143" s="617"/>
      <c r="F143" s="617"/>
      <c r="G143" s="617"/>
      <c r="H143" s="466">
        <v>0</v>
      </c>
      <c r="I143" s="468"/>
      <c r="J143" s="617"/>
      <c r="K143" s="1692">
        <f>SUM(H143)</f>
        <v>0</v>
      </c>
      <c r="L143" s="466">
        <v>0</v>
      </c>
    </row>
    <row r="144" spans="1:14" ht="12.75" customHeight="1" x14ac:dyDescent="0.2">
      <c r="A144" s="1524" t="s">
        <v>1232</v>
      </c>
      <c r="B144" s="629" t="s">
        <v>638</v>
      </c>
      <c r="C144" s="617"/>
      <c r="D144" s="617"/>
      <c r="E144" s="617"/>
      <c r="F144" s="617"/>
      <c r="G144" s="617"/>
      <c r="H144" s="466">
        <v>0</v>
      </c>
      <c r="I144" s="468"/>
      <c r="J144" s="617"/>
      <c r="K144" s="1692">
        <f>SUM(H144)</f>
        <v>0</v>
      </c>
      <c r="L144" s="466">
        <v>0</v>
      </c>
    </row>
    <row r="145" spans="1:14" x14ac:dyDescent="0.2">
      <c r="A145" s="1524" t="s">
        <v>91</v>
      </c>
      <c r="B145" s="615" t="s">
        <v>610</v>
      </c>
      <c r="C145" s="617"/>
      <c r="D145" s="617"/>
      <c r="E145" s="617"/>
      <c r="F145" s="617"/>
      <c r="G145" s="617"/>
      <c r="H145" s="466">
        <v>0</v>
      </c>
      <c r="I145" s="468"/>
      <c r="J145" s="617"/>
      <c r="K145" s="1692">
        <f>SUM(H145)</f>
        <v>0</v>
      </c>
      <c r="L145" s="466">
        <v>0</v>
      </c>
    </row>
    <row r="146" spans="1:14" ht="12.75" customHeight="1" x14ac:dyDescent="0.2">
      <c r="A146" s="1524" t="s">
        <v>640</v>
      </c>
      <c r="B146" s="615" t="s">
        <v>639</v>
      </c>
      <c r="C146" s="617"/>
      <c r="D146" s="617"/>
      <c r="E146" s="617"/>
      <c r="F146" s="617"/>
      <c r="G146" s="617"/>
      <c r="H146" s="466">
        <v>0</v>
      </c>
      <c r="I146" s="468"/>
      <c r="J146" s="617"/>
      <c r="K146" s="1692">
        <f>SUM(H146)</f>
        <v>0</v>
      </c>
      <c r="L146" s="466">
        <v>0</v>
      </c>
    </row>
    <row r="147" spans="1:14" ht="12.75" customHeight="1" thickBot="1" x14ac:dyDescent="0.25">
      <c r="A147" s="1535"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v>0</v>
      </c>
      <c r="I148" s="468"/>
      <c r="J148" s="617"/>
      <c r="K148" s="1692">
        <f>SUM(H148)</f>
        <v>0</v>
      </c>
      <c r="L148" s="492">
        <v>0</v>
      </c>
    </row>
    <row r="149" spans="1:14" ht="12.75" customHeight="1" thickBot="1" x14ac:dyDescent="0.25">
      <c r="A149" s="1527"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v>0</v>
      </c>
    </row>
    <row r="151" spans="1:14" ht="12.75" customHeight="1" thickTop="1" thickBot="1" x14ac:dyDescent="0.25">
      <c r="A151" s="2187" t="s">
        <v>641</v>
      </c>
      <c r="B151" s="2169"/>
      <c r="C151" s="1690">
        <f>SUM(C129,C130,C139,C149,C150)</f>
        <v>0</v>
      </c>
      <c r="D151" s="1690">
        <f t="shared" ref="D151:K151" si="16">SUM(D129,D130,D139,D149,D150)</f>
        <v>0</v>
      </c>
      <c r="E151" s="1690">
        <f t="shared" si="16"/>
        <v>0</v>
      </c>
      <c r="F151" s="1690">
        <f t="shared" si="16"/>
        <v>0</v>
      </c>
      <c r="G151" s="1690">
        <f t="shared" si="16"/>
        <v>0</v>
      </c>
      <c r="H151" s="1690">
        <f t="shared" si="16"/>
        <v>0</v>
      </c>
      <c r="I151" s="1690">
        <f t="shared" si="16"/>
        <v>0</v>
      </c>
      <c r="J151" s="1690">
        <f t="shared" si="16"/>
        <v>0</v>
      </c>
      <c r="K151" s="1690">
        <f t="shared" si="16"/>
        <v>0</v>
      </c>
      <c r="L151" s="1690">
        <f>SUM(L129,L130,L139,L149,L150)</f>
        <v>0</v>
      </c>
    </row>
    <row r="152" spans="1:14" ht="12.75" customHeight="1" thickTop="1" x14ac:dyDescent="0.2">
      <c r="A152" s="2190" t="s">
        <v>1240</v>
      </c>
      <c r="B152" s="2191"/>
      <c r="C152" s="619"/>
      <c r="D152" s="619"/>
      <c r="E152" s="619"/>
      <c r="F152" s="619"/>
      <c r="G152" s="619"/>
      <c r="H152" s="619"/>
      <c r="I152" s="619"/>
      <c r="J152" s="617"/>
      <c r="K152" s="1704">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1955</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1954</v>
      </c>
      <c r="C157" s="617"/>
      <c r="D157" s="617"/>
      <c r="E157" s="617"/>
      <c r="F157" s="617"/>
      <c r="G157" s="617"/>
      <c r="H157" s="642">
        <v>0</v>
      </c>
      <c r="I157" s="617"/>
      <c r="J157" s="617"/>
      <c r="K157" s="1691">
        <f>H157</f>
        <v>0</v>
      </c>
      <c r="L157" s="467">
        <v>0</v>
      </c>
      <c r="M157" s="620"/>
      <c r="N157" s="620"/>
    </row>
    <row r="158" spans="1:14" s="621" customFormat="1" ht="12" x14ac:dyDescent="0.2">
      <c r="A158" s="1847" t="s">
        <v>322</v>
      </c>
      <c r="B158" s="1848" t="s">
        <v>1956</v>
      </c>
      <c r="C158" s="617"/>
      <c r="D158" s="617"/>
      <c r="E158" s="617"/>
      <c r="F158" s="617"/>
      <c r="G158" s="617"/>
      <c r="H158" s="467">
        <v>0</v>
      </c>
      <c r="I158" s="617"/>
      <c r="J158" s="617"/>
      <c r="K158" s="1691">
        <f>H158</f>
        <v>0</v>
      </c>
      <c r="L158" s="467">
        <v>0</v>
      </c>
      <c r="M158" s="620"/>
      <c r="N158" s="620"/>
    </row>
    <row r="159" spans="1:14" s="621" customFormat="1" ht="12" x14ac:dyDescent="0.2">
      <c r="A159" s="1847" t="s">
        <v>1957</v>
      </c>
      <c r="B159" s="1848" t="s">
        <v>579</v>
      </c>
      <c r="C159" s="617"/>
      <c r="D159" s="617"/>
      <c r="E159" s="617"/>
      <c r="F159" s="617"/>
      <c r="G159" s="617"/>
      <c r="H159" s="467">
        <v>0</v>
      </c>
      <c r="I159" s="617"/>
      <c r="J159" s="617"/>
      <c r="K159" s="1691">
        <f>H159</f>
        <v>0</v>
      </c>
      <c r="L159" s="467">
        <v>0</v>
      </c>
      <c r="M159" s="620"/>
      <c r="N159" s="620"/>
    </row>
    <row r="160" spans="1:14" s="621" customFormat="1" ht="15.75" customHeight="1" thickBot="1" x14ac:dyDescent="0.25">
      <c r="A160" s="1849" t="s">
        <v>1958</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v>0</v>
      </c>
      <c r="I163" s="617"/>
      <c r="J163" s="617"/>
      <c r="K163" s="1691">
        <f>SUM(C163:J163)</f>
        <v>0</v>
      </c>
      <c r="L163" s="466">
        <v>0</v>
      </c>
    </row>
    <row r="164" spans="1:14" x14ac:dyDescent="0.2">
      <c r="A164" s="1524" t="s">
        <v>90</v>
      </c>
      <c r="B164" s="615">
        <v>5120</v>
      </c>
      <c r="C164" s="617"/>
      <c r="D164" s="617"/>
      <c r="E164" s="617"/>
      <c r="F164" s="617"/>
      <c r="G164" s="617"/>
      <c r="H164" s="466">
        <v>0</v>
      </c>
      <c r="I164" s="617"/>
      <c r="J164" s="617"/>
      <c r="K164" s="1691">
        <f>SUM(C164:J164)</f>
        <v>0</v>
      </c>
      <c r="L164" s="466">
        <v>0</v>
      </c>
    </row>
    <row r="165" spans="1:14" ht="12.75" customHeight="1" x14ac:dyDescent="0.2">
      <c r="A165" s="1524" t="s">
        <v>1232</v>
      </c>
      <c r="B165" s="615" t="s">
        <v>638</v>
      </c>
      <c r="C165" s="617"/>
      <c r="D165" s="617"/>
      <c r="E165" s="617"/>
      <c r="F165" s="617"/>
      <c r="G165" s="617"/>
      <c r="H165" s="466">
        <v>0</v>
      </c>
      <c r="I165" s="617"/>
      <c r="J165" s="617"/>
      <c r="K165" s="1691">
        <f>SUM(C165:J165)</f>
        <v>0</v>
      </c>
      <c r="L165" s="466">
        <v>0</v>
      </c>
    </row>
    <row r="166" spans="1:14" x14ac:dyDescent="0.2">
      <c r="A166" s="1524" t="s">
        <v>91</v>
      </c>
      <c r="B166" s="629" t="s">
        <v>610</v>
      </c>
      <c r="C166" s="617"/>
      <c r="D166" s="617"/>
      <c r="E166" s="617"/>
      <c r="F166" s="617"/>
      <c r="G166" s="617"/>
      <c r="H166" s="466">
        <v>0</v>
      </c>
      <c r="I166" s="617"/>
      <c r="J166" s="617"/>
      <c r="K166" s="1691">
        <f>SUM(C166:J166)</f>
        <v>0</v>
      </c>
      <c r="L166" s="466">
        <v>0</v>
      </c>
    </row>
    <row r="167" spans="1:14" ht="12.75" customHeight="1" x14ac:dyDescent="0.2">
      <c r="A167" s="1524" t="s">
        <v>640</v>
      </c>
      <c r="B167" s="615" t="s">
        <v>639</v>
      </c>
      <c r="C167" s="617"/>
      <c r="D167" s="617"/>
      <c r="E167" s="617"/>
      <c r="F167" s="617"/>
      <c r="G167" s="617"/>
      <c r="H167" s="466">
        <v>0</v>
      </c>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0</v>
      </c>
      <c r="I169" s="617"/>
      <c r="J169" s="617"/>
      <c r="K169" s="1691">
        <f>SUM(C169:H169)</f>
        <v>0</v>
      </c>
      <c r="L169" s="657">
        <v>0</v>
      </c>
    </row>
    <row r="170" spans="1:14" ht="33.75" customHeight="1" x14ac:dyDescent="0.2">
      <c r="A170" s="670" t="s">
        <v>1769</v>
      </c>
      <c r="B170" s="672" t="s">
        <v>31</v>
      </c>
      <c r="C170" s="617"/>
      <c r="D170" s="617"/>
      <c r="E170" s="617"/>
      <c r="F170" s="617"/>
      <c r="G170" s="617"/>
      <c r="H170" s="569">
        <v>0</v>
      </c>
      <c r="I170" s="617"/>
      <c r="J170" s="617"/>
      <c r="K170" s="1691">
        <f>SUM(C170:J170)</f>
        <v>0</v>
      </c>
      <c r="L170" s="569">
        <v>0</v>
      </c>
    </row>
    <row r="171" spans="1:14" ht="15.75" customHeight="1" x14ac:dyDescent="0.2">
      <c r="A171" s="622" t="s">
        <v>790</v>
      </c>
      <c r="B171" s="673" t="s">
        <v>86</v>
      </c>
      <c r="C171" s="617"/>
      <c r="D171" s="617"/>
      <c r="E171" s="466">
        <v>0</v>
      </c>
      <c r="F171" s="617"/>
      <c r="G171" s="617"/>
      <c r="H171" s="569">
        <v>0</v>
      </c>
      <c r="I171" s="477"/>
      <c r="J171" s="617"/>
      <c r="K171" s="1691">
        <f>SUM(C171:J171)</f>
        <v>0</v>
      </c>
      <c r="L171" s="569">
        <v>0</v>
      </c>
    </row>
    <row r="172" spans="1:14" ht="12.75" customHeight="1" thickBot="1" x14ac:dyDescent="0.25">
      <c r="A172" s="1688" t="s">
        <v>659</v>
      </c>
      <c r="B172" s="1689" t="s">
        <v>513</v>
      </c>
      <c r="C172" s="617"/>
      <c r="D172" s="617"/>
      <c r="E172" s="1697">
        <f>SUM(E168,E169,E170,E171)</f>
        <v>0</v>
      </c>
      <c r="F172" s="617"/>
      <c r="G172" s="617"/>
      <c r="H172" s="1697">
        <f>SUM(H168,H169,H170,H171)</f>
        <v>0</v>
      </c>
      <c r="I172" s="639"/>
      <c r="J172" s="617"/>
      <c r="K172" s="1697">
        <f>SUM(K168,K169,K170,K171)</f>
        <v>0</v>
      </c>
      <c r="L172" s="1697">
        <f>SUM(L168,L169,L170,L171)</f>
        <v>0</v>
      </c>
    </row>
    <row r="173" spans="1:14" ht="15.75" customHeight="1" thickTop="1" thickBot="1" x14ac:dyDescent="0.25">
      <c r="A173" s="1639" t="s">
        <v>87</v>
      </c>
      <c r="B173" s="1631"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0</v>
      </c>
      <c r="I174" s="639"/>
      <c r="J174" s="617"/>
      <c r="K174" s="1697">
        <f>SUM(K160,K172,K173)</f>
        <v>0</v>
      </c>
      <c r="L174" s="1697">
        <f>SUM(L160,L172,L173)</f>
        <v>0</v>
      </c>
    </row>
    <row r="175" spans="1:14" ht="13.5" thickTop="1" x14ac:dyDescent="0.2">
      <c r="A175" s="2197" t="s">
        <v>1053</v>
      </c>
      <c r="B175" s="2198"/>
      <c r="C175" s="617"/>
      <c r="D175" s="617"/>
      <c r="E175" s="617"/>
      <c r="F175" s="617"/>
      <c r="G175" s="617"/>
      <c r="H175" s="619"/>
      <c r="I175" s="617"/>
      <c r="J175" s="617"/>
      <c r="K175" s="1704">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v>0</v>
      </c>
      <c r="D182" s="466">
        <v>0</v>
      </c>
      <c r="E182" s="466">
        <v>0</v>
      </c>
      <c r="F182" s="466">
        <v>0</v>
      </c>
      <c r="G182" s="466">
        <v>0</v>
      </c>
      <c r="H182" s="466">
        <v>0</v>
      </c>
      <c r="I182" s="467">
        <v>0</v>
      </c>
      <c r="J182" s="467">
        <v>0</v>
      </c>
      <c r="K182" s="1691">
        <f>SUM(C182:J182)</f>
        <v>0</v>
      </c>
      <c r="L182" s="466">
        <v>0</v>
      </c>
    </row>
    <row r="183" spans="1:14" ht="12.75" customHeight="1" thickBot="1" x14ac:dyDescent="0.25">
      <c r="A183" s="1529" t="s">
        <v>1037</v>
      </c>
      <c r="B183" s="678">
        <v>2900</v>
      </c>
      <c r="C183" s="573">
        <v>0</v>
      </c>
      <c r="D183" s="573">
        <v>0</v>
      </c>
      <c r="E183" s="573">
        <v>0</v>
      </c>
      <c r="F183" s="573">
        <v>0</v>
      </c>
      <c r="G183" s="573">
        <v>0</v>
      </c>
      <c r="H183" s="573">
        <v>0</v>
      </c>
      <c r="I183" s="532">
        <v>0</v>
      </c>
      <c r="J183" s="532">
        <v>0</v>
      </c>
      <c r="K183" s="1697">
        <f>SUM(C183:J183)</f>
        <v>0</v>
      </c>
      <c r="L183" s="573">
        <v>0</v>
      </c>
    </row>
    <row r="184" spans="1:14" ht="12.75" customHeight="1" thickTop="1" thickBot="1" x14ac:dyDescent="0.25">
      <c r="A184" s="1711" t="s">
        <v>865</v>
      </c>
      <c r="B184" s="1689" t="s">
        <v>590</v>
      </c>
      <c r="C184" s="1697">
        <f>SUM(C180,C182,C183)</f>
        <v>0</v>
      </c>
      <c r="D184" s="1697">
        <f t="shared" ref="D184:J184" si="17">SUM(D180,D182,D183)</f>
        <v>0</v>
      </c>
      <c r="E184" s="1697">
        <f t="shared" si="17"/>
        <v>0</v>
      </c>
      <c r="F184" s="1697">
        <f t="shared" si="17"/>
        <v>0</v>
      </c>
      <c r="G184" s="1697">
        <f t="shared" si="17"/>
        <v>0</v>
      </c>
      <c r="H184" s="1697">
        <f t="shared" si="17"/>
        <v>0</v>
      </c>
      <c r="I184" s="1697">
        <f t="shared" si="17"/>
        <v>0</v>
      </c>
      <c r="J184" s="1697">
        <f t="shared" si="17"/>
        <v>0</v>
      </c>
      <c r="K184" s="1697">
        <f>SUM(K180,K182,K183)</f>
        <v>0</v>
      </c>
      <c r="L184" s="1697">
        <f>SUM(L180, L182:L183)</f>
        <v>0</v>
      </c>
    </row>
    <row r="185" spans="1:14" ht="15.75" customHeight="1" thickTop="1" thickBot="1" x14ac:dyDescent="0.25">
      <c r="A185" s="1642" t="s">
        <v>996</v>
      </c>
      <c r="B185" s="1631">
        <v>3000</v>
      </c>
      <c r="C185" s="576">
        <v>0</v>
      </c>
      <c r="D185" s="576">
        <v>0</v>
      </c>
      <c r="E185" s="576">
        <v>0</v>
      </c>
      <c r="F185" s="576">
        <v>0</v>
      </c>
      <c r="G185" s="576">
        <v>0</v>
      </c>
      <c r="H185" s="576">
        <v>0</v>
      </c>
      <c r="I185" s="531">
        <v>0</v>
      </c>
      <c r="J185" s="531">
        <v>0</v>
      </c>
      <c r="K185" s="1690">
        <f>SUM(C185:J185)</f>
        <v>0</v>
      </c>
      <c r="L185" s="576">
        <v>0</v>
      </c>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v>0</v>
      </c>
      <c r="F188" s="617"/>
      <c r="G188" s="617"/>
      <c r="H188" s="466">
        <v>0</v>
      </c>
      <c r="I188" s="477"/>
      <c r="J188" s="617"/>
      <c r="K188" s="1691">
        <f t="shared" ref="K188:K193" si="18">SUM(E188,H188)</f>
        <v>0</v>
      </c>
      <c r="L188" s="466">
        <v>0</v>
      </c>
    </row>
    <row r="189" spans="1:14" x14ac:dyDescent="0.2">
      <c r="A189" s="1524" t="s">
        <v>322</v>
      </c>
      <c r="B189" s="615">
        <v>4120</v>
      </c>
      <c r="C189" s="617"/>
      <c r="D189" s="617"/>
      <c r="E189" s="466">
        <v>0</v>
      </c>
      <c r="F189" s="617"/>
      <c r="G189" s="617"/>
      <c r="H189" s="466">
        <v>0</v>
      </c>
      <c r="I189" s="477"/>
      <c r="J189" s="617"/>
      <c r="K189" s="1691">
        <f t="shared" si="18"/>
        <v>0</v>
      </c>
      <c r="L189" s="466">
        <v>0</v>
      </c>
    </row>
    <row r="190" spans="1:14" x14ac:dyDescent="0.2">
      <c r="A190" s="1524" t="s">
        <v>323</v>
      </c>
      <c r="B190" s="629">
        <v>4130</v>
      </c>
      <c r="C190" s="617"/>
      <c r="D190" s="617"/>
      <c r="E190" s="466">
        <v>0</v>
      </c>
      <c r="F190" s="617"/>
      <c r="G190" s="617"/>
      <c r="H190" s="466">
        <v>0</v>
      </c>
      <c r="I190" s="477"/>
      <c r="J190" s="617"/>
      <c r="K190" s="1691">
        <f t="shared" si="18"/>
        <v>0</v>
      </c>
      <c r="L190" s="466">
        <v>0</v>
      </c>
    </row>
    <row r="191" spans="1:14" x14ac:dyDescent="0.2">
      <c r="A191" s="1524" t="s">
        <v>721</v>
      </c>
      <c r="B191" s="615">
        <v>4140</v>
      </c>
      <c r="C191" s="617"/>
      <c r="D191" s="617"/>
      <c r="E191" s="466">
        <v>0</v>
      </c>
      <c r="F191" s="617"/>
      <c r="G191" s="617"/>
      <c r="H191" s="466">
        <v>0</v>
      </c>
      <c r="I191" s="477"/>
      <c r="J191" s="617"/>
      <c r="K191" s="1691">
        <f t="shared" si="18"/>
        <v>0</v>
      </c>
      <c r="L191" s="466">
        <v>0</v>
      </c>
    </row>
    <row r="192" spans="1:14" x14ac:dyDescent="0.2">
      <c r="A192" s="1524" t="s">
        <v>88</v>
      </c>
      <c r="B192" s="615">
        <v>4170</v>
      </c>
      <c r="C192" s="617"/>
      <c r="D192" s="617"/>
      <c r="E192" s="466">
        <v>0</v>
      </c>
      <c r="F192" s="617"/>
      <c r="G192" s="617"/>
      <c r="H192" s="466">
        <v>0</v>
      </c>
      <c r="I192" s="477"/>
      <c r="J192" s="617"/>
      <c r="K192" s="1691">
        <f t="shared" si="18"/>
        <v>0</v>
      </c>
      <c r="L192" s="466">
        <v>0</v>
      </c>
    </row>
    <row r="193" spans="1:14" x14ac:dyDescent="0.2">
      <c r="A193" s="1528" t="s">
        <v>722</v>
      </c>
      <c r="B193" s="629">
        <v>4190</v>
      </c>
      <c r="C193" s="617"/>
      <c r="D193" s="617"/>
      <c r="E193" s="466">
        <v>0</v>
      </c>
      <c r="F193" s="617"/>
      <c r="G193" s="617"/>
      <c r="H193" s="466">
        <v>0</v>
      </c>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v>0</v>
      </c>
      <c r="F195" s="617"/>
      <c r="G195" s="617"/>
      <c r="H195" s="657">
        <v>0</v>
      </c>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v>0</v>
      </c>
      <c r="I199" s="617"/>
      <c r="J199" s="617"/>
      <c r="K199" s="1691">
        <f>SUM(H199)</f>
        <v>0</v>
      </c>
      <c r="L199" s="466">
        <v>0</v>
      </c>
    </row>
    <row r="200" spans="1:14" x14ac:dyDescent="0.2">
      <c r="A200" s="1524" t="s">
        <v>90</v>
      </c>
      <c r="B200" s="615">
        <v>5120</v>
      </c>
      <c r="C200" s="617"/>
      <c r="D200" s="617"/>
      <c r="E200" s="617"/>
      <c r="F200" s="617"/>
      <c r="G200" s="617"/>
      <c r="H200" s="466">
        <v>0</v>
      </c>
      <c r="I200" s="617"/>
      <c r="J200" s="617"/>
      <c r="K200" s="1691">
        <f>SUM(H200)</f>
        <v>0</v>
      </c>
      <c r="L200" s="466">
        <v>0</v>
      </c>
    </row>
    <row r="201" spans="1:14" ht="12.75" customHeight="1" x14ac:dyDescent="0.2">
      <c r="A201" s="1524" t="s">
        <v>1232</v>
      </c>
      <c r="B201" s="629" t="s">
        <v>638</v>
      </c>
      <c r="C201" s="617"/>
      <c r="D201" s="617"/>
      <c r="E201" s="617"/>
      <c r="F201" s="617"/>
      <c r="G201" s="617"/>
      <c r="H201" s="466">
        <v>0</v>
      </c>
      <c r="I201" s="617"/>
      <c r="J201" s="617"/>
      <c r="K201" s="1691">
        <f>SUM(H201)</f>
        <v>0</v>
      </c>
      <c r="L201" s="466">
        <v>0</v>
      </c>
    </row>
    <row r="202" spans="1:14" x14ac:dyDescent="0.2">
      <c r="A202" s="1524" t="s">
        <v>91</v>
      </c>
      <c r="B202" s="615" t="s">
        <v>610</v>
      </c>
      <c r="C202" s="617"/>
      <c r="D202" s="617"/>
      <c r="E202" s="617"/>
      <c r="F202" s="617"/>
      <c r="G202" s="617"/>
      <c r="H202" s="466">
        <v>0</v>
      </c>
      <c r="I202" s="617"/>
      <c r="J202" s="617"/>
      <c r="K202" s="1691">
        <f>SUM(H202)</f>
        <v>0</v>
      </c>
      <c r="L202" s="466">
        <v>0</v>
      </c>
    </row>
    <row r="203" spans="1:14" x14ac:dyDescent="0.2">
      <c r="A203" s="1536" t="s">
        <v>640</v>
      </c>
      <c r="B203" s="615" t="s">
        <v>639</v>
      </c>
      <c r="C203" s="617"/>
      <c r="D203" s="617"/>
      <c r="E203" s="617"/>
      <c r="F203" s="617"/>
      <c r="G203" s="617"/>
      <c r="H203" s="471">
        <v>0</v>
      </c>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v>0</v>
      </c>
      <c r="I205" s="617"/>
      <c r="J205" s="617"/>
      <c r="K205" s="1705">
        <f>SUM(H205)</f>
        <v>0</v>
      </c>
      <c r="L205" s="535">
        <v>0</v>
      </c>
    </row>
    <row r="206" spans="1:14" ht="30" customHeight="1" x14ac:dyDescent="0.2">
      <c r="A206" s="682" t="s">
        <v>1770</v>
      </c>
      <c r="B206" s="673" t="s">
        <v>31</v>
      </c>
      <c r="C206" s="617"/>
      <c r="D206" s="617"/>
      <c r="E206" s="617"/>
      <c r="F206" s="617"/>
      <c r="G206" s="617"/>
      <c r="H206" s="466">
        <v>0</v>
      </c>
      <c r="I206" s="617"/>
      <c r="J206" s="617"/>
      <c r="K206" s="1691">
        <f>SUM(H206)</f>
        <v>0</v>
      </c>
      <c r="L206" s="466">
        <v>0</v>
      </c>
    </row>
    <row r="207" spans="1:14" ht="15.75" customHeight="1" x14ac:dyDescent="0.2">
      <c r="A207" s="622" t="s">
        <v>790</v>
      </c>
      <c r="B207" s="673" t="s">
        <v>86</v>
      </c>
      <c r="C207" s="617"/>
      <c r="D207" s="617"/>
      <c r="E207" s="617"/>
      <c r="F207" s="617"/>
      <c r="G207" s="617"/>
      <c r="H207" s="467">
        <v>0</v>
      </c>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0</v>
      </c>
      <c r="D210" s="1690">
        <f>SUM(D184,D185)</f>
        <v>0</v>
      </c>
      <c r="E210" s="1690">
        <f>SUM(E184,E185,E196)</f>
        <v>0</v>
      </c>
      <c r="F210" s="1690">
        <f>SUM(F184,F185)</f>
        <v>0</v>
      </c>
      <c r="G210" s="1690">
        <f>SUM(G184,G185)</f>
        <v>0</v>
      </c>
      <c r="H210" s="1690">
        <f>SUM(H184,H185,H196,H208,H209)</f>
        <v>0</v>
      </c>
      <c r="I210" s="1690">
        <f>SUM(I184,I185)</f>
        <v>0</v>
      </c>
      <c r="J210" s="1690">
        <f>SUM(J184,J185)</f>
        <v>0</v>
      </c>
      <c r="K210" s="1691">
        <f>SUM(K184,K185,K196,K208,K209)</f>
        <v>0</v>
      </c>
      <c r="L210" s="1690">
        <f>SUM(L184,L185,L196,L208,L209)</f>
        <v>0</v>
      </c>
    </row>
    <row r="211" spans="1:14" ht="13.5" thickTop="1" x14ac:dyDescent="0.2">
      <c r="A211" s="2197" t="s">
        <v>1053</v>
      </c>
      <c r="B211" s="2198"/>
      <c r="C211" s="619"/>
      <c r="D211" s="619"/>
      <c r="E211" s="619"/>
      <c r="F211" s="619"/>
      <c r="G211" s="619"/>
      <c r="H211" s="619"/>
      <c r="I211" s="617"/>
      <c r="J211" s="617"/>
      <c r="K211" s="1704">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v>0</v>
      </c>
      <c r="E215" s="617"/>
      <c r="F215" s="617"/>
      <c r="G215" s="617"/>
      <c r="H215" s="617"/>
      <c r="I215" s="617"/>
      <c r="J215" s="617"/>
      <c r="K215" s="1691">
        <f>D215</f>
        <v>0</v>
      </c>
      <c r="L215" s="466">
        <v>0</v>
      </c>
    </row>
    <row r="216" spans="1:14" x14ac:dyDescent="0.2">
      <c r="A216" s="1524" t="s">
        <v>165</v>
      </c>
      <c r="B216" s="615" t="s">
        <v>1024</v>
      </c>
      <c r="C216" s="617"/>
      <c r="D216" s="467">
        <v>0</v>
      </c>
      <c r="E216" s="617"/>
      <c r="F216" s="617"/>
      <c r="G216" s="617"/>
      <c r="H216" s="617"/>
      <c r="I216" s="617"/>
      <c r="J216" s="617"/>
      <c r="K216" s="1691">
        <f t="shared" ref="K216:K228" si="19">D216</f>
        <v>0</v>
      </c>
      <c r="L216" s="466">
        <v>0</v>
      </c>
    </row>
    <row r="217" spans="1:14" x14ac:dyDescent="0.2">
      <c r="A217" s="1524" t="s">
        <v>166</v>
      </c>
      <c r="B217" s="615">
        <v>1200</v>
      </c>
      <c r="C217" s="617"/>
      <c r="D217" s="466">
        <v>0</v>
      </c>
      <c r="E217" s="617"/>
      <c r="F217" s="617"/>
      <c r="G217" s="617"/>
      <c r="H217" s="617"/>
      <c r="I217" s="617"/>
      <c r="J217" s="617"/>
      <c r="K217" s="1691">
        <f t="shared" si="19"/>
        <v>0</v>
      </c>
      <c r="L217" s="466">
        <v>0</v>
      </c>
    </row>
    <row r="218" spans="1:14" x14ac:dyDescent="0.2">
      <c r="A218" s="1524" t="s">
        <v>296</v>
      </c>
      <c r="B218" s="615" t="s">
        <v>1025</v>
      </c>
      <c r="C218" s="617"/>
      <c r="D218" s="467">
        <v>0</v>
      </c>
      <c r="E218" s="617"/>
      <c r="F218" s="617"/>
      <c r="G218" s="617"/>
      <c r="H218" s="617"/>
      <c r="I218" s="617"/>
      <c r="J218" s="617"/>
      <c r="K218" s="1691">
        <f t="shared" si="19"/>
        <v>0</v>
      </c>
      <c r="L218" s="466">
        <v>0</v>
      </c>
    </row>
    <row r="219" spans="1:14" x14ac:dyDescent="0.2">
      <c r="A219" s="1524" t="s">
        <v>297</v>
      </c>
      <c r="B219" s="615">
        <v>1250</v>
      </c>
      <c r="C219" s="617"/>
      <c r="D219" s="466">
        <v>0</v>
      </c>
      <c r="E219" s="617"/>
      <c r="F219" s="617"/>
      <c r="G219" s="617"/>
      <c r="H219" s="617"/>
      <c r="I219" s="617"/>
      <c r="J219" s="617"/>
      <c r="K219" s="1691">
        <f t="shared" si="19"/>
        <v>0</v>
      </c>
      <c r="L219" s="466">
        <v>0</v>
      </c>
    </row>
    <row r="220" spans="1:14" x14ac:dyDescent="0.2">
      <c r="A220" s="1524" t="s">
        <v>298</v>
      </c>
      <c r="B220" s="615" t="s">
        <v>163</v>
      </c>
      <c r="C220" s="617"/>
      <c r="D220" s="467">
        <v>0</v>
      </c>
      <c r="E220" s="617"/>
      <c r="F220" s="617"/>
      <c r="G220" s="617"/>
      <c r="H220" s="617"/>
      <c r="I220" s="617"/>
      <c r="J220" s="617"/>
      <c r="K220" s="1691">
        <f t="shared" si="19"/>
        <v>0</v>
      </c>
      <c r="L220" s="466">
        <v>0</v>
      </c>
    </row>
    <row r="221" spans="1:14" x14ac:dyDescent="0.2">
      <c r="A221" s="1524" t="s">
        <v>1019</v>
      </c>
      <c r="B221" s="615">
        <v>1300</v>
      </c>
      <c r="C221" s="617"/>
      <c r="D221" s="466">
        <v>0</v>
      </c>
      <c r="E221" s="617"/>
      <c r="F221" s="617"/>
      <c r="G221" s="617"/>
      <c r="H221" s="617"/>
      <c r="I221" s="617"/>
      <c r="J221" s="617"/>
      <c r="K221" s="1691">
        <f t="shared" si="19"/>
        <v>0</v>
      </c>
      <c r="L221" s="466">
        <v>0</v>
      </c>
    </row>
    <row r="222" spans="1:14" x14ac:dyDescent="0.2">
      <c r="A222" s="1524" t="s">
        <v>747</v>
      </c>
      <c r="B222" s="615">
        <v>1400</v>
      </c>
      <c r="C222" s="617"/>
      <c r="D222" s="466">
        <v>0</v>
      </c>
      <c r="E222" s="617"/>
      <c r="F222" s="617"/>
      <c r="G222" s="617"/>
      <c r="H222" s="617"/>
      <c r="I222" s="617"/>
      <c r="J222" s="617"/>
      <c r="K222" s="1691">
        <f t="shared" si="19"/>
        <v>0</v>
      </c>
      <c r="L222" s="466">
        <v>0</v>
      </c>
    </row>
    <row r="223" spans="1:14" x14ac:dyDescent="0.2">
      <c r="A223" s="1524" t="s">
        <v>1020</v>
      </c>
      <c r="B223" s="615">
        <v>1500</v>
      </c>
      <c r="C223" s="617"/>
      <c r="D223" s="466">
        <v>0</v>
      </c>
      <c r="E223" s="617"/>
      <c r="F223" s="617"/>
      <c r="G223" s="617"/>
      <c r="H223" s="617"/>
      <c r="I223" s="617"/>
      <c r="J223" s="617"/>
      <c r="K223" s="1691">
        <f t="shared" si="19"/>
        <v>0</v>
      </c>
      <c r="L223" s="466">
        <v>0</v>
      </c>
    </row>
    <row r="224" spans="1:14" x14ac:dyDescent="0.2">
      <c r="A224" s="1524" t="s">
        <v>1021</v>
      </c>
      <c r="B224" s="615">
        <v>1600</v>
      </c>
      <c r="C224" s="617"/>
      <c r="D224" s="466">
        <v>0</v>
      </c>
      <c r="E224" s="617"/>
      <c r="F224" s="617"/>
      <c r="G224" s="617"/>
      <c r="H224" s="617"/>
      <c r="I224" s="617"/>
      <c r="J224" s="617"/>
      <c r="K224" s="1691">
        <f t="shared" si="19"/>
        <v>0</v>
      </c>
      <c r="L224" s="466">
        <v>0</v>
      </c>
    </row>
    <row r="225" spans="1:12" x14ac:dyDescent="0.2">
      <c r="A225" s="1524" t="s">
        <v>1044</v>
      </c>
      <c r="B225" s="615">
        <v>1650</v>
      </c>
      <c r="C225" s="617"/>
      <c r="D225" s="466">
        <v>0</v>
      </c>
      <c r="E225" s="617"/>
      <c r="F225" s="617"/>
      <c r="G225" s="617"/>
      <c r="H225" s="617"/>
      <c r="I225" s="617"/>
      <c r="J225" s="617"/>
      <c r="K225" s="1691">
        <f t="shared" si="19"/>
        <v>0</v>
      </c>
      <c r="L225" s="466">
        <v>0</v>
      </c>
    </row>
    <row r="226" spans="1:12" x14ac:dyDescent="0.2">
      <c r="A226" s="1524" t="s">
        <v>748</v>
      </c>
      <c r="B226" s="615" t="s">
        <v>164</v>
      </c>
      <c r="C226" s="617"/>
      <c r="D226" s="467">
        <v>0</v>
      </c>
      <c r="E226" s="617"/>
      <c r="F226" s="617"/>
      <c r="G226" s="617"/>
      <c r="H226" s="617"/>
      <c r="I226" s="617"/>
      <c r="J226" s="617"/>
      <c r="K226" s="1691">
        <f t="shared" si="19"/>
        <v>0</v>
      </c>
      <c r="L226" s="466">
        <v>0</v>
      </c>
    </row>
    <row r="227" spans="1:12" x14ac:dyDescent="0.2">
      <c r="A227" s="1524" t="s">
        <v>1148</v>
      </c>
      <c r="B227" s="615">
        <v>1800</v>
      </c>
      <c r="C227" s="617"/>
      <c r="D227" s="466">
        <v>0</v>
      </c>
      <c r="E227" s="617"/>
      <c r="F227" s="617"/>
      <c r="G227" s="617"/>
      <c r="H227" s="617"/>
      <c r="I227" s="617"/>
      <c r="J227" s="617"/>
      <c r="K227" s="1691">
        <f t="shared" si="19"/>
        <v>0</v>
      </c>
      <c r="L227" s="466">
        <v>0</v>
      </c>
    </row>
    <row r="228" spans="1:12" x14ac:dyDescent="0.2">
      <c r="A228" s="1524" t="s">
        <v>1149</v>
      </c>
      <c r="B228" s="615">
        <v>1900</v>
      </c>
      <c r="C228" s="617"/>
      <c r="D228" s="466">
        <v>0</v>
      </c>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0</v>
      </c>
      <c r="E229" s="617"/>
      <c r="F229" s="617"/>
      <c r="G229" s="617"/>
      <c r="H229" s="617"/>
      <c r="I229" s="617"/>
      <c r="J229" s="617"/>
      <c r="K229" s="1690">
        <f>SUM(K215:K228)</f>
        <v>0</v>
      </c>
      <c r="L229" s="1690">
        <f>SUM(L215:L228)</f>
        <v>0</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v>0</v>
      </c>
      <c r="E232" s="617"/>
      <c r="F232" s="617"/>
      <c r="G232" s="617"/>
      <c r="H232" s="617"/>
      <c r="I232" s="617"/>
      <c r="J232" s="617"/>
      <c r="K232" s="1691">
        <f t="shared" ref="K232:K237" si="20">D232</f>
        <v>0</v>
      </c>
      <c r="L232" s="466">
        <v>0</v>
      </c>
    </row>
    <row r="233" spans="1:12" x14ac:dyDescent="0.2">
      <c r="A233" s="1524" t="s">
        <v>1151</v>
      </c>
      <c r="B233" s="615">
        <v>2120</v>
      </c>
      <c r="C233" s="617"/>
      <c r="D233" s="466">
        <v>0</v>
      </c>
      <c r="E233" s="617"/>
      <c r="F233" s="617"/>
      <c r="G233" s="617"/>
      <c r="H233" s="617"/>
      <c r="I233" s="617"/>
      <c r="J233" s="617"/>
      <c r="K233" s="1691">
        <f t="shared" si="20"/>
        <v>0</v>
      </c>
      <c r="L233" s="466">
        <v>0</v>
      </c>
    </row>
    <row r="234" spans="1:12" x14ac:dyDescent="0.2">
      <c r="A234" s="1524" t="s">
        <v>207</v>
      </c>
      <c r="B234" s="615">
        <v>2130</v>
      </c>
      <c r="C234" s="617"/>
      <c r="D234" s="466">
        <v>0</v>
      </c>
      <c r="E234" s="617"/>
      <c r="F234" s="617"/>
      <c r="G234" s="617"/>
      <c r="H234" s="617"/>
      <c r="I234" s="617"/>
      <c r="J234" s="617"/>
      <c r="K234" s="1691">
        <f t="shared" si="20"/>
        <v>0</v>
      </c>
      <c r="L234" s="466">
        <v>0</v>
      </c>
    </row>
    <row r="235" spans="1:12" x14ac:dyDescent="0.2">
      <c r="A235" s="1524" t="s">
        <v>208</v>
      </c>
      <c r="B235" s="615">
        <v>2140</v>
      </c>
      <c r="C235" s="617"/>
      <c r="D235" s="466">
        <v>0</v>
      </c>
      <c r="E235" s="617"/>
      <c r="F235" s="617"/>
      <c r="G235" s="617"/>
      <c r="H235" s="617"/>
      <c r="I235" s="617"/>
      <c r="J235" s="617"/>
      <c r="K235" s="1691">
        <f t="shared" si="20"/>
        <v>0</v>
      </c>
      <c r="L235" s="466">
        <v>0</v>
      </c>
    </row>
    <row r="236" spans="1:12" x14ac:dyDescent="0.2">
      <c r="A236" s="1524" t="s">
        <v>209</v>
      </c>
      <c r="B236" s="615">
        <v>2150</v>
      </c>
      <c r="C236" s="617"/>
      <c r="D236" s="466">
        <v>0</v>
      </c>
      <c r="E236" s="617"/>
      <c r="F236" s="617"/>
      <c r="G236" s="617"/>
      <c r="H236" s="617"/>
      <c r="I236" s="617"/>
      <c r="J236" s="617"/>
      <c r="K236" s="1691">
        <f t="shared" si="20"/>
        <v>0</v>
      </c>
      <c r="L236" s="466">
        <v>0</v>
      </c>
    </row>
    <row r="237" spans="1:12" x14ac:dyDescent="0.2">
      <c r="A237" s="1524" t="s">
        <v>167</v>
      </c>
      <c r="B237" s="615">
        <v>2190</v>
      </c>
      <c r="C237" s="617"/>
      <c r="D237" s="466">
        <v>0</v>
      </c>
      <c r="E237" s="617"/>
      <c r="F237" s="617"/>
      <c r="G237" s="617"/>
      <c r="H237" s="617"/>
      <c r="I237" s="617"/>
      <c r="J237" s="617"/>
      <c r="K237" s="1691">
        <f t="shared" si="20"/>
        <v>0</v>
      </c>
      <c r="L237" s="466">
        <v>0</v>
      </c>
    </row>
    <row r="238" spans="1:12" ht="12.75" customHeight="1" thickBot="1" x14ac:dyDescent="0.25">
      <c r="A238" s="1688" t="s">
        <v>581</v>
      </c>
      <c r="B238" s="1695" t="s">
        <v>740</v>
      </c>
      <c r="C238" s="617"/>
      <c r="D238" s="1690">
        <f>SUM(D232:D237)</f>
        <v>0</v>
      </c>
      <c r="E238" s="617"/>
      <c r="F238" s="617"/>
      <c r="G238" s="617"/>
      <c r="H238" s="617"/>
      <c r="I238" s="617"/>
      <c r="J238" s="617"/>
      <c r="K238" s="1690">
        <f>SUM(K232:K237)</f>
        <v>0</v>
      </c>
      <c r="L238" s="1690">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v>0</v>
      </c>
      <c r="E240" s="617"/>
      <c r="F240" s="617"/>
      <c r="G240" s="617"/>
      <c r="H240" s="617"/>
      <c r="I240" s="617"/>
      <c r="J240" s="617"/>
      <c r="K240" s="1692">
        <f>D240</f>
        <v>0</v>
      </c>
      <c r="L240" s="481">
        <v>0</v>
      </c>
    </row>
    <row r="241" spans="1:12" x14ac:dyDescent="0.2">
      <c r="A241" s="1524" t="s">
        <v>869</v>
      </c>
      <c r="B241" s="615">
        <v>2220</v>
      </c>
      <c r="C241" s="617"/>
      <c r="D241" s="466">
        <v>0</v>
      </c>
      <c r="E241" s="617"/>
      <c r="F241" s="617"/>
      <c r="G241" s="617"/>
      <c r="H241" s="617"/>
      <c r="I241" s="617"/>
      <c r="J241" s="617"/>
      <c r="K241" s="1692">
        <f>D241</f>
        <v>0</v>
      </c>
      <c r="L241" s="466">
        <v>0</v>
      </c>
    </row>
    <row r="242" spans="1:12" x14ac:dyDescent="0.2">
      <c r="A242" s="1524" t="s">
        <v>870</v>
      </c>
      <c r="B242" s="615">
        <v>2230</v>
      </c>
      <c r="C242" s="617"/>
      <c r="D242" s="466">
        <v>0</v>
      </c>
      <c r="E242" s="617"/>
      <c r="F242" s="617"/>
      <c r="G242" s="617"/>
      <c r="H242" s="617"/>
      <c r="I242" s="617"/>
      <c r="J242" s="617"/>
      <c r="K242" s="1692">
        <f>D242</f>
        <v>0</v>
      </c>
      <c r="L242" s="466">
        <v>0</v>
      </c>
    </row>
    <row r="243" spans="1:12" ht="12.75" customHeight="1" thickBot="1" x14ac:dyDescent="0.25">
      <c r="A243" s="1714" t="s">
        <v>582</v>
      </c>
      <c r="B243" s="1715">
        <v>2200</v>
      </c>
      <c r="C243" s="617"/>
      <c r="D243" s="1690">
        <f>SUM(D240:D242)</f>
        <v>0</v>
      </c>
      <c r="E243" s="617"/>
      <c r="F243" s="617"/>
      <c r="G243" s="617"/>
      <c r="H243" s="617"/>
      <c r="I243" s="617"/>
      <c r="J243" s="617"/>
      <c r="K243" s="1690">
        <f>SUM(K240:K242)</f>
        <v>0</v>
      </c>
      <c r="L243" s="1690">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v>0</v>
      </c>
      <c r="E245" s="617"/>
      <c r="F245" s="617"/>
      <c r="G245" s="617"/>
      <c r="H245" s="617"/>
      <c r="I245" s="617"/>
      <c r="J245" s="617"/>
      <c r="K245" s="1692">
        <f>D245</f>
        <v>0</v>
      </c>
      <c r="L245" s="481">
        <v>0</v>
      </c>
    </row>
    <row r="246" spans="1:12" x14ac:dyDescent="0.2">
      <c r="A246" s="1524" t="s">
        <v>872</v>
      </c>
      <c r="B246" s="615">
        <v>2320</v>
      </c>
      <c r="C246" s="617"/>
      <c r="D246" s="466">
        <v>0</v>
      </c>
      <c r="E246" s="617"/>
      <c r="F246" s="617"/>
      <c r="G246" s="617"/>
      <c r="H246" s="617"/>
      <c r="I246" s="617"/>
      <c r="J246" s="617"/>
      <c r="K246" s="1692">
        <f t="shared" ref="K246:K256" si="21">D246</f>
        <v>0</v>
      </c>
      <c r="L246" s="466">
        <v>0</v>
      </c>
    </row>
    <row r="247" spans="1:12" x14ac:dyDescent="0.2">
      <c r="A247" s="1524" t="s">
        <v>873</v>
      </c>
      <c r="B247" s="615">
        <v>2330</v>
      </c>
      <c r="C247" s="617"/>
      <c r="D247" s="466">
        <v>0</v>
      </c>
      <c r="E247" s="617"/>
      <c r="F247" s="617"/>
      <c r="G247" s="617"/>
      <c r="H247" s="617"/>
      <c r="I247" s="617"/>
      <c r="J247" s="617"/>
      <c r="K247" s="1692">
        <f t="shared" si="21"/>
        <v>0</v>
      </c>
      <c r="L247" s="466">
        <v>0</v>
      </c>
    </row>
    <row r="248" spans="1:12" x14ac:dyDescent="0.2">
      <c r="A248" s="1525" t="s">
        <v>317</v>
      </c>
      <c r="B248" s="603" t="s">
        <v>299</v>
      </c>
      <c r="C248" s="617"/>
      <c r="D248" s="474">
        <v>0</v>
      </c>
      <c r="E248" s="617"/>
      <c r="F248" s="617"/>
      <c r="G248" s="617"/>
      <c r="H248" s="617"/>
      <c r="I248" s="617"/>
      <c r="J248" s="617"/>
      <c r="K248" s="1692">
        <f t="shared" si="21"/>
        <v>0</v>
      </c>
      <c r="L248" s="466">
        <v>0</v>
      </c>
    </row>
    <row r="249" spans="1:12" x14ac:dyDescent="0.2">
      <c r="A249" s="1526" t="s">
        <v>1905</v>
      </c>
      <c r="B249" s="684" t="s">
        <v>300</v>
      </c>
      <c r="C249" s="617"/>
      <c r="D249" s="474">
        <v>0</v>
      </c>
      <c r="E249" s="617"/>
      <c r="F249" s="617"/>
      <c r="G249" s="617"/>
      <c r="H249" s="617"/>
      <c r="I249" s="617"/>
      <c r="J249" s="617"/>
      <c r="K249" s="1692">
        <f t="shared" si="21"/>
        <v>0</v>
      </c>
      <c r="L249" s="466">
        <v>0</v>
      </c>
    </row>
    <row r="250" spans="1:12" x14ac:dyDescent="0.2">
      <c r="A250" s="1525" t="s">
        <v>1906</v>
      </c>
      <c r="B250" s="603" t="s">
        <v>301</v>
      </c>
      <c r="C250" s="617"/>
      <c r="D250" s="474">
        <v>0</v>
      </c>
      <c r="E250" s="617"/>
      <c r="F250" s="617"/>
      <c r="G250" s="617"/>
      <c r="H250" s="617"/>
      <c r="I250" s="617"/>
      <c r="J250" s="617"/>
      <c r="K250" s="1692">
        <f t="shared" si="21"/>
        <v>0</v>
      </c>
      <c r="L250" s="466">
        <v>0</v>
      </c>
    </row>
    <row r="251" spans="1:12" x14ac:dyDescent="0.2">
      <c r="A251" s="1525" t="s">
        <v>256</v>
      </c>
      <c r="B251" s="603" t="s">
        <v>302</v>
      </c>
      <c r="C251" s="617"/>
      <c r="D251" s="474">
        <v>0</v>
      </c>
      <c r="E251" s="617"/>
      <c r="F251" s="617"/>
      <c r="G251" s="617"/>
      <c r="H251" s="617"/>
      <c r="I251" s="617"/>
      <c r="J251" s="617"/>
      <c r="K251" s="1692">
        <f t="shared" si="21"/>
        <v>0</v>
      </c>
      <c r="L251" s="466">
        <v>0</v>
      </c>
    </row>
    <row r="252" spans="1:12" x14ac:dyDescent="0.2">
      <c r="A252" s="1525" t="s">
        <v>726</v>
      </c>
      <c r="B252" s="603" t="s">
        <v>303</v>
      </c>
      <c r="C252" s="617"/>
      <c r="D252" s="474">
        <v>0</v>
      </c>
      <c r="E252" s="617"/>
      <c r="F252" s="617"/>
      <c r="G252" s="617"/>
      <c r="H252" s="617"/>
      <c r="I252" s="617"/>
      <c r="J252" s="617"/>
      <c r="K252" s="1692">
        <f t="shared" si="21"/>
        <v>0</v>
      </c>
      <c r="L252" s="466">
        <v>0</v>
      </c>
    </row>
    <row r="253" spans="1:12" x14ac:dyDescent="0.2">
      <c r="A253" s="1525" t="s">
        <v>257</v>
      </c>
      <c r="B253" s="603" t="s">
        <v>304</v>
      </c>
      <c r="C253" s="617"/>
      <c r="D253" s="474">
        <v>0</v>
      </c>
      <c r="E253" s="617"/>
      <c r="F253" s="617"/>
      <c r="G253" s="617"/>
      <c r="H253" s="617"/>
      <c r="I253" s="617"/>
      <c r="J253" s="617"/>
      <c r="K253" s="1692">
        <f t="shared" si="21"/>
        <v>0</v>
      </c>
      <c r="L253" s="466">
        <v>0</v>
      </c>
    </row>
    <row r="254" spans="1:12" ht="22.5" x14ac:dyDescent="0.2">
      <c r="A254" s="1525" t="s">
        <v>1087</v>
      </c>
      <c r="B254" s="684" t="s">
        <v>305</v>
      </c>
      <c r="C254" s="617"/>
      <c r="D254" s="474">
        <v>0</v>
      </c>
      <c r="E254" s="617"/>
      <c r="F254" s="617"/>
      <c r="G254" s="617"/>
      <c r="H254" s="617"/>
      <c r="I254" s="617"/>
      <c r="J254" s="617"/>
      <c r="K254" s="1692">
        <f t="shared" si="21"/>
        <v>0</v>
      </c>
      <c r="L254" s="466">
        <v>0</v>
      </c>
    </row>
    <row r="255" spans="1:12" x14ac:dyDescent="0.2">
      <c r="A255" s="1525" t="s">
        <v>1088</v>
      </c>
      <c r="B255" s="603" t="s">
        <v>306</v>
      </c>
      <c r="C255" s="617"/>
      <c r="D255" s="474">
        <v>0</v>
      </c>
      <c r="E255" s="617"/>
      <c r="F255" s="617"/>
      <c r="G255" s="617"/>
      <c r="H255" s="617"/>
      <c r="I255" s="617"/>
      <c r="J255" s="617"/>
      <c r="K255" s="1692">
        <f t="shared" si="21"/>
        <v>0</v>
      </c>
      <c r="L255" s="466">
        <v>0</v>
      </c>
    </row>
    <row r="256" spans="1:12" x14ac:dyDescent="0.2">
      <c r="A256" s="1525" t="s">
        <v>1028</v>
      </c>
      <c r="B256" s="615" t="s">
        <v>307</v>
      </c>
      <c r="C256" s="617"/>
      <c r="D256" s="474">
        <v>0</v>
      </c>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0</v>
      </c>
      <c r="E257" s="617"/>
      <c r="F257" s="617"/>
      <c r="G257" s="617"/>
      <c r="H257" s="617"/>
      <c r="I257" s="617"/>
      <c r="J257" s="617"/>
      <c r="K257" s="1690">
        <f>SUM(K245:K256)</f>
        <v>0</v>
      </c>
      <c r="L257" s="1690">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v>0</v>
      </c>
      <c r="E259" s="617"/>
      <c r="F259" s="617"/>
      <c r="G259" s="617"/>
      <c r="H259" s="617"/>
      <c r="I259" s="617"/>
      <c r="J259" s="617"/>
      <c r="K259" s="1692">
        <f>D259</f>
        <v>0</v>
      </c>
      <c r="L259" s="481">
        <v>0</v>
      </c>
    </row>
    <row r="260" spans="1:14" s="598" customFormat="1" x14ac:dyDescent="0.2">
      <c r="A260" s="1542" t="s">
        <v>1904</v>
      </c>
      <c r="B260" s="629">
        <v>2490</v>
      </c>
      <c r="C260" s="617"/>
      <c r="D260" s="466">
        <v>0</v>
      </c>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0</v>
      </c>
      <c r="E261" s="617"/>
      <c r="F261" s="617"/>
      <c r="G261" s="617"/>
      <c r="H261" s="617"/>
      <c r="I261" s="617"/>
      <c r="J261" s="617"/>
      <c r="K261" s="1690">
        <f>SUM(K259:K260)</f>
        <v>0</v>
      </c>
      <c r="L261" s="1690">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v>0</v>
      </c>
      <c r="E263" s="617"/>
      <c r="F263" s="617"/>
      <c r="G263" s="617"/>
      <c r="H263" s="617"/>
      <c r="I263" s="617"/>
      <c r="J263" s="617"/>
      <c r="K263" s="1692">
        <f>D263</f>
        <v>0</v>
      </c>
      <c r="L263" s="481">
        <v>0</v>
      </c>
    </row>
    <row r="264" spans="1:14" x14ac:dyDescent="0.2">
      <c r="A264" s="1524" t="s">
        <v>483</v>
      </c>
      <c r="B264" s="686">
        <v>2520</v>
      </c>
      <c r="C264" s="617"/>
      <c r="D264" s="466">
        <v>0</v>
      </c>
      <c r="E264" s="617"/>
      <c r="F264" s="617"/>
      <c r="G264" s="617"/>
      <c r="H264" s="617"/>
      <c r="I264" s="617"/>
      <c r="J264" s="617"/>
      <c r="K264" s="1692">
        <f t="shared" ref="K264:K269" si="22">D264</f>
        <v>0</v>
      </c>
      <c r="L264" s="466">
        <v>0</v>
      </c>
    </row>
    <row r="265" spans="1:14" x14ac:dyDescent="0.2">
      <c r="A265" s="1524" t="s">
        <v>4</v>
      </c>
      <c r="B265" s="615">
        <v>2530</v>
      </c>
      <c r="C265" s="617"/>
      <c r="D265" s="466">
        <v>0</v>
      </c>
      <c r="E265" s="617"/>
      <c r="F265" s="617"/>
      <c r="G265" s="617"/>
      <c r="H265" s="617"/>
      <c r="I265" s="617"/>
      <c r="J265" s="617"/>
      <c r="K265" s="1692">
        <f t="shared" si="22"/>
        <v>0</v>
      </c>
      <c r="L265" s="466">
        <v>0</v>
      </c>
    </row>
    <row r="266" spans="1:14" x14ac:dyDescent="0.2">
      <c r="A266" s="1524" t="s">
        <v>206</v>
      </c>
      <c r="B266" s="615">
        <v>2540</v>
      </c>
      <c r="C266" s="617"/>
      <c r="D266" s="466">
        <v>0</v>
      </c>
      <c r="E266" s="617"/>
      <c r="F266" s="617"/>
      <c r="G266" s="617"/>
      <c r="H266" s="617"/>
      <c r="I266" s="617"/>
      <c r="J266" s="617"/>
      <c r="K266" s="1692">
        <f t="shared" si="22"/>
        <v>0</v>
      </c>
      <c r="L266" s="466">
        <v>0</v>
      </c>
    </row>
    <row r="267" spans="1:14" x14ac:dyDescent="0.2">
      <c r="A267" s="1524" t="s">
        <v>1010</v>
      </c>
      <c r="B267" s="615">
        <v>2550</v>
      </c>
      <c r="C267" s="617"/>
      <c r="D267" s="466">
        <v>0</v>
      </c>
      <c r="E267" s="617"/>
      <c r="F267" s="617"/>
      <c r="G267" s="617"/>
      <c r="H267" s="617"/>
      <c r="I267" s="617"/>
      <c r="J267" s="617"/>
      <c r="K267" s="1692">
        <f t="shared" si="22"/>
        <v>0</v>
      </c>
      <c r="L267" s="466">
        <v>0</v>
      </c>
    </row>
    <row r="268" spans="1:14" x14ac:dyDescent="0.2">
      <c r="A268" s="1524" t="s">
        <v>102</v>
      </c>
      <c r="B268" s="615">
        <v>2560</v>
      </c>
      <c r="C268" s="617"/>
      <c r="D268" s="466">
        <v>0</v>
      </c>
      <c r="E268" s="617"/>
      <c r="F268" s="617"/>
      <c r="G268" s="617"/>
      <c r="H268" s="617"/>
      <c r="I268" s="617"/>
      <c r="J268" s="617"/>
      <c r="K268" s="1692">
        <f t="shared" si="22"/>
        <v>0</v>
      </c>
      <c r="L268" s="466">
        <v>0</v>
      </c>
    </row>
    <row r="269" spans="1:14" x14ac:dyDescent="0.2">
      <c r="A269" s="1524" t="s">
        <v>103</v>
      </c>
      <c r="B269" s="615">
        <v>2570</v>
      </c>
      <c r="C269" s="617"/>
      <c r="D269" s="466">
        <v>0</v>
      </c>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0</v>
      </c>
      <c r="E270" s="617"/>
      <c r="F270" s="617"/>
      <c r="G270" s="617"/>
      <c r="H270" s="617"/>
      <c r="I270" s="617"/>
      <c r="J270" s="617"/>
      <c r="K270" s="1690">
        <f>SUM(K263:K269)</f>
        <v>0</v>
      </c>
      <c r="L270" s="1690">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v>0</v>
      </c>
      <c r="E272" s="617"/>
      <c r="F272" s="617"/>
      <c r="G272" s="617"/>
      <c r="H272" s="617"/>
      <c r="I272" s="617"/>
      <c r="J272" s="617"/>
      <c r="K272" s="1692">
        <f>D272</f>
        <v>0</v>
      </c>
      <c r="L272" s="481">
        <v>0</v>
      </c>
    </row>
    <row r="273" spans="1:12" x14ac:dyDescent="0.2">
      <c r="A273" s="1524" t="s">
        <v>628</v>
      </c>
      <c r="B273" s="629">
        <v>2620</v>
      </c>
      <c r="C273" s="617"/>
      <c r="D273" s="466">
        <v>0</v>
      </c>
      <c r="E273" s="617"/>
      <c r="F273" s="617"/>
      <c r="G273" s="617"/>
      <c r="H273" s="617"/>
      <c r="I273" s="617"/>
      <c r="J273" s="617"/>
      <c r="K273" s="1692">
        <f>D273</f>
        <v>0</v>
      </c>
      <c r="L273" s="466">
        <v>0</v>
      </c>
    </row>
    <row r="274" spans="1:12" ht="12" customHeight="1" x14ac:dyDescent="0.2">
      <c r="A274" s="1524" t="s">
        <v>1121</v>
      </c>
      <c r="B274" s="615">
        <v>2630</v>
      </c>
      <c r="C274" s="617"/>
      <c r="D274" s="466">
        <v>0</v>
      </c>
      <c r="E274" s="617"/>
      <c r="F274" s="617"/>
      <c r="G274" s="617"/>
      <c r="H274" s="617"/>
      <c r="I274" s="617"/>
      <c r="J274" s="617"/>
      <c r="K274" s="1692">
        <f>D274</f>
        <v>0</v>
      </c>
      <c r="L274" s="466">
        <v>0</v>
      </c>
    </row>
    <row r="275" spans="1:12" x14ac:dyDescent="0.2">
      <c r="A275" s="1524" t="s">
        <v>423</v>
      </c>
      <c r="B275" s="615">
        <v>2640</v>
      </c>
      <c r="C275" s="617"/>
      <c r="D275" s="466">
        <v>0</v>
      </c>
      <c r="E275" s="617"/>
      <c r="F275" s="617"/>
      <c r="G275" s="617"/>
      <c r="H275" s="617"/>
      <c r="I275" s="617"/>
      <c r="J275" s="617"/>
      <c r="K275" s="1692">
        <f>D275</f>
        <v>0</v>
      </c>
      <c r="L275" s="466">
        <v>0</v>
      </c>
    </row>
    <row r="276" spans="1:12" x14ac:dyDescent="0.2">
      <c r="A276" s="1524" t="s">
        <v>424</v>
      </c>
      <c r="B276" s="615">
        <v>2660</v>
      </c>
      <c r="C276" s="617"/>
      <c r="D276" s="466">
        <v>0</v>
      </c>
      <c r="E276" s="617"/>
      <c r="F276" s="617"/>
      <c r="G276" s="617"/>
      <c r="H276" s="617"/>
      <c r="I276" s="617"/>
      <c r="J276" s="617"/>
      <c r="K276" s="1692">
        <f>D276</f>
        <v>0</v>
      </c>
      <c r="L276" s="466">
        <v>0</v>
      </c>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0" t="s">
        <v>1037</v>
      </c>
      <c r="B278" s="656" t="s">
        <v>595</v>
      </c>
      <c r="C278" s="617"/>
      <c r="D278" s="657">
        <v>0</v>
      </c>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0</v>
      </c>
      <c r="E279" s="617"/>
      <c r="F279" s="617"/>
      <c r="G279" s="617"/>
      <c r="H279" s="617"/>
      <c r="I279" s="617"/>
      <c r="J279" s="617"/>
      <c r="K279" s="1697">
        <f>SUM(K238,K243,K257,K261,K270,K277,K278)</f>
        <v>0</v>
      </c>
      <c r="L279" s="1697">
        <f>SUM(L238,L243,L257,L261,L270,L277,L278)</f>
        <v>0</v>
      </c>
    </row>
    <row r="280" spans="1:12" ht="15.75" customHeight="1" thickTop="1" thickBot="1" x14ac:dyDescent="0.25">
      <c r="A280" s="1644" t="s">
        <v>930</v>
      </c>
      <c r="B280" s="1633">
        <v>3000</v>
      </c>
      <c r="C280" s="617"/>
      <c r="D280" s="576">
        <v>0</v>
      </c>
      <c r="E280" s="617"/>
      <c r="F280" s="617"/>
      <c r="G280" s="617"/>
      <c r="H280" s="617"/>
      <c r="I280" s="617"/>
      <c r="J280" s="617"/>
      <c r="K280" s="1699">
        <f>D280</f>
        <v>0</v>
      </c>
      <c r="L280" s="576">
        <v>0</v>
      </c>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51" t="s">
        <v>517</v>
      </c>
      <c r="B282" s="691" t="s">
        <v>1954</v>
      </c>
      <c r="C282" s="617"/>
      <c r="D282" s="467">
        <v>0</v>
      </c>
      <c r="E282" s="617"/>
      <c r="F282" s="617"/>
      <c r="G282" s="617"/>
      <c r="H282" s="617"/>
      <c r="I282" s="617"/>
      <c r="J282" s="617"/>
      <c r="K282" s="1691">
        <f>D282</f>
        <v>0</v>
      </c>
      <c r="L282" s="467">
        <v>0</v>
      </c>
    </row>
    <row r="283" spans="1:12" x14ac:dyDescent="0.2">
      <c r="A283" s="1524" t="s">
        <v>322</v>
      </c>
      <c r="B283" s="615">
        <v>4120</v>
      </c>
      <c r="C283" s="617"/>
      <c r="D283" s="466">
        <v>0</v>
      </c>
      <c r="E283" s="617"/>
      <c r="F283" s="617"/>
      <c r="G283" s="617"/>
      <c r="H283" s="617"/>
      <c r="I283" s="617"/>
      <c r="J283" s="617"/>
      <c r="K283" s="1691">
        <f>D283</f>
        <v>0</v>
      </c>
      <c r="L283" s="466">
        <v>0</v>
      </c>
    </row>
    <row r="284" spans="1:12" x14ac:dyDescent="0.2">
      <c r="A284" s="1524" t="s">
        <v>721</v>
      </c>
      <c r="B284" s="615">
        <v>4140</v>
      </c>
      <c r="C284" s="617"/>
      <c r="D284" s="467">
        <v>0</v>
      </c>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v>0</v>
      </c>
      <c r="I288" s="617"/>
      <c r="J288" s="617"/>
      <c r="K288" s="1691">
        <f>H288</f>
        <v>0</v>
      </c>
      <c r="L288" s="466">
        <v>0</v>
      </c>
    </row>
    <row r="289" spans="1:14" x14ac:dyDescent="0.2">
      <c r="A289" s="1524" t="s">
        <v>90</v>
      </c>
      <c r="B289" s="615">
        <v>5120</v>
      </c>
      <c r="C289" s="617"/>
      <c r="D289" s="617"/>
      <c r="E289" s="617"/>
      <c r="F289" s="617"/>
      <c r="G289" s="617"/>
      <c r="H289" s="466">
        <v>0</v>
      </c>
      <c r="I289" s="617"/>
      <c r="J289" s="617"/>
      <c r="K289" s="1691">
        <f>H289</f>
        <v>0</v>
      </c>
      <c r="L289" s="466">
        <v>0</v>
      </c>
    </row>
    <row r="290" spans="1:14" ht="12.75" customHeight="1" x14ac:dyDescent="0.2">
      <c r="A290" s="1524" t="s">
        <v>1232</v>
      </c>
      <c r="B290" s="629" t="s">
        <v>638</v>
      </c>
      <c r="C290" s="617"/>
      <c r="D290" s="617"/>
      <c r="E290" s="617"/>
      <c r="F290" s="617"/>
      <c r="G290" s="617"/>
      <c r="H290" s="466">
        <v>0</v>
      </c>
      <c r="I290" s="617"/>
      <c r="J290" s="617"/>
      <c r="K290" s="1691">
        <f>H290</f>
        <v>0</v>
      </c>
      <c r="L290" s="466">
        <v>0</v>
      </c>
    </row>
    <row r="291" spans="1:14" x14ac:dyDescent="0.2">
      <c r="A291" s="1524" t="s">
        <v>91</v>
      </c>
      <c r="B291" s="615" t="s">
        <v>610</v>
      </c>
      <c r="C291" s="617"/>
      <c r="D291" s="617"/>
      <c r="E291" s="617"/>
      <c r="F291" s="617"/>
      <c r="G291" s="617"/>
      <c r="H291" s="466">
        <v>0</v>
      </c>
      <c r="I291" s="617"/>
      <c r="J291" s="617"/>
      <c r="K291" s="1691">
        <f>H291</f>
        <v>0</v>
      </c>
      <c r="L291" s="466">
        <v>0</v>
      </c>
    </row>
    <row r="292" spans="1:14" x14ac:dyDescent="0.2">
      <c r="A292" s="1524" t="s">
        <v>786</v>
      </c>
      <c r="B292" s="615" t="s">
        <v>639</v>
      </c>
      <c r="C292" s="617"/>
      <c r="D292" s="617"/>
      <c r="E292" s="617"/>
      <c r="F292" s="617"/>
      <c r="G292" s="617"/>
      <c r="H292" s="466">
        <v>0</v>
      </c>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v>0</v>
      </c>
    </row>
    <row r="295" spans="1:14" ht="12.75" customHeight="1" thickTop="1" thickBot="1" x14ac:dyDescent="0.25">
      <c r="A295" s="2188" t="s">
        <v>526</v>
      </c>
      <c r="B295" s="2189"/>
      <c r="C295" s="617"/>
      <c r="D295" s="1690">
        <f>SUM(D229,D279,D280,D285)</f>
        <v>0</v>
      </c>
      <c r="E295" s="617"/>
      <c r="F295" s="617"/>
      <c r="G295" s="617"/>
      <c r="H295" s="1690">
        <f>H293</f>
        <v>0</v>
      </c>
      <c r="I295" s="617"/>
      <c r="J295" s="617"/>
      <c r="K295" s="1690">
        <f>SUM(K229,K279,K280,K285,K293,K294)</f>
        <v>0</v>
      </c>
      <c r="L295" s="1690">
        <f>SUM(L229,L279,L280,L285,L293,L294)</f>
        <v>0</v>
      </c>
    </row>
    <row r="296" spans="1:14" ht="13.5" thickTop="1" x14ac:dyDescent="0.2">
      <c r="A296" s="2197" t="s">
        <v>1053</v>
      </c>
      <c r="B296" s="2198"/>
      <c r="C296" s="617"/>
      <c r="D296" s="619"/>
      <c r="E296" s="617"/>
      <c r="F296" s="617"/>
      <c r="G296" s="617"/>
      <c r="H296" s="688"/>
      <c r="I296" s="617"/>
      <c r="J296" s="617"/>
      <c r="K296" s="1704">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5"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1959</v>
      </c>
      <c r="B306" s="691" t="s">
        <v>1954</v>
      </c>
      <c r="C306" s="617"/>
      <c r="D306" s="617"/>
      <c r="E306" s="467">
        <v>0</v>
      </c>
      <c r="F306" s="617"/>
      <c r="G306" s="617"/>
      <c r="H306" s="467">
        <v>0</v>
      </c>
      <c r="I306" s="617"/>
      <c r="J306" s="617"/>
      <c r="K306" s="1691">
        <f>SUM(E306,H306)</f>
        <v>0</v>
      </c>
      <c r="L306" s="467">
        <v>0</v>
      </c>
    </row>
    <row r="307" spans="1:14" x14ac:dyDescent="0.2">
      <c r="A307" s="1524" t="s">
        <v>322</v>
      </c>
      <c r="B307" s="615">
        <v>4120</v>
      </c>
      <c r="C307" s="617"/>
      <c r="D307" s="617"/>
      <c r="E307" s="467">
        <v>0</v>
      </c>
      <c r="F307" s="617"/>
      <c r="G307" s="617"/>
      <c r="H307" s="467">
        <v>0</v>
      </c>
      <c r="I307" s="477"/>
      <c r="J307" s="617"/>
      <c r="K307" s="1691">
        <f>SUM(E307,H307)</f>
        <v>0</v>
      </c>
      <c r="L307" s="466">
        <v>0</v>
      </c>
    </row>
    <row r="308" spans="1:14" x14ac:dyDescent="0.2">
      <c r="A308" s="1524" t="s">
        <v>721</v>
      </c>
      <c r="B308" s="615">
        <v>4140</v>
      </c>
      <c r="C308" s="617"/>
      <c r="D308" s="617"/>
      <c r="E308" s="467">
        <v>0</v>
      </c>
      <c r="F308" s="617"/>
      <c r="G308" s="617"/>
      <c r="H308" s="467">
        <v>0</v>
      </c>
      <c r="I308" s="477"/>
      <c r="J308" s="617"/>
      <c r="K308" s="1691">
        <f>SUM(E308,H308)</f>
        <v>0</v>
      </c>
      <c r="L308" s="466">
        <v>0</v>
      </c>
    </row>
    <row r="309" spans="1:14" ht="12.75" customHeight="1" x14ac:dyDescent="0.2">
      <c r="A309" s="1528" t="s">
        <v>722</v>
      </c>
      <c r="B309" s="629">
        <v>4190</v>
      </c>
      <c r="C309" s="617"/>
      <c r="D309" s="617"/>
      <c r="E309" s="467">
        <v>0</v>
      </c>
      <c r="F309" s="617"/>
      <c r="G309" s="617"/>
      <c r="H309" s="467">
        <v>0</v>
      </c>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v>0</v>
      </c>
    </row>
    <row r="312" spans="1:14" s="675" customFormat="1" ht="12.75" customHeight="1" thickTop="1" thickBot="1" x14ac:dyDescent="0.25">
      <c r="A312" s="2185" t="s">
        <v>295</v>
      </c>
      <c r="B312" s="2186"/>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181" t="s">
        <v>1053</v>
      </c>
      <c r="B313" s="2182"/>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v>0</v>
      </c>
      <c r="D319" s="467">
        <v>0</v>
      </c>
      <c r="E319" s="467">
        <v>0</v>
      </c>
      <c r="F319" s="467">
        <v>0</v>
      </c>
      <c r="G319" s="467">
        <v>0</v>
      </c>
      <c r="H319" s="467">
        <v>0</v>
      </c>
      <c r="I319" s="467">
        <v>0</v>
      </c>
      <c r="J319" s="467">
        <v>0</v>
      </c>
      <c r="K319" s="1691">
        <f>SUM(C319:J319)</f>
        <v>0</v>
      </c>
      <c r="L319" s="467">
        <v>0</v>
      </c>
      <c r="M319" s="666"/>
      <c r="N319" s="666"/>
    </row>
    <row r="320" spans="1:14" s="675" customFormat="1" x14ac:dyDescent="0.2">
      <c r="A320" s="1543" t="s">
        <v>1905</v>
      </c>
      <c r="B320" s="699" t="s">
        <v>300</v>
      </c>
      <c r="C320" s="467">
        <v>0</v>
      </c>
      <c r="D320" s="467">
        <v>0</v>
      </c>
      <c r="E320" s="467">
        <v>0</v>
      </c>
      <c r="F320" s="467">
        <v>0</v>
      </c>
      <c r="G320" s="467">
        <v>0</v>
      </c>
      <c r="H320" s="467">
        <v>0</v>
      </c>
      <c r="I320" s="467">
        <v>0</v>
      </c>
      <c r="J320" s="467">
        <v>0</v>
      </c>
      <c r="K320" s="1691">
        <f t="shared" ref="K320:K327" si="24">SUM(C320:J320)</f>
        <v>0</v>
      </c>
      <c r="L320" s="467">
        <v>0</v>
      </c>
      <c r="M320" s="666"/>
      <c r="N320" s="666"/>
    </row>
    <row r="321" spans="1:14" s="675" customFormat="1" x14ac:dyDescent="0.2">
      <c r="A321" s="1539" t="s">
        <v>318</v>
      </c>
      <c r="B321" s="698" t="s">
        <v>301</v>
      </c>
      <c r="C321" s="467">
        <v>0</v>
      </c>
      <c r="D321" s="467">
        <v>0</v>
      </c>
      <c r="E321" s="467">
        <v>0</v>
      </c>
      <c r="F321" s="467">
        <v>0</v>
      </c>
      <c r="G321" s="467">
        <v>0</v>
      </c>
      <c r="H321" s="467">
        <v>0</v>
      </c>
      <c r="I321" s="467">
        <v>0</v>
      </c>
      <c r="J321" s="467">
        <v>0</v>
      </c>
      <c r="K321" s="1691">
        <f t="shared" si="24"/>
        <v>0</v>
      </c>
      <c r="L321" s="467">
        <v>0</v>
      </c>
      <c r="M321" s="666"/>
      <c r="N321" s="666"/>
    </row>
    <row r="322" spans="1:14" s="675" customFormat="1" x14ac:dyDescent="0.2">
      <c r="A322" s="1539" t="s">
        <v>256</v>
      </c>
      <c r="B322" s="698" t="s">
        <v>302</v>
      </c>
      <c r="C322" s="467">
        <v>0</v>
      </c>
      <c r="D322" s="467">
        <v>0</v>
      </c>
      <c r="E322" s="467">
        <v>0</v>
      </c>
      <c r="F322" s="467">
        <v>0</v>
      </c>
      <c r="G322" s="467">
        <v>0</v>
      </c>
      <c r="H322" s="467">
        <v>0</v>
      </c>
      <c r="I322" s="467">
        <v>0</v>
      </c>
      <c r="J322" s="467">
        <v>0</v>
      </c>
      <c r="K322" s="1691">
        <f t="shared" si="24"/>
        <v>0</v>
      </c>
      <c r="L322" s="467">
        <v>0</v>
      </c>
      <c r="M322" s="666"/>
      <c r="N322" s="666"/>
    </row>
    <row r="323" spans="1:14" s="675" customFormat="1" x14ac:dyDescent="0.2">
      <c r="A323" s="1539" t="s">
        <v>726</v>
      </c>
      <c r="B323" s="698" t="s">
        <v>303</v>
      </c>
      <c r="C323" s="467">
        <v>0</v>
      </c>
      <c r="D323" s="467">
        <v>0</v>
      </c>
      <c r="E323" s="467">
        <v>0</v>
      </c>
      <c r="F323" s="467">
        <v>0</v>
      </c>
      <c r="G323" s="467">
        <v>0</v>
      </c>
      <c r="H323" s="467">
        <v>0</v>
      </c>
      <c r="I323" s="467">
        <v>0</v>
      </c>
      <c r="J323" s="467">
        <v>0</v>
      </c>
      <c r="K323" s="1691">
        <f t="shared" si="24"/>
        <v>0</v>
      </c>
      <c r="L323" s="467">
        <v>0</v>
      </c>
      <c r="M323" s="666"/>
      <c r="N323" s="666"/>
    </row>
    <row r="324" spans="1:14" s="675" customFormat="1" x14ac:dyDescent="0.2">
      <c r="A324" s="1539" t="s">
        <v>257</v>
      </c>
      <c r="B324" s="698" t="s">
        <v>304</v>
      </c>
      <c r="C324" s="467">
        <v>0</v>
      </c>
      <c r="D324" s="467">
        <v>0</v>
      </c>
      <c r="E324" s="467">
        <v>0</v>
      </c>
      <c r="F324" s="467">
        <v>0</v>
      </c>
      <c r="G324" s="467">
        <v>0</v>
      </c>
      <c r="H324" s="467">
        <v>0</v>
      </c>
      <c r="I324" s="467">
        <v>0</v>
      </c>
      <c r="J324" s="467">
        <v>0</v>
      </c>
      <c r="K324" s="1691">
        <f t="shared" si="24"/>
        <v>0</v>
      </c>
      <c r="L324" s="467">
        <v>0</v>
      </c>
      <c r="M324" s="666"/>
      <c r="N324" s="666"/>
    </row>
    <row r="325" spans="1:14" s="675" customFormat="1" ht="22.5" x14ac:dyDescent="0.2">
      <c r="A325" s="1539" t="s">
        <v>1087</v>
      </c>
      <c r="B325" s="699" t="s">
        <v>305</v>
      </c>
      <c r="C325" s="467">
        <v>0</v>
      </c>
      <c r="D325" s="467">
        <v>0</v>
      </c>
      <c r="E325" s="467">
        <v>0</v>
      </c>
      <c r="F325" s="467">
        <v>0</v>
      </c>
      <c r="G325" s="467">
        <v>0</v>
      </c>
      <c r="H325" s="467">
        <v>0</v>
      </c>
      <c r="I325" s="467">
        <v>0</v>
      </c>
      <c r="J325" s="467">
        <v>0</v>
      </c>
      <c r="K325" s="1691">
        <f t="shared" si="24"/>
        <v>0</v>
      </c>
      <c r="L325" s="467">
        <v>0</v>
      </c>
      <c r="M325" s="666"/>
      <c r="N325" s="666"/>
    </row>
    <row r="326" spans="1:14" s="675" customFormat="1" x14ac:dyDescent="0.2">
      <c r="A326" s="1539" t="s">
        <v>1088</v>
      </c>
      <c r="B326" s="698" t="s">
        <v>306</v>
      </c>
      <c r="C326" s="467">
        <v>0</v>
      </c>
      <c r="D326" s="467">
        <v>0</v>
      </c>
      <c r="E326" s="467">
        <v>0</v>
      </c>
      <c r="F326" s="467">
        <v>0</v>
      </c>
      <c r="G326" s="467">
        <v>0</v>
      </c>
      <c r="H326" s="467">
        <v>0</v>
      </c>
      <c r="I326" s="467">
        <v>0</v>
      </c>
      <c r="J326" s="467">
        <v>0</v>
      </c>
      <c r="K326" s="1691">
        <f t="shared" si="24"/>
        <v>0</v>
      </c>
      <c r="L326" s="467">
        <v>0</v>
      </c>
      <c r="M326" s="666"/>
      <c r="N326" s="666"/>
    </row>
    <row r="327" spans="1:14" s="675" customFormat="1" x14ac:dyDescent="0.2">
      <c r="A327" s="1539" t="s">
        <v>1028</v>
      </c>
      <c r="B327" s="698" t="s">
        <v>307</v>
      </c>
      <c r="C327" s="467">
        <v>0</v>
      </c>
      <c r="D327" s="467">
        <v>0</v>
      </c>
      <c r="E327" s="467">
        <v>0</v>
      </c>
      <c r="F327" s="467">
        <v>0</v>
      </c>
      <c r="G327" s="467">
        <v>0</v>
      </c>
      <c r="H327" s="467">
        <v>0</v>
      </c>
      <c r="I327" s="467">
        <v>0</v>
      </c>
      <c r="J327" s="467">
        <v>0</v>
      </c>
      <c r="K327" s="1691">
        <f t="shared" si="24"/>
        <v>0</v>
      </c>
      <c r="L327" s="467">
        <v>0</v>
      </c>
      <c r="M327" s="666"/>
      <c r="N327" s="666"/>
    </row>
    <row r="328" spans="1:14" s="675" customFormat="1" x14ac:dyDescent="0.2">
      <c r="A328" s="1540" t="s">
        <v>492</v>
      </c>
      <c r="B328" s="691" t="s">
        <v>1194</v>
      </c>
      <c r="C328" s="474">
        <v>0</v>
      </c>
      <c r="D328" s="474">
        <v>0</v>
      </c>
      <c r="E328" s="474">
        <v>0</v>
      </c>
      <c r="F328" s="474">
        <v>0</v>
      </c>
      <c r="G328" s="474">
        <v>0</v>
      </c>
      <c r="H328" s="474">
        <v>0</v>
      </c>
      <c r="I328" s="474">
        <v>0</v>
      </c>
      <c r="J328" s="474">
        <v>0</v>
      </c>
      <c r="K328" s="1719">
        <f>SUM(C328:J328)</f>
        <v>0</v>
      </c>
      <c r="L328" s="474">
        <v>0</v>
      </c>
      <c r="M328" s="666"/>
      <c r="N328" s="666"/>
    </row>
    <row r="329" spans="1:14" s="675" customFormat="1" x14ac:dyDescent="0.2">
      <c r="A329" s="1540" t="s">
        <v>1195</v>
      </c>
      <c r="B329" s="691" t="s">
        <v>1196</v>
      </c>
      <c r="C329" s="474">
        <v>0</v>
      </c>
      <c r="D329" s="474">
        <v>0</v>
      </c>
      <c r="E329" s="474">
        <v>0</v>
      </c>
      <c r="F329" s="474">
        <v>0</v>
      </c>
      <c r="G329" s="474">
        <v>0</v>
      </c>
      <c r="H329" s="474">
        <v>0</v>
      </c>
      <c r="I329" s="474">
        <v>0</v>
      </c>
      <c r="J329" s="474">
        <v>0</v>
      </c>
      <c r="K329" s="1719">
        <f>SUM(C329:J329)</f>
        <v>0</v>
      </c>
      <c r="L329" s="474">
        <v>0</v>
      </c>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6"/>
      <c r="N330" s="666"/>
    </row>
    <row r="331" spans="1:14" s="675" customFormat="1" ht="12.75" customHeight="1" thickTop="1" x14ac:dyDescent="0.2">
      <c r="A331" s="1852" t="s">
        <v>1960</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1954</v>
      </c>
      <c r="C332" s="1854"/>
      <c r="D332" s="1854"/>
      <c r="E332" s="1854"/>
      <c r="F332" s="1854"/>
      <c r="G332" s="1854"/>
      <c r="H332" s="467">
        <v>0</v>
      </c>
      <c r="I332" s="1854"/>
      <c r="J332" s="1854"/>
      <c r="K332" s="1691">
        <f>H332</f>
        <v>0</v>
      </c>
      <c r="L332" s="467">
        <v>0</v>
      </c>
      <c r="M332" s="666"/>
      <c r="N332" s="666"/>
    </row>
    <row r="333" spans="1:14" s="675" customFormat="1" ht="12.75" customHeight="1" x14ac:dyDescent="0.2">
      <c r="A333" s="1853" t="s">
        <v>322</v>
      </c>
      <c r="B333" s="1848" t="s">
        <v>1956</v>
      </c>
      <c r="C333" s="1854"/>
      <c r="D333" s="1854"/>
      <c r="E333" s="1854"/>
      <c r="F333" s="1854"/>
      <c r="G333" s="1854"/>
      <c r="H333" s="467">
        <v>0</v>
      </c>
      <c r="I333" s="1854"/>
      <c r="J333" s="1854"/>
      <c r="K333" s="1691">
        <f>H333</f>
        <v>0</v>
      </c>
      <c r="L333" s="467">
        <v>0</v>
      </c>
      <c r="M333" s="666"/>
      <c r="N333" s="666"/>
    </row>
    <row r="334" spans="1:14" s="675"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v>0</v>
      </c>
      <c r="I337" s="639"/>
      <c r="J337" s="639"/>
      <c r="K337" s="1691">
        <f>H337</f>
        <v>0</v>
      </c>
      <c r="L337" s="478">
        <v>0</v>
      </c>
    </row>
    <row r="338" spans="1:14" ht="12.75" customHeight="1" x14ac:dyDescent="0.2">
      <c r="A338" s="1538" t="s">
        <v>1232</v>
      </c>
      <c r="B338" s="691" t="s">
        <v>638</v>
      </c>
      <c r="C338" s="639"/>
      <c r="D338" s="639"/>
      <c r="E338" s="639"/>
      <c r="F338" s="639"/>
      <c r="G338" s="639"/>
      <c r="H338" s="478">
        <v>0</v>
      </c>
      <c r="I338" s="639"/>
      <c r="J338" s="639"/>
      <c r="K338" s="1691">
        <f>H338</f>
        <v>0</v>
      </c>
      <c r="L338" s="478">
        <v>0</v>
      </c>
    </row>
    <row r="339" spans="1:14" x14ac:dyDescent="0.2">
      <c r="A339" s="1524" t="s">
        <v>957</v>
      </c>
      <c r="B339" s="629">
        <v>5150</v>
      </c>
      <c r="C339" s="639"/>
      <c r="D339" s="639"/>
      <c r="E339" s="639"/>
      <c r="F339" s="639"/>
      <c r="G339" s="639"/>
      <c r="H339" s="467">
        <v>0</v>
      </c>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183" t="s">
        <v>1053</v>
      </c>
      <c r="B343" s="2184"/>
      <c r="C343" s="617"/>
      <c r="D343" s="617"/>
      <c r="E343" s="617"/>
      <c r="F343" s="617"/>
      <c r="G343" s="617"/>
      <c r="H343" s="617"/>
      <c r="I343" s="617"/>
      <c r="J343" s="617"/>
      <c r="K343" s="1704">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5">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5" t="s">
        <v>1962</v>
      </c>
      <c r="B354" s="684" t="s">
        <v>1954</v>
      </c>
      <c r="C354" s="617"/>
      <c r="D354" s="617"/>
      <c r="E354" s="617"/>
      <c r="F354" s="617"/>
      <c r="G354" s="617"/>
      <c r="H354" s="474">
        <v>0</v>
      </c>
      <c r="I354" s="702"/>
      <c r="J354" s="617"/>
      <c r="K354" s="1719">
        <f>H354</f>
        <v>0</v>
      </c>
      <c r="L354" s="471">
        <v>0</v>
      </c>
    </row>
    <row r="355" spans="1:14" ht="12.75" customHeight="1" x14ac:dyDescent="0.2">
      <c r="A355" s="1533" t="s">
        <v>1963</v>
      </c>
      <c r="B355" s="691" t="s">
        <v>1956</v>
      </c>
      <c r="C355" s="617"/>
      <c r="D355" s="617"/>
      <c r="E355" s="617"/>
      <c r="F355" s="617"/>
      <c r="G355" s="617"/>
      <c r="H355" s="467">
        <v>0</v>
      </c>
      <c r="I355" s="702"/>
      <c r="J355" s="617"/>
      <c r="K355" s="1763">
        <f>H355</f>
        <v>0</v>
      </c>
      <c r="L355" s="467">
        <v>0</v>
      </c>
    </row>
    <row r="356" spans="1:14" ht="12.75" customHeight="1" x14ac:dyDescent="0.2">
      <c r="A356" s="1855" t="s">
        <v>722</v>
      </c>
      <c r="B356" s="684" t="s">
        <v>579</v>
      </c>
      <c r="C356" s="617"/>
      <c r="D356" s="617"/>
      <c r="E356" s="617"/>
      <c r="F356" s="617"/>
      <c r="G356" s="617"/>
      <c r="H356" s="479">
        <v>0</v>
      </c>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v>0</v>
      </c>
      <c r="I360" s="617"/>
      <c r="J360" s="617"/>
      <c r="K360" s="1691">
        <f>SUM(C360:J360)</f>
        <v>0</v>
      </c>
      <c r="L360" s="466">
        <v>0</v>
      </c>
    </row>
    <row r="361" spans="1:14" ht="12.75" customHeight="1" x14ac:dyDescent="0.2">
      <c r="A361" s="1525" t="s">
        <v>640</v>
      </c>
      <c r="B361" s="603" t="s">
        <v>639</v>
      </c>
      <c r="C361" s="617"/>
      <c r="D361" s="617"/>
      <c r="E361" s="617"/>
      <c r="F361" s="617"/>
      <c r="G361" s="617"/>
      <c r="H361" s="467">
        <v>0</v>
      </c>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v>0</v>
      </c>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1">
        <f>SUM(C364:J364)</f>
        <v>0</v>
      </c>
      <c r="L364" s="708">
        <v>0</v>
      </c>
    </row>
    <row r="365" spans="1:14" s="675" customFormat="1" ht="12.75" customHeight="1" thickBot="1" x14ac:dyDescent="0.25">
      <c r="A365" s="1541"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97" t="s">
        <v>1053</v>
      </c>
      <c r="B368" s="2198"/>
      <c r="C368" s="655"/>
      <c r="D368" s="655"/>
      <c r="E368" s="627"/>
      <c r="F368" s="627"/>
      <c r="G368" s="627"/>
      <c r="H368" s="627"/>
      <c r="I368" s="627"/>
      <c r="J368" s="624"/>
      <c r="K368" s="1691">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www.w3.org/XML/1998/namespace"/>
    <ds:schemaRef ds:uri="6ce3111e-7420-4802-b50a-75d4e9a0b980"/>
    <ds:schemaRef ds:uri="http://schemas.openxmlformats.org/package/2006/metadata/core-properties"/>
    <ds:schemaRef ds:uri="http://schemas.microsoft.com/sharepoint/v3"/>
    <ds:schemaRef ds:uri="http://schemas.microsoft.com/office/infopath/2007/PartnerControls"/>
    <ds:schemaRef ds:uri="d21dc803-237d-4c68-8692-8d731fd29118"/>
    <ds:schemaRef ds:uri="http://schemas.microsoft.com/office/2006/metadata/properties"/>
    <ds:schemaRef ds:uri="4d435f69-8686-490b-bd6d-b153bf22ab50"/>
    <ds:schemaRef ds:uri="http://purl.org/dc/terms/"/>
    <ds:schemaRef ds:uri="http://purl.org/dc/elements/1.1/"/>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2018-12-17T16:45:54Z</cp:lastPrinted>
  <dcterms:created xsi:type="dcterms:W3CDTF">2003-10-29T19:06:34Z</dcterms:created>
  <dcterms:modified xsi:type="dcterms:W3CDTF">2019-01-09T22:07:50Z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