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15">'ICR Computation 30'!$A$1:$G$45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174"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H137" i="29" l="1"/>
  <c r="L285" i="29"/>
  <c r="D17" i="171"/>
  <c r="L357" i="29"/>
  <c r="D285" i="29"/>
  <c r="L137" i="29"/>
  <c r="H357" i="29"/>
  <c r="K356" i="29"/>
  <c r="K357" i="29" s="1"/>
  <c r="K15" i="4" s="1"/>
  <c r="E137" i="29"/>
  <c r="E139" i="29" s="1"/>
  <c r="D12" i="171"/>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D7761" i="106" s="1"/>
  <c r="L127" i="29"/>
  <c r="L129" i="29" s="1"/>
  <c r="L139" i="29"/>
  <c r="L149" i="29"/>
  <c r="I7" i="145"/>
  <c r="I6" i="145"/>
  <c r="D82" i="36"/>
  <c r="D78" i="36"/>
  <c r="K75" i="29"/>
  <c r="F52" i="34" s="1"/>
  <c r="K130" i="29"/>
  <c r="F56" i="34" s="1"/>
  <c r="K185" i="29"/>
  <c r="F62" i="34" s="1"/>
  <c r="K122" i="29"/>
  <c r="F15" i="145" s="1"/>
  <c r="F19" i="145" s="1"/>
  <c r="K67" i="29"/>
  <c r="K64" i="29"/>
  <c r="K59" i="29"/>
  <c r="E7" i="108" s="1"/>
  <c r="B2854" i="106" s="1"/>
  <c r="D2854" i="106"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K62" i="29"/>
  <c r="B1129" i="106" s="1"/>
  <c r="D1129" i="106" s="1"/>
  <c r="K63" i="29"/>
  <c r="B1130" i="106" s="1"/>
  <c r="D1130" i="106" s="1"/>
  <c r="D1132" i="106"/>
  <c r="K68" i="29"/>
  <c r="E34" i="108" s="1"/>
  <c r="K69" i="29"/>
  <c r="B1136" i="106" s="1"/>
  <c r="D1136" i="106" s="1"/>
  <c r="K70" i="29"/>
  <c r="B1137" i="106" s="1"/>
  <c r="D1137" i="106" s="1"/>
  <c r="D1138" i="106"/>
  <c r="K71" i="29"/>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5" i="106"/>
  <c r="D2855" i="106" s="1"/>
  <c r="B2856" i="106"/>
  <c r="D2856" i="106" s="1"/>
  <c r="D2857" i="106"/>
  <c r="B2858" i="106"/>
  <c r="D2858" i="106" s="1"/>
  <c r="D2859" i="106"/>
  <c r="D2861"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E27" i="108"/>
  <c r="F27" i="108"/>
  <c r="G27" i="108"/>
  <c r="F31" i="108"/>
  <c r="E30" i="108"/>
  <c r="G30" i="108"/>
  <c r="D31" i="108"/>
  <c r="E31" i="108"/>
  <c r="G31" i="108"/>
  <c r="E33" i="108"/>
  <c r="G33" i="108"/>
  <c r="E35" i="108"/>
  <c r="G35" i="108"/>
  <c r="E36" i="108"/>
  <c r="G36"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B2633" i="106"/>
  <c r="D2633" i="106" s="1"/>
  <c r="D7" i="118"/>
  <c r="D8" i="118"/>
  <c r="D9" i="118"/>
  <c r="H14" i="118"/>
  <c r="H19" i="118"/>
  <c r="H24" i="118"/>
  <c r="L22" i="37"/>
  <c r="L5" i="11"/>
  <c r="B2056" i="106" s="1"/>
  <c r="D2056" i="106" s="1"/>
  <c r="B2836" i="106" l="1"/>
  <c r="D2836" i="106" s="1"/>
  <c r="B6995" i="106"/>
  <c r="D6995" i="106" s="1"/>
  <c r="F26" i="108"/>
  <c r="D26" i="108"/>
  <c r="F38" i="34"/>
  <c r="B1746" i="106"/>
  <c r="D1746" i="106" s="1"/>
  <c r="E15" i="145"/>
  <c r="G15" i="145" s="1"/>
  <c r="F64" i="34"/>
  <c r="F69" i="34"/>
  <c r="D36" i="108"/>
  <c r="B1139" i="106"/>
  <c r="D1139" i="106" s="1"/>
  <c r="F37" i="108"/>
  <c r="B1128" i="106"/>
  <c r="D1128" i="106" s="1"/>
  <c r="E9" i="108"/>
  <c r="B2029" i="106"/>
  <c r="D2029" i="106" s="1"/>
  <c r="H342" i="29"/>
  <c r="B7221" i="106" s="1"/>
  <c r="D7221" i="106" s="1"/>
  <c r="D6103" i="106"/>
  <c r="F41" i="34"/>
  <c r="F49" i="34"/>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D14" i="4"/>
  <c r="B2570" i="106" s="1"/>
  <c r="D2570" i="106" s="1"/>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730" i="106"/>
  <c r="D7730" i="106" s="1"/>
  <c r="B7270" i="106"/>
  <c r="B1266" i="106" l="1"/>
  <c r="D1266" i="106" s="1"/>
  <c r="D37" i="108"/>
  <c r="D41" i="108" s="1"/>
  <c r="E43" i="108" s="1"/>
  <c r="B2862" i="106"/>
  <c r="D2862" i="106" s="1"/>
  <c r="G28" i="108"/>
  <c r="B2860" i="106"/>
  <c r="D2860" i="106" s="1"/>
  <c r="E37" i="108"/>
  <c r="G37" i="108"/>
  <c r="F66" i="34"/>
  <c r="F28" i="108"/>
  <c r="F41" i="108" s="1"/>
  <c r="G43" i="108" s="1"/>
  <c r="B276" i="106"/>
  <c r="D276" i="106" s="1"/>
  <c r="M23" i="3"/>
  <c r="C4" i="4"/>
  <c r="B2551" i="106" s="1"/>
  <c r="D2551" i="106" s="1"/>
  <c r="B1328" i="106"/>
  <c r="D1328" i="106" s="1"/>
  <c r="G6" i="4"/>
  <c r="B2604" i="106" s="1"/>
  <c r="D2604" i="106" s="1"/>
  <c r="B5770" i="106"/>
  <c r="D5770" i="106" s="1"/>
  <c r="B7235" i="106"/>
  <c r="D7235"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B7243" i="106" s="1"/>
  <c r="D7243" i="106"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051" i="106"/>
  <c r="D7051" i="106" s="1"/>
  <c r="B7224" i="106"/>
  <c r="D7224" i="106" s="1"/>
  <c r="B279" i="106"/>
  <c r="D279" i="106" s="1"/>
  <c r="F24" i="37"/>
  <c r="J17" i="4"/>
  <c r="B6227" i="106" s="1"/>
  <c r="D6227"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J20" i="4" l="1"/>
  <c r="J19" i="4"/>
  <c r="B6229" i="106" s="1"/>
  <c r="D6229" i="106" s="1"/>
  <c r="M41" i="3"/>
  <c r="B280" i="106"/>
  <c r="D280" i="106" s="1"/>
  <c r="F8" i="4"/>
  <c r="D8" i="146" s="1"/>
  <c r="D8" i="4"/>
  <c r="D10" i="4" s="1"/>
  <c r="B4123" i="106" s="1"/>
  <c r="D4123" i="106" s="1"/>
  <c r="B6223" i="106"/>
  <c r="D6223" i="106" s="1"/>
  <c r="K17" i="4"/>
  <c r="K19" i="4" s="1"/>
  <c r="B4144" i="106" s="1"/>
  <c r="D4144"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68" i="106"/>
  <c r="D2568" i="106" s="1"/>
  <c r="H13" i="118" l="1"/>
  <c r="K20" i="4"/>
  <c r="B3576" i="106" s="1"/>
  <c r="D3576" i="106" s="1"/>
  <c r="B3575" i="106"/>
  <c r="D3575" i="106" s="1"/>
  <c r="B281" i="106"/>
  <c r="D281" i="106" s="1"/>
  <c r="D54" i="36"/>
  <c r="C8" i="146"/>
  <c r="D20" i="4"/>
  <c r="D78" i="4" s="1"/>
  <c r="F10" i="4"/>
  <c r="B4125" i="106" s="1"/>
  <c r="D4125" i="106" s="1"/>
  <c r="B2595" i="106"/>
  <c r="D2595"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J81" i="4"/>
  <c r="B6263" i="106"/>
  <c r="D6263" i="106" s="1"/>
  <c r="B2574" i="106" l="1"/>
  <c r="D2574" i="106" s="1"/>
  <c r="C10" i="146"/>
  <c r="F8" i="146"/>
  <c r="J41" i="3"/>
  <c r="B6215" i="106"/>
  <c r="D6215"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N2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282" i="106"/>
  <c r="D282" i="106" s="1"/>
  <c r="N23" i="3"/>
  <c r="B190" i="106"/>
  <c r="D190" i="106" s="1"/>
  <c r="D48" i="36"/>
  <c r="B141" i="106"/>
  <c r="D141" i="106" s="1"/>
  <c r="D46"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<sst xmlns="http://schemas.openxmlformats.org/spreadsheetml/2006/main" count="5095" uniqueCount="2136">
  <si>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</si>
  <si>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</si>
  <si>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</si>
  <si>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</si>
  <si>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</si>
  <si>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</si>
  <si>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</si>
  <si>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</si>
  <si>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</si>
  <si>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</si>
  <si>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</si>
  <si>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</si>
  <si>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</si>
  <si>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</si>
  <si>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</si>
  <si>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</si>
  <si>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</si>
  <si>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</si>
  <si>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</si>
  <si>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</si>
  <si>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</si>
  <si>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</si>
  <si>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</si>
  <si>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</si>
  <si>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</si>
  <si>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</si>
  <si>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</si>
  <si>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</si>
  <si>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</si>
  <si>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</si>
  <si>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</si>
  <si>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</si>
  <si>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</si>
  <si>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</si>
  <si>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</si>
  <si>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</si>
  <si>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</si>
  <si>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</si>
  <si>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</si>
  <si>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</si>
  <si>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</si>
  <si>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</si>
  <si>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</si>
  <si>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</si>
  <si>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</si>
  <si>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</si>
  <si>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</si>
  <si>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</si>
  <si>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</si>
  <si>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</si>
  <si>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</si>
  <si>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</si>
  <si>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</si>
  <si>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</si>
  <si>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</si>
  <si>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</si>
  <si>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</si>
  <si>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</si>
  <si>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</si>
  <si>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</si>
  <si>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</si>
  <si>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</si>
  <si>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</si>
  <si>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</si>
  <si>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</si>
  <si>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</si>
  <si>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</si>
  <si>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</si>
  <si>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</si>
  <si>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</si>
  <si>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</si>
  <si>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</si>
  <si>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</si>
  <si>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</si>
  <si>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</si>
  <si>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</si>
  <si>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</si>
  <si>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</si>
  <si>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</si>
  <si>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</si>
  <si>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</si>
  <si>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</si>
  <si>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</si>
  <si>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</si>
  <si>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</si>
  <si>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</si>
  <si>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</si>
  <si>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</si>
  <si>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</si>
  <si>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</si>
  <si>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</si>
  <si>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</si>
  <si>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</si>
  <si>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</si>
  <si>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</si>
  <si>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</si>
  <si>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</si>
  <si>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</si>
  <si>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</si>
  <si>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</si>
  <si>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</si>
  <si>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</si>
  <si>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</si>
  <si>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</si>
  <si>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</si>
  <si>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</si>
  <si>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</si>
  <si>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</si>
  <si>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</si>
  <si>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</si>
  <si>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</si>
  <si>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</si>
  <si>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</si>
  <si>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</si>
  <si>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</si>
  <si>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</si>
  <si>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</si>
  <si>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</si>
  <si>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</si>
  <si>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</si>
  <si>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</si>
  <si>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</si>
  <si>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</si>
  <si>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</si>
  <si>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</si>
  <si>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</si>
  <si>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</si>
  <si>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</si>
  <si>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</si>
  <si>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</si>
  <si>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</si>
  <si>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</si>
  <si>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</si>
  <si>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</si>
  <si>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</si>
  <si>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</si>
  <si>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</si>
  <si>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</si>
  <si>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</si>
  <si>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</si>
  <si>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</si>
  <si>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</si>
  <si>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</si>
  <si>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</si>
  <si>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</si>
  <si>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</si>
  <si>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</si>
  <si>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</si>
  <si>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</si>
  <si>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</si>
  <si>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</si>
  <si>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</si>
  <si>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</si>
  <si>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</si>
  <si>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</si>
  <si>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</si>
  <si>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</si>
  <si>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</si>
  <si>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</si>
  <si>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</si>
  <si>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</si>
  <si>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</si>
  <si>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</si>
  <si>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</si>
  <si>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</si>
  <si>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</si>
  <si>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</si>
  <si>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</si>
  <si>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</si>
  <si>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</si>
  <si>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</si>
  <si>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</si>
  <si>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</si>
  <si>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</si>
  <si>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</si>
  <si>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</si>
  <si>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</si>
  <si>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</si>
  <si>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</si>
  <si>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</si>
  <si>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</si>
  <si>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</si>
  <si>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</si>
  <si>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</si>
  <si>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</si>
  <si>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</si>
  <si>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</si>
  <si>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</si>
  <si>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</si>
  <si>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</si>
  <si>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</si>
  <si>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</si>
  <si>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</si>
  <si>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</si>
  <si>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</si>
  <si>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</si>
  <si>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</si>
  <si>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</si>
  <si>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</si>
  <si>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</si>
  <si>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</si>
  <si>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</si>
  <si>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</si>
  <si>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</si>
  <si>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</si>
  <si>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</si>
  <si>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</si>
  <si>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</si>
  <si>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</si>
  <si>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</si>
  <si>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</si>
  <si>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</si>
  <si>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</si>
  <si>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</si>
  <si>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</si>
  <si>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</si>
  <si>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</si>
  <si>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</si>
  <si>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</si>
  <si>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</si>
  <si>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</si>
  <si>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</si>
  <si>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</si>
  <si>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</si>
  <si>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</si>
  <si>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</si>
  <si>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</si>
  <si>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</si>
  <si>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</si>
  <si>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</si>
  <si>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</si>
  <si>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</si>
  <si>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</si>
  <si>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</si>
  <si>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</si>
  <si>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</si>
  <si>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</si>
  <si>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</si>
  <si>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</si>
  <si>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</si>
  <si>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</si>
  <si>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</si>
  <si>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</si>
  <si>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</si>
  <si>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</si>
  <si>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</si>
  <si>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</si>
  <si>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</si>
  <si>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</si>
  <si>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</si>
  <si>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</si>
  <si>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</si>
  <si>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</si>
  <si>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</si>
  <si>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</si>
  <si>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</si>
  <si>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</si>
  <si>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</si>
  <si>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</si>
  <si>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</si>
  <si>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</si>
  <si>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</si>
  <si>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</si>
  <si>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</si>
  <si>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</si>
  <si>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</si>
  <si>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</si>
  <si>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</si>
  <si>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</si>
  <si>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</si>
  <si>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</si>
  <si>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</si>
  <si>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</si>
  <si>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</si>
  <si>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</si>
  <si>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</si>
  <si>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</si>
  <si>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</si>
  <si>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</si>
  <si>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</si>
  <si>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</si>
  <si>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</si>
  <si>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</si>
  <si>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</si>
  <si>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</si>
  <si>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</si>
  <si>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</si>
  <si>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</si>
  <si>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</si>
  <si>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</si>
  <si>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</si>
  <si>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</si>
  <si>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</si>
  <si>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</si>
  <si>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</si>
  <si>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</si>
  <si>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</si>
  <si>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</si>
  <si>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</si>
  <si>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</si>
  <si>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</si>
  <si>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</si>
  <si>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</si>
  <si>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</si>
  <si>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</si>
  <si>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</si>
  <si>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</si>
  <si>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</si>
  <si>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</si>
  <si>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</si>
  <si>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</si>
  <si>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</si>
  <si>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</si>
  <si>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</si>
  <si>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</si>
  <si>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</si>
  <si>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</si>
  <si>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</si>
  <si>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</si>
  <si>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</si>
  <si>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</si>
  <si>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</si>
  <si>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</si>
  <si>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</si>
  <si>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</si>
  <si>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</si>
  <si>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</si>
  <si>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</si>
  <si>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</si>
  <si>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</si>
  <si>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</si>
  <si>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</si>
  <si>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</si>
  <si>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</si>
  <si>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</si>
  <si>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</si>
  <si>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</si>
  <si>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</si>
  <si>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</si>
  <si>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</si>
  <si>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</si>
  <si>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</si>
  <si>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</si>
  <si>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</si>
  <si>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</si>
  <si>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</si>
  <si>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</si>
  <si>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</si>
  <si>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</si>
  <si>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</si>
  <si>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</si>
  <si>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</si>
  <si>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</si>
  <si>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</si>
  <si>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</si>
  <si>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</si>
  <si>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</si>
  <si>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</si>
  <si>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</si>
  <si>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</si>
  <si>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</si>
  <si>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</si>
  <si>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</si>
  <si>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</si>
  <si>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</si>
  <si>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</si>
  <si>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</si>
  <si>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</si>
  <si>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</si>
  <si>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</si>
  <si>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</si>
  <si>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</si>
  <si>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</si>
  <si>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</si>
  <si>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</si>
  <si>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</si>
  <si>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</si>
  <si>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</si>
  <si>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</si>
  <si>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</si>
  <si>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</si>
  <si>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</si>
  <si>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</si>
  <si>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</si>
  <si>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</si>
  <si>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</si>
  <si>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</si>
  <si>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</si>
  <si>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</si>
  <si>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</si>
  <si>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</si>
  <si>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</si>
  <si>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</si>
  <si>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</si>
  <si>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</si>
  <si>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</si>
  <si>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</si>
  <si>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</si>
  <si>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</si>
  <si>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</si>
  <si>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</si>
  <si>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</si>
  <si>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</si>
  <si>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</si>
  <si>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</si>
  <si>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</si>
  <si>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</si>
  <si>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</si>
  <si>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</si>
  <si>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</si>
  <si>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</si>
  <si>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</si>
  <si>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</si>
  <si>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</si>
  <si>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</si>
  <si>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</si>
  <si>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</si>
  <si>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</si>
  <si>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</si>
  <si>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</si>
  <si>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</si>
  <si>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</si>
  <si>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</si>
  <si>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</si>
  <si>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</si>
  <si>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</si>
  <si>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</si>
  <si>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</si>
  <si>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</si>
  <si>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</si>
  <si>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</si>
  <si>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</si>
  <si>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</si>
  <si>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</si>
  <si>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</si>
  <si>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</si>
  <si>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</si>
  <si>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</si>
  <si>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</si>
  <si>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</si>
  <si>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</si>
  <si>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</si>
  <si>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</si>
  <si>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</si>
  <si>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</si>
  <si>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</si>
  <si>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</si>
  <si>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</si>
  <si>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</si>
  <si>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</si>
  <si>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</si>
  <si>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</si>
  <si>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</si>
  <si>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</si>
  <si>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</si>
  <si>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</si>
  <si>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</si>
  <si>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</si>
  <si>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</si>
  <si>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</si>
  <si>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</si>
  <si>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</si>
  <si>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</si>
  <si>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</si>
  <si>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</si>
  <si>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</si>
  <si>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</si>
  <si>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</si>
  <si>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</si>
  <si>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</si>
  <si>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</si>
  <si>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</si>
  <si>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</si>
  <si>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</si>
  <si>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</si>
  <si>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</si>
  <si>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</si>
  <si>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</si>
  <si>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</si>
  <si>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</si>
  <si>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</si>
  <si>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</si>
  <si>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</si>
  <si>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</si>
  <si>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</si>
  <si>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</si>
  <si>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</si>
  <si>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</si>
  <si>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</si>
  <si>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</si>
  <si>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</si>
  <si>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</si>
  <si>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</si>
  <si>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</si>
  <si>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</si>
  <si>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</si>
  <si>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</si>
  <si>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</si>
  <si>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</si>
  <si>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</si>
  <si>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</si>
  <si>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</si>
  <si>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</si>
  <si>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</si>
  <si>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</si>
  <si>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</si>
  <si>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</si>
  <si>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</si>
  <si>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</si>
  <si>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</si>
  <si>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</si>
  <si>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</si>
  <si>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</si>
  <si>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</si>
  <si>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</si>
  <si>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</si>
  <si>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</si>
  <si>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</si>
  <si>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</si>
  <si>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</si>
  <si>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</si>
  <si>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</si>
  <si>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</si>
  <si>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</si>
  <si>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</si>
  <si>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</si>
  <si>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</si>
  <si>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</si>
  <si>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</si>
  <si>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</si>
  <si>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</si>
  <si>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</si>
  <si>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</si>
  <si>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</si>
  <si>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</si>
  <si>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</si>
  <si>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</si>
  <si>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</si>
  <si>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</si>
  <si>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</si>
  <si>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</si>
  <si>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</si>
  <si>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</si>
  <si>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</si>
  <si>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</si>
  <si>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</si>
  <si>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</si>
  <si>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</si>
  <si>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</si>
  <si>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</si>
  <si>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</si>
  <si>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</si>
  <si>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</si>
  <si>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</si>
  <si>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</si>
  <si>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</si>
  <si>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</si>
  <si>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</si>
  <si>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</si>
  <si>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</si>
  <si>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</si>
  <si>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</si>
  <si>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</si>
  <si>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</si>
  <si>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</si>
  <si>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</si>
  <si>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</si>
  <si>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</si>
  <si>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</si>
  <si>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</si>
  <si>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</si>
  <si>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</si>
  <si>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</si>
  <si>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</si>
  <si>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</si>
  <si>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</si>
  <si>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</si>
  <si>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</si>
  <si>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</si>
  <si>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</si>
  <si>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</si>
  <si>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</si>
  <si>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</si>
  <si>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</si>
  <si>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</si>
  <si>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</si>
  <si>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</si>
  <si>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</si>
  <si>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</si>
  <si>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</si>
  <si>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</si>
  <si>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</si>
  <si>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</si>
  <si>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</si>
  <si>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</si>
  <si>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</si>
  <si>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</si>
  <si>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</si>
  <si>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</si>
  <si>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</si>
  <si>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</si>
  <si>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</si>
  <si>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</si>
  <si>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</si>
  <si>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</si>
  <si>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</si>
  <si>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</si>
  <si>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</si>
  <si>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</si>
  <si>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</si>
  <si>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</si>
  <si>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</si>
  <si>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</si>
  <si>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</si>
  <si>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</si>
  <si>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</si>
  <si>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</si>
  <si>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</si>
  <si>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</si>
  <si>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</si>
  <si>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</si>
  <si>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</si>
  <si>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</si>
  <si>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</si>
  <si>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</si>
  <si>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</si>
  <si>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</si>
  <si>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</si>
  <si>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</si>
  <si>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</si>
  <si>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</si>
  <si>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</si>
  <si>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</si>
  <si>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</si>
  <si>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</si>
  <si>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</si>
  <si>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</si>
  <si>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</si>
  <si>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</si>
  <si>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</si>
  <si>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</si>
  <si>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</si>
  <si>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</si>
  <si>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</si>
  <si>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</si>
  <si>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</si>
  <si>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</si>
  <si>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</si>
  <si>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</si>
  <si>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</si>
  <si>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</si>
  <si>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</si>
  <si>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</si>
  <si>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</si>
  <si>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</si>
  <si>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</si>
  <si>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</si>
  <si>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</si>
  <si>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</si>
  <si>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</si>
  <si>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</si>
  <si>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</si>
  <si>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</si>
  <si>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</si>
  <si>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</si>
  <si>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</si>
  <si>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</si>
  <si>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</si>
  <si>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</si>
  <si>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</si>
  <si>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</si>
  <si>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</si>
  <si>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</si>
  <si>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</si>
  <si>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</si>
  <si>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</si>
  <si>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</si>
  <si>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</si>
  <si>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</si>
  <si>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</si>
  <si>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</si>
  <si>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</si>
  <si>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</si>
  <si>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</si>
  <si>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</si>
  <si>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</si>
  <si>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</si>
  <si>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</si>
  <si>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</si>
  <si>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</si>
  <si>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</si>
  <si>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</si>
  <si>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</si>
  <si>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</si>
  <si>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</si>
  <si>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</si>
  <si>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</si>
  <si>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</si>
  <si>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</si>
  <si>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</si>
  <si>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</si>
  <si>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</si>
  <si>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</si>
  <si>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</si>
  <si>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</si>
  <si>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</si>
  <si>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</si>
  <si>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</si>
  <si>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</si>
  <si>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</si>
  <si>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</si>
  <si>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</si>
  <si>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</si>
  <si>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</si>
  <si>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</si>
  <si>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</si>
  <si>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</si>
  <si>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</si>
  <si>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</si>
  <si>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</si>
  <si>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</si>
  <si>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</si>
  <si>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</si>
  <si>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</si>
  <si>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</si>
  <si>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</si>
  <si>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</si>
  <si>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</si>
  <si>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</si>
  <si>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</si>
  <si>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</si>
  <si>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</si>
  <si>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</si>
  <si>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</si>
  <si>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</si>
  <si>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</si>
  <si>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</si>
  <si>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</si>
  <si>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</si>
  <si>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</si>
  <si>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</si>
  <si>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</si>
  <si>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</si>
  <si>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</si>
  <si>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</si>
  <si>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</si>
  <si>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</si>
  <si>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</si>
  <si>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</si>
  <si>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</si>
  <si>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</si>
  <si>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</si>
  <si>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</si>
  <si>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</si>
  <si>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</si>
  <si>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</si>
  <si>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</si>
  <si>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</si>
  <si>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</si>
  <si>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</si>
  <si>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</si>
  <si>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</si>
  <si>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</si>
  <si>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</si>
  <si>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</si>
  <si>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</si>
  <si>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</si>
  <si>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</si>
  <si>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</si>
  <si>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</si>
  <si>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</si>
  <si>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</si>
  <si>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</si>
  <si>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</si>
  <si>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</si>
  <si>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</si>
  <si>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</si>
  <si>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</si>
  <si>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</si>
  <si>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</si>
  <si>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</si>
  <si>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</si>
  <si>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</si>
  <si>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</si>
  <si>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</si>
  <si>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</si>
  <si>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</si>
  <si>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</si>
  <si>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</si>
  <si>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</si>
  <si>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</si>
  <si>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</si>
  <si>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</si>
  <si>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</si>
  <si>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</si>
  <si>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</si>
  <si>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</si>
  <si>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</si>
  <si>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</si>
  <si>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</si>
  <si>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</si>
  <si>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</si>
  <si>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</si>
  <si>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</si>
  <si>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</si>
  <si>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</si>
  <si>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</si>
  <si>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</si>
  <si>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</si>
  <si>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</si>
  <si>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</si>
  <si>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</si>
  <si>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</si>
  <si>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</si>
  <si>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</si>
  <si>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</si>
  <si>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</si>
  <si>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</si>
  <si>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</si>
  <si>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</si>
  <si>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</si>
  <si>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</si>
  <si>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</si>
  <si>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</si>
  <si>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</si>
  <si>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</si>
  <si>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</si>
  <si>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</si>
  <si>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</si>
  <si>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</si>
  <si>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</si>
  <si>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</si>
  <si>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</si>
  <si>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</si>
  <si>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</si>
  <si>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</si>
  <si>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</si>
  <si>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</si>
  <si>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</si>
  <si>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</si>
  <si>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</si>
  <si>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</si>
  <si>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</si>
  <si>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</si>
  <si>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</si>
  <si>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</si>
  <si>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</si>
  <si>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</si>
  <si>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</si>
  <si>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</si>
  <si>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</si>
  <si>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</si>
  <si>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</si>
  <si>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</si>
  <si>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</si>
  <si>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</si>
  <si>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</si>
  <si>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</si>
  <si>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</si>
  <si>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</si>
  <si>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</si>
  <si>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</si>
  <si>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</si>
  <si>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</si>
  <si>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</si>
  <si>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</si>
  <si>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</si>
  <si>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</si>
  <si>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</si>
  <si>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</si>
  <si>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</si>
  <si>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</si>
  <si>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</si>
  <si>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</si>
  <si>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</si>
  <si>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</si>
  <si>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</si>
  <si>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</si>
  <si>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</si>
  <si>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</si>
  <si>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</si>
  <si>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</si>
  <si>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</si>
  <si>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</si>
  <si>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</si>
  <si>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</si>
  <si>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</si>
  <si>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</si>
  <si>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</si>
  <si>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</si>
  <si>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</si>
  <si>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</si>
  <si>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</si>
  <si>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</si>
  <si>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</si>
  <si>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</si>
  <si>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</si>
  <si>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</si>
  <si>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</si>
  <si>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</si>
  <si>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</si>
  <si>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</si>
  <si>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</si>
  <si>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</si>
  <si>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</si>
  <si>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</si>
  <si>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</si>
  <si>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</si>
  <si>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</si>
  <si>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</si>
  <si>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</si>
  <si>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</si>
  <si>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</si>
  <si>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</si>
  <si>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</si>
  <si>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</si>
  <si>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</si>
  <si>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</si>
  <si>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</si>
  <si>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</si>
  <si>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</si>
  <si>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</si>
  <si>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</si>
  <si>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</si>
  <si>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</si>
  <si>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</si>
  <si>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</si>
  <si>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</si>
  <si>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</si>
  <si>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</si>
  <si>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</si>
  <si>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</si>
  <si>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</si>
  <si>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</si>
  <si>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</si>
  <si>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</si>
  <si>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</si>
  <si>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</si>
  <si>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</si>
  <si>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</si>
  <si>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</si>
  <si>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</si>
  <si>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</si>
  <si>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</si>
  <si>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</si>
  <si>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</si>
  <si>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</si>
  <si>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</si>
  <si>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</si>
  <si>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</si>
  <si>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</si>
  <si>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</si>
  <si>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</si>
  <si>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</si>
  <si>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</si>
  <si>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</si>
  <si>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</si>
  <si>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</si>
  <si>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</si>
  <si>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</si>
  <si>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</si>
  <si>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</si>
  <si>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</si>
  <si>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</si>
  <si>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</si>
  <si>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</si>
  <si>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</si>
  <si>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</si>
  <si>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</si>
  <si>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</si>
  <si>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</si>
  <si>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</si>
  <si>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</si>
  <si>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</si>
  <si>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</si>
  <si>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</si>
  <si>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</si>
  <si>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</si>
  <si>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</si>
  <si>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</si>
  <si>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</si>
  <si>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</si>
  <si>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</si>
  <si>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</si>
  <si>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</si>
  <si>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</si>
  <si>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</si>
  <si>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</si>
  <si>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</si>
  <si>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</si>
  <si>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</si>
  <si>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</si>
  <si>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</si>
  <si>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</si>
  <si>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</si>
  <si>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</si>
  <si>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</si>
  <si>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</si>
  <si>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</si>
  <si>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</si>
  <si>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</si>
  <si>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</si>
  <si>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</si>
  <si>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</si>
  <si>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</si>
  <si>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</si>
  <si>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</si>
  <si>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</si>
  <si>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</si>
  <si>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</si>
  <si>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</si>
  <si>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</si>
  <si>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</si>
  <si>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</si>
  <si>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</si>
  <si>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</si>
  <si>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</si>
  <si>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</si>
  <si>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</si>
  <si>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</si>
  <si>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</si>
  <si>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</si>
  <si>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</si>
  <si>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</si>
  <si>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</si>
  <si>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</si>
  <si>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</si>
  <si>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</si>
  <si>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</si>
  <si>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</si>
  <si>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</si>
  <si>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</si>
  <si>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</si>
  <si>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</si>
  <si>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</si>
  <si>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</si>
  <si>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</si>
  <si>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</si>
  <si>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</si>
  <si>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</si>
  <si>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</si>
  <si>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</si>
  <si>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</si>
  <si>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</si>
  <si>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</si>
  <si>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</si>
  <si>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</si>
  <si>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</si>
  <si>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</si>
  <si>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</si>
  <si>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</si>
  <si>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</si>
  <si>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</si>
  <si>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</si>
  <si>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</si>
  <si>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</si>
  <si>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</si>
  <si>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</si>
  <si>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</si>
  <si>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</si>
  <si>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</si>
  <si>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</si>
  <si>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</si>
  <si>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</si>
  <si>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</si>
  <si>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</si>
  <si>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</si>
  <si>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</si>
  <si>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</si>
  <si>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</si>
  <si>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</si>
  <si>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</si>
  <si>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</si>
  <si>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</si>
  <si>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</si>
  <si>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</si>
  <si>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</si>
  <si>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</si>
  <si>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</si>
  <si>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</si>
  <si>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</si>
  <si>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</si>
  <si>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</si>
  <si>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</si>
  <si>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</si>
  <si>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</si>
  <si>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</si>
  <si>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</si>
  <si>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</si>
  <si>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</si>
  <si>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</si>
  <si>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</si>
  <si>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</si>
  <si>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</si>
  <si>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</si>
  <si>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</si>
  <si>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</si>
  <si>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</si>
  <si>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</si>
  <si>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</si>
  <si>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</si>
  <si>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</si>
  <si>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</si>
  <si>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</si>
  <si>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</si>
  <si>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</si>
  <si>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</si>
  <si>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</si>
  <si>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</si>
  <si>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</si>
  <si>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</si>
  <si>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</si>
  <si>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</si>
  <si>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</si>
  <si>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</si>
  <si>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</si>
  <si>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</si>
  <si>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</si>
  <si>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</si>
  <si>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</si>
  <si>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</si>
  <si>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</si>
  <si>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</si>
  <si>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</si>
  <si>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</si>
  <si>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</si>
  <si>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</si>
  <si>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</si>
  <si>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</si>
  <si>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</si>
  <si>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</si>
  <si>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</si>
  <si>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</si>
  <si>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</si>
  <si>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</si>
  <si>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</si>
  <si>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</si>
  <si>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</si>
  <si>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</si>
  <si>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</si>
  <si>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</si>
  <si>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</si>
  <si>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</si>
  <si>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</si>
  <si>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</si>
  <si>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</si>
  <si>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</si>
  <si>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</si>
  <si>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</si>
  <si>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</si>
  <si>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</si>
  <si>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</si>
  <si>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</si>
  <si>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</si>
  <si>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</si>
  <si>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</si>
  <si>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</si>
  <si>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</si>
  <si>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</si>
  <si>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</si>
  <si>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</si>
  <si>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</si>
  <si>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</si>
  <si>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</si>
  <si>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</si>
  <si>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</si>
  <si>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</si>
  <si>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</si>
  <si>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</si>
  <si>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</si>
  <si>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</si>
  <si>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</si>
  <si>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</si>
  <si>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</si>
  <si>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</si>
  <si>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</si>
  <si>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</si>
  <si>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</si>
  <si>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</si>
  <si>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</si>
  <si>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</si>
  <si>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</si>
  <si>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</si>
  <si>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</si>
  <si>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</si>
  <si>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</si>
  <si>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</si>
  <si>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</si>
  <si>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</si>
  <si>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</si>
  <si>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</si>
  <si>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</si>
  <si>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</si>
  <si>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</si>
  <si>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</si>
  <si>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</si>
  <si>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</si>
  <si>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</si>
  <si>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</si>
  <si>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</si>
  <si>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</si>
  <si>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</si>
  <si>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</si>
  <si>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</si>
  <si>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</si>
  <si>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</si>
  <si>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</si>
  <si>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</si>
  <si>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</si>
  <si>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</si>
  <si>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</si>
  <si>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</si>
  <si>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</si>
  <si>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</si>
  <si>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</si>
  <si>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</si>
  <si>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</si>
  <si>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</si>
  <si>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</si>
  <si>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</si>
  <si>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</si>
  <si>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</si>
  <si>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</si>
  <si>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</si>
  <si>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</si>
  <si>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</si>
  <si>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</si>
  <si>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</si>
  <si>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</si>
  <si>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</si>
  <si>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</si>
  <si>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</si>
  <si>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</si>
  <si>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</si>
  <si>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</si>
  <si>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</si>
  <si>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</si>
  <si>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</si>
  <si>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</si>
  <si>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</si>
  <si>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</si>
  <si>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</si>
  <si>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</si>
  <si>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</si>
  <si>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</si>
  <si>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</si>
  <si>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</si>
  <si>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</si>
  <si>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</si>
  <si>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</si>
  <si>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</si>
  <si>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</si>
  <si>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</si>
  <si>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</si>
  <si>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</si>
  <si>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</si>
  <si>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</si>
  <si>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</si>
  <si>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</si>
  <si>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</si>
  <si>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</si>
  <si>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</si>
  <si>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</si>
  <si>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</si>
  <si>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</si>
  <si>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</si>
  <si>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</si>
  <si>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</si>
  <si>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</si>
  <si>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</si>
  <si>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</si>
  <si>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</si>
  <si>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</si>
  <si>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</si>
  <si>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</si>
  <si>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</si>
  <si>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</si>
  <si>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</si>
  <si>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</si>
  <si>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</si>
  <si>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</si>
  <si>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</si>
  <si>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</si>
  <si>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</si>
  <si>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</si>
  <si>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</si>
  <si>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</si>
  <si>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</si>
  <si>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</si>
  <si>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</si>
  <si>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</si>
  <si>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</si>
  <si>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</si>
  <si>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</si>
  <si>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</si>
  <si>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</si>
  <si>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</si>
  <si>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</si>
  <si>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</si>
  <si>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</si>
  <si>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</si>
  <si>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</si>
  <si>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</si>
  <si>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</si>
  <si>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</si>
  <si>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</si>
  <si>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</si>
  <si>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</si>
  <si>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</si>
  <si>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</si>
  <si>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</si>
  <si>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</si>
  <si>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</si>
  <si>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</si>
  <si>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</si>
  <si>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</si>
  <si>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</si>
  <si>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</si>
  <si>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</si>
  <si>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</si>
  <si>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</si>
  <si>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</si>
  <si>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</si>
  <si>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</si>
  <si>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</si>
  <si>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</si>
  <si>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</si>
  <si>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</si>
  <si>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</si>
  <si>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</si>
  <si>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</si>
  <si>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</si>
  <si>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</si>
  <si>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</si>
  <si>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</si>
  <si>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</si>
  <si>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</si>
  <si>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</si>
  <si>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</si>
  <si>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</si>
  <si>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</si>
  <si>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</si>
  <si>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</si>
  <si>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</si>
  <si>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</si>
  <si>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</si>
  <si>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</si>
  <si>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</si>
  <si>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</si>
  <si>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</si>
  <si>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</si>
  <si>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</si>
  <si>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</si>
  <si>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</si>
  <si>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</si>
  <si>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</si>
  <si>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</si>
  <si>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</si>
  <si>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</si>
  <si>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</si>
  <si>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</si>
  <si>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</si>
  <si>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</si>
  <si>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</si>
  <si>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</si>
  <si>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</si>
  <si>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</si>
  <si>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</si>
  <si>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</si>
  <si>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</si>
  <si>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</si>
  <si>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</si>
  <si>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</si>
  <si>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</si>
  <si>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</si>
  <si>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</si>
  <si>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</si>
  <si>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</si>
  <si>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</si>
  <si>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</si>
  <si>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</si>
  <si>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</si>
  <si>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</si>
  <si>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</si>
  <si>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</si>
  <si>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</si>
  <si>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</si>
  <si>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</si>
  <si>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</si>
  <si>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</si>
  <si>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</si>
  <si>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</si>
  <si>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</si>
  <si>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</si>
  <si>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</si>
  <si>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</si>
  <si>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</si>
  <si>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</si>
  <si>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</si>
  <si>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</si>
  <si>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</si>
  <si>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</si>
  <si>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</si>
  <si>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</si>
  <si>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</si>
  <si>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</si>
  <si>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</si>
  <si>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</si>
  <si>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</si>
  <si>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</si>
  <si>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</si>
  <si>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</si>
  <si>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</si>
  <si>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</si>
  <si>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</si>
  <si>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</si>
  <si>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</si>
  <si>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</si>
  <si>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</si>
  <si>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</si>
  <si>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</si>
  <si>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</si>
  <si>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</si>
  <si>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</si>
  <si>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</si>
  <si>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</si>
  <si>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</si>
  <si>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</si>
  <si>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</si>
  <si>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</si>
  <si>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</si>
  <si>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</si>
  <si>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</si>
  <si>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</si>
  <si>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</si>
  <si>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</si>
  <si>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</si>
  <si>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</si>
  <si>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</si>
  <si>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</si>
  <si>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</si>
  <si>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</si>
  <si>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</si>
  <si>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</si>
  <si>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</si>
  <si>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</si>
  <si>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</si>
  <si>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</si>
  <si>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</si>
  <si>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</si>
  <si>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</si>
  <si>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</si>
  <si>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</si>
  <si>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</si>
  <si>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</si>
  <si>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</si>
  <si>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</si>
  <si>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</si>
  <si>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</si>
  <si>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</si>
  <si>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</si>
  <si>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</si>
  <si>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</si>
  <si>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</si>
  <si>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</si>
  <si>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</si>
  <si>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</si>
  <si>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</si>
  <si>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</si>
  <si>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</si>
  <si>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</si>
  <si>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</si>
  <si>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</si>
  <si>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</si>
  <si>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</si>
  <si>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</si>
  <si>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</si>
  <si>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</si>
  <si>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</si>
  <si>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</si>
  <si>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</si>
  <si>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</si>
  <si>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</si>
  <si>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</si>
  <si>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</si>
  <si>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</si>
  <si>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</si>
  <si>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</si>
  <si>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</si>
  <si>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</si>
  <si>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</si>
  <si>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</si>
  <si>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</si>
  <si>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</si>
  <si>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</si>
  <si>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</si>
  <si>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</si>
  <si>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</si>
  <si>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</si>
  <si>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</si>
  <si>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</si>
  <si>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</si>
  <si>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</si>
  <si>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</si>
  <si>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</si>
  <si>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</si>
  <si>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</si>
  <si>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</si>
  <si>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</si>
  <si>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</si>
  <si>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</si>
  <si>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</si>
  <si>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</si>
  <si>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</si>
  <si>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</si>
  <si>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</si>
  <si>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</si>
  <si>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</si>
  <si>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</si>
  <si>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</si>
  <si>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</si>
  <si>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</si>
  <si>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</si>
  <si>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</si>
  <si>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</si>
  <si>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</si>
  <si>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</si>
  <si>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</si>
  <si>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</si>
  <si>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</si>
  <si>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</si>
  <si>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</si>
  <si>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</si>
  <si>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</si>
  <si>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</si>
  <si>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</si>
  <si>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</si>
  <si>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</si>
  <si>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</si>
  <si>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</si>
  <si>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</si>
  <si>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</si>
  <si>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</si>
  <si>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</si>
  <si>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</si>
  <si>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</si>
  <si>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</si>
  <si>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</si>
  <si>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</si>
  <si>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</si>
  <si>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</si>
  <si>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</si>
  <si>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</si>
  <si>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</si>
  <si>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</si>
  <si>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</si>
  <si>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</si>
  <si>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</si>
  <si>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</si>
  <si>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</si>
  <si>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</si>
  <si>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</si>
  <si>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</si>
  <si>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</si>
  <si>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</si>
  <si>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</si>
  <si>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</si>
  <si>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</si>
  <si>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</si>
  <si>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</si>
  <si>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</si>
  <si>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</si>
  <si>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</si>
  <si>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</si>
  <si>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</si>
  <si>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</si>
  <si>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</si>
  <si>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</si>
  <si>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</si>
  <si>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</si>
  <si>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</si>
  <si>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</si>
  <si>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</si>
  <si>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</si>
  <si>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</si>
  <si>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</si>
  <si>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</si>
  <si>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</si>
  <si>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</si>
  <si>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</si>
  <si>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</si>
  <si>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</si>
  <si>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</si>
  <si>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</si>
  <si>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</si>
  <si>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</si>
  <si>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</si>
  <si>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</si>
  <si>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</si>
  <si>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</si>
  <si>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</si>
  <si>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</si>
  <si>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</si>
  <si>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</si>
  <si>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</si>
  <si>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</si>
  <si>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</si>
  <si>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</si>
  <si>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</si>
  <si>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</si>
  <si>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</si>
  <si>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</si>
  <si>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</si>
  <si>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</si>
  <si>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</si>
  <si>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</si>
  <si>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</si>
  <si>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</si>
  <si>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</si>
  <si>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</si>
  <si>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</si>
  <si>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</si>
  <si>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</si>
  <si>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</si>
  <si>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</si>
  <si>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</si>
  <si>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</si>
  <si>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</si>
  <si>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</si>
  <si>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</si>
  <si>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</si>
  <si>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</si>
  <si>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</si>
  <si>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</si>
  <si>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</si>
  <si>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</si>
  <si>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</si>
  <si>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</si>
  <si>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</si>
  <si>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</si>
  <si>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</si>
  <si>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</si>
  <si>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</si>
  <si>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</si>
  <si>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</si>
  <si>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</si>
  <si>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</si>
  <si>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</si>
  <si>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</si>
  <si>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</si>
  <si>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</si>
  <si>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</si>
  <si>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</si>
  <si>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</si>
  <si>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</si>
  <si>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</si>
  <si>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</si>
  <si>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</si>
  <si>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</si>
  <si>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</si>
  <si>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</si>
  <si>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</si>
  <si>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</si>
  <si>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</si>
  <si>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</si>
  <si>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</si>
  <si>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</si>
  <si>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</si>
  <si>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</si>
  <si>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</si>
  <si>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</si>
  <si>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</si>
  <si>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</si>
  <si>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</si>
  <si>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</si>
  <si>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</si>
  <si>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</si>
  <si>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</si>
  <si>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</si>
  <si>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</si>
  <si>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</si>
  <si>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</si>
  <si>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</si>
  <si>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</si>
  <si>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</si>
  <si>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</si>
  <si>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</si>
  <si>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</si>
  <si>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</si>
  <si>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</si>
  <si>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</si>
  <si>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</si>
  <si>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</si>
  <si>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</si>
  <si>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</si>
  <si>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</si>
  <si>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</si>
  <si>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</si>
  <si>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</si>
  <si>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</si>
  <si>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</si>
  <si>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</si>
  <si>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</si>
  <si>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</si>
  <si>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</si>
  <si>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</si>
  <si>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</si>
  <si>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</si>
  <si>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</si>
  <si>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</si>
  <si>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</si>
  <si>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</si>
  <si>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</si>
  <si>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</si>
  <si>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</si>
  <si>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</si>
  <si>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</si>
  <si>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</si>
  <si>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</si>
  <si>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</si>
  <si>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</si>
  <si>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</si>
  <si>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</si>
  <si>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</si>
  <si>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</si>
  <si>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</si>
  <si>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</si>
  <si>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</si>
  <si>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</si>
  <si>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</si>
  <si>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</si>
  <si>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</si>
  <si>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</si>
  <si>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</si>
  <si>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</si>
  <si>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</si>
  <si>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</si>
  <si>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</si>
  <si>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</si>
  <si>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</si>
  <si>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</si>
  <si>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</si>
  <si>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</si>
  <si>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</si>
  <si>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</si>
  <si>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</si>
  <si>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</si>
  <si>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</si>
  <si>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</si>
  <si>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</si>
  <si>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</si>
  <si>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</si>
  <si>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</si>
  <si>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</si>
  <si>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</si>
  <si>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</si>
  <si>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</si>
  <si>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</si>
  <si>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</si>
  <si>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</si>
  <si>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</si>
  <si>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</si>
  <si>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</si>
  <si>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</si>
  <si>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</si>
  <si>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</si>
  <si>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</si>
  <si>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</si>
  <si>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</si>
  <si>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</si>
  <si>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</si>
  <si>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</si>
  <si>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</si>
  <si>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</si>
  <si>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</si>
  <si>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</si>
  <si>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</si>
  <si>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</si>
  <si>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</si>
  <si>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</si>
  <si>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</si>
  <si>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</si>
  <si>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</si>
  <si>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</si>
  <si>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</si>
  <si>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</si>
  <si>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</si>
  <si>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</si>
  <si>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</si>
  <si>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</si>
  <si>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</si>
  <si>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</si>
  <si>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</si>
  <si>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</si>
  <si>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</si>
  <si>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</si>
  <si>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</si>
  <si>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</si>
  <si>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</si>
  <si>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</si>
  <si>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</si>
  <si>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</si>
  <si>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</si>
  <si>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</si>
  <si>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</si>
  <si>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</si>
  <si>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</si>
  <si>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</si>
  <si>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</si>
  <si>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</si>
  <si>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</si>
  <si>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</si>
  <si>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</si>
  <si>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</si>
  <si>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</si>
  <si>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</si>
  <si>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</si>
  <si>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</si>
  <si>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</si>
  <si>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</si>
  <si>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</si>
  <si>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</si>
  <si>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</si>
  <si>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</si>
  <si>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</si>
  <si>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</si>
  <si>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</si>
  <si>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</si>
  <si>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</si>
  <si>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</si>
  <si>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</si>
  <si>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</si>
  <si>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</si>
  <si>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</si>
  <si>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</si>
  <si>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</si>
  <si>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</si>
  <si>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</si>
  <si>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</si>
  <si>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</si>
  <si>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</si>
  <si>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</si>
  <si>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</si>
  <si>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</si>
  <si>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</si>
  <si>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</si>
  <si>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</si>
  <si>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</si>
  <si>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</si>
  <si>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</si>
  <si>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</si>
  <si>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</si>
  <si>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</si>
  <si>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</si>
  <si>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</si>
  <si>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</si>
  <si>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</si>
  <si>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</si>
  <si>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</si>
  <si>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</si>
  <si>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</si>
  <si>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</si>
  <si>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</si>
  <si>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</si>
  <si>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</si>
  <si>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</si>
  <si>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</si>
  <si>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</si>
  <si>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</si>
  <si>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</si>
  <si>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</si>
  <si>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</si>
  <si>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</si>
  <si>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</si>
  <si>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</si>
  <si>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</si>
  <si>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</si>
  <si>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</si>
  <si>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</si>
  <si>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</si>
  <si>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</si>
  <si>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</si>
  <si>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</si>
  <si>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</si>
  <si>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</si>
  <si>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</si>
  <si>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</si>
  <si>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</si>
  <si>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</si>
  <si>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</si>
  <si>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</si>
  <si>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</si>
  <si>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</si>
  <si>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</si>
  <si>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</si>
  <si>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</si>
  <si>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</si>
  <si>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</si>
  <si>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</si>
  <si>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</si>
  <si>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</si>
  <si>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</si>
  <si>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</si>
  <si>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</si>
  <si>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</si>
  <si>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</si>
  <si>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</si>
  <si>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</si>
  <si>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</si>
  <si>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</si>
  <si>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</si>
  <si>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</si>
  <si>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</si>
  <si>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</si>
  <si>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</si>
  <si>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</si>
  <si>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</si>
  <si>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</si>
  <si>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</si>
  <si>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</si>
  <si>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</si>
  <si>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</si>
  <si>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</si>
  <si>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</si>
  <si>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</si>
  <si>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</si>
  <si>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</si>
  <si>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</si>
  <si>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</si>
  <si>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</si>
  <si>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</si>
  <si>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</si>
  <si>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</si>
  <si>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</si>
  <si>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</si>
  <si>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</si>
  <si>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</si>
  <si>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</si>
  <si>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</si>
  <si>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</si>
  <si>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</si>
  <si>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</si>
  <si>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</si>
  <si>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</si>
  <si>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</si>
  <si>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</si>
  <si>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</si>
  <si>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</si>
  <si>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</si>
  <si>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</si>
  <si>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</si>
  <si>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</si>
  <si>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</si>
  <si>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</si>
  <si>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</si>
  <si>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</si>
  <si>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</si>
  <si>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</si>
  <si>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</si>
  <si>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</si>
  <si>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</si>
  <si>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</si>
  <si>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</si>
  <si>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</si>
  <si>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</si>
  <si>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</si>
  <si>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</si>
  <si>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</si>
  <si>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</si>
  <si>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</si>
  <si>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</si>
  <si>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</si>
  <si>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</si>
  <si>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</si>
  <si>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</si>
  <si>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</si>
  <si>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</si>
  <si>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</si>
  <si>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</si>
  <si>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</si>
  <si>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</si>
  <si>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</si>
  <si>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</si>
  <si>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</si>
  <si>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</si>
  <si>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</si>
  <si>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</si>
  <si>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</si>
  <si>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</si>
  <si>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</si>
  <si>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</si>
  <si>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</si>
  <si>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</si>
  <si>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</si>
  <si>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</si>
  <si>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</si>
  <si>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</si>
  <si>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</si>
  <si>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</si>
  <si>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</si>
  <si>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</si>
  <si>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</si>
  <si>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</si>
  <si>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</si>
  <si>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</si>
  <si>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</si>
  <si>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</si>
  <si>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</si>
  <si>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</si>
  <si>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</si>
  <si>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</si>
  <si>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</si>
  <si>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</si>
  <si>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</si>
  <si>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</si>
  <si>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</si>
  <si>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</si>
  <si>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</si>
  <si>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</si>
  <si>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</si>
  <si>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</si>
  <si>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</si>
  <si>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</si>
  <si>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</si>
  <si>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</si>
  <si>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</si>
  <si>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</si>
  <si>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</si>
  <si>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</si>
  <si>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</si>
  <si>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</si>
  <si>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</si>
  <si>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</si>
  <si>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</si>
  <si>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</si>
  <si>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</si>
  <si>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</si>
  <si>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</si>
  <si>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</si>
  <si>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</si>
  <si>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</si>
  <si>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</si>
  <si>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</si>
  <si>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</si>
  <si>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</si>
  <si>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</si>
  <si>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</si>
  <si>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</si>
  <si>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</si>
  <si>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</si>
  <si>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</si>
  <si>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</si>
  <si>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</si>
  <si>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</si>
  <si>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</si>
  <si>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</si>
  <si>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</si>
  <si>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</si>
  <si>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</si>
  <si>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</si>
  <si>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</si>
  <si>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</si>
  <si>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</si>
  <si>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</si>
  <si>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</si>
  <si>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</si>
  <si>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</si>
  <si>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</si>
  <si>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</si>
  <si>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</si>
  <si>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</si>
  <si>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</si>
  <si>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</si>
  <si>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</si>
  <si>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</si>
  <si>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</si>
  <si>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</si>
  <si>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LEYDEN AREA SPECIAL EDUCATION COOPERATIVE</t>
  </si>
  <si>
    <t>10401 WEST GRAND AVENUE</t>
  </si>
  <si>
    <t>FRANKLIN PARK</t>
  </si>
  <si>
    <t>WWW.LASECFP.ORG</t>
  </si>
  <si>
    <t>X</t>
  </si>
  <si>
    <t>EDER, CASELLA &amp; CO.</t>
  </si>
  <si>
    <t>KEVIN SMITH</t>
  </si>
  <si>
    <t>5400 WEST ELM STREET, SUITE 203</t>
  </si>
  <si>
    <t>MCHENRY</t>
  </si>
  <si>
    <t>IL</t>
  </si>
  <si>
    <t>815-344-1300</t>
  </si>
  <si>
    <t>815-344-1320</t>
  </si>
  <si>
    <t>CPAS@EDERCASELLA.COM</t>
  </si>
  <si>
    <t>066-005142</t>
  </si>
  <si>
    <t>CLIC</t>
  </si>
  <si>
    <t>ISDLAF</t>
  </si>
  <si>
    <t>DISTRICTS 78, 79, 80, 83, 84, 84.5, 85.5, 86, 212, 234, 401</t>
  </si>
  <si>
    <t>UNMODIFIED</t>
  </si>
  <si>
    <t>IDEA FLOW THROUGH</t>
  </si>
  <si>
    <t>IDEA PRESCHOOL FLOWTHROUGH</t>
  </si>
  <si>
    <t>N/A</t>
  </si>
  <si>
    <t>Page 11, Line 107 - Other Local Revenues</t>
  </si>
  <si>
    <t>Page 12, Line 171 - Other Restricted Revenue from State Sources</t>
  </si>
  <si>
    <t>Flowthrough payments to districts for evidence based funding</t>
  </si>
  <si>
    <t>DHS Revenue</t>
  </si>
  <si>
    <t>OT/PT and Miscellaneous revenue</t>
  </si>
  <si>
    <t>IDEA-FLOW THROUGH</t>
  </si>
  <si>
    <t>IDEA-PRESCHOOL FLOW THROUGH</t>
  </si>
  <si>
    <t>U.S. DEPARTMENT OF EDUCATION PASSED</t>
  </si>
  <si>
    <t>THROUGH ILLINOIS STATE BOARD OF EDUCATION</t>
  </si>
  <si>
    <t>IDEA- FLOW THROUGH (M)</t>
  </si>
  <si>
    <t>IDEA- PRESCHOOL FLOW THROUGH (M)</t>
  </si>
  <si>
    <t>SUBTOTAL - CFDA "84"</t>
  </si>
  <si>
    <t>US DEPARTMENT OF HEALTH AND HUMAN</t>
  </si>
  <si>
    <t>SERVICES PASSED THROUGH ILLINOIS DEPARTMENT</t>
  </si>
  <si>
    <t>OF HEALTHCARE AND FAMILY SERVICES</t>
  </si>
  <si>
    <t>MEDICAL ADMINISTRATIVE OUTREACH</t>
  </si>
  <si>
    <t>TOTAL FEDERAL ASSISTANCE</t>
  </si>
  <si>
    <t>18-4620-00</t>
  </si>
  <si>
    <t>18-4600-00</t>
  </si>
  <si>
    <t>18-4991-00</t>
  </si>
  <si>
    <t>10-2660-300</t>
  </si>
  <si>
    <t>Supplemental Health Care</t>
  </si>
  <si>
    <t>RCM Technologies (USA), Inc.</t>
  </si>
  <si>
    <t>EDU Healthcare, LLC</t>
  </si>
  <si>
    <t>Klarus, Inc.</t>
  </si>
  <si>
    <t>Professional Health Care Services, Inc.</t>
  </si>
  <si>
    <t>Brecht's Database Solutions, Inc.</t>
  </si>
  <si>
    <t>10-2100-300</t>
  </si>
  <si>
    <t>10-2200-300</t>
  </si>
  <si>
    <t>10-2300-300</t>
  </si>
  <si>
    <t>Easter Seals Metropolitan Chicago</t>
  </si>
  <si>
    <t>ED - Support Services Pupils - Purchased Services</t>
  </si>
  <si>
    <t>ED - Support Services Instructional Staff - Purchased Services</t>
  </si>
  <si>
    <t>ED - Support Services Cental - Purchased Services</t>
  </si>
  <si>
    <t>ED - Support Services Gen Admin - Purchased Services</t>
  </si>
  <si>
    <t>Page 16, Line 83 - Other Payments to In-State Govt. Units</t>
  </si>
  <si>
    <t>The accompanying Schedule of Expenditures of Federal Awards includes the federal grant activity of Leyden Area Special Education Cooperative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</si>
  <si>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Leyden Area Special Education Cooperative and </t>
    </r>
    <r>
      <rPr>
        <b/>
        <sz val="9"/>
        <rFont val="Calibri"/>
        <family val="2"/>
        <scheme val="minor"/>
      </rPr>
      <t>should be</t>
    </r>
    <r>
      <rPr>
        <sz val="9"/>
        <rFont val="Calibri"/>
        <family val="2"/>
        <scheme val="minor"/>
      </rPr>
      <t xml:space="preserve"> included in the Schedule of Expenditures of Federal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</si>
</sst>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2" fontId="56" fillId="0" borderId="9" xfId="3" applyNumberFormat="1" applyFont="1" applyFill="1" applyBorder="1" applyProtection="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5</xdr:row>
          <xdr:rowOff>104775</xdr:rowOff>
        </xdr:from>
        <xdr:to>
          <xdr:col>1</xdr:col>
          <xdr:colOff>1371600</xdr:colOff>
          <xdr:row>9</xdr:row>
          <xdr:rowOff>142875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B583E76E-1587-4FFE-A673-0E7B585DBEA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c r="C5" s="26" t="s">
        <v>966</v>
      </c>
      <c r="D5" s="84"/>
      <c r="E5" s="84"/>
      <c r="H5" s="38"/>
      <c r="I5" s="2042" t="s">
        <v>701</v>
      </c>
      <c r="J5" s="1987"/>
      <c r="K5" s="1987"/>
      <c r="L5" s="1987"/>
      <c r="M5" s="1987"/>
      <c r="N5" s="1987"/>
      <c r="O5" s="1987"/>
      <c r="P5" s="1987"/>
      <c r="Q5" s="1987"/>
      <c r="R5" s="1987"/>
      <c r="S5" s="1987"/>
    </row>
    <row r="6" spans="1:28" ht="14.1" customHeight="1" x14ac:dyDescent="0.2">
      <c r="B6" s="104" t="s">
        <v>2075</v>
      </c>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t="s">
        <v>2075</v>
      </c>
      <c r="P12" s="100" t="s">
        <v>211</v>
      </c>
      <c r="Q12" s="74"/>
      <c r="R12" s="30"/>
      <c r="S12" s="30"/>
      <c r="T12" s="85" t="s">
        <v>283</v>
      </c>
      <c r="U12" s="51"/>
      <c r="V12" s="51"/>
      <c r="W12" s="51"/>
      <c r="X12" s="51"/>
      <c r="Y12" s="45"/>
      <c r="Z12" s="45"/>
      <c r="AA12" s="46"/>
    </row>
    <row r="13" spans="1:28" ht="13.5" customHeight="1" x14ac:dyDescent="0.2">
      <c r="A13" s="2003">
        <v>6016083061</v>
      </c>
      <c r="B13" s="2004"/>
      <c r="C13" s="2004"/>
      <c r="D13" s="2004"/>
      <c r="E13" s="2004"/>
      <c r="F13" s="2004"/>
      <c r="G13" s="2004"/>
      <c r="H13" s="2005"/>
      <c r="I13" s="31"/>
      <c r="J13" s="30"/>
      <c r="K13" s="28"/>
      <c r="L13" s="30"/>
      <c r="M13" s="30"/>
      <c r="N13" s="30"/>
      <c r="O13" s="30"/>
      <c r="P13" s="30"/>
      <c r="Q13" s="30"/>
      <c r="R13" s="30"/>
      <c r="S13" s="30"/>
      <c r="T13" s="2008" t="s">
        <v>2082</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2076</v>
      </c>
      <c r="B15" s="2006"/>
      <c r="C15" s="2006"/>
      <c r="D15" s="2006"/>
      <c r="E15" s="2006"/>
      <c r="F15" s="2006"/>
      <c r="G15" s="2006"/>
      <c r="H15" s="2007"/>
      <c r="T15" s="1969" t="s">
        <v>2083</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2077</v>
      </c>
      <c r="B17" s="2031"/>
      <c r="C17" s="2031"/>
      <c r="D17" s="2031"/>
      <c r="E17" s="2031"/>
      <c r="F17" s="2031"/>
      <c r="G17" s="2031"/>
      <c r="H17" s="2032"/>
      <c r="T17" s="2018" t="s">
        <v>2084</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2078</v>
      </c>
      <c r="B19" s="2002"/>
      <c r="C19" s="2002"/>
      <c r="D19" s="2002"/>
      <c r="E19" s="2002"/>
      <c r="F19" s="2002"/>
      <c r="G19" s="2002"/>
      <c r="H19" s="2000"/>
      <c r="I19" s="30"/>
      <c r="J19" s="99"/>
      <c r="K19" s="40"/>
      <c r="L19" s="38"/>
      <c r="M19" s="112" t="s">
        <v>333</v>
      </c>
      <c r="P19" s="27"/>
      <c r="Q19" s="27"/>
      <c r="R19" s="27"/>
      <c r="S19" s="31"/>
      <c r="T19" s="2001" t="s">
        <v>2085</v>
      </c>
      <c r="U19" s="1999"/>
      <c r="V19" s="1999"/>
      <c r="W19" s="2000"/>
      <c r="X19" s="2016" t="s">
        <v>2086</v>
      </c>
      <c r="Y19" s="2017"/>
      <c r="Z19" s="2014">
        <v>60050</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2079</v>
      </c>
      <c r="B21" s="1999"/>
      <c r="C21" s="1999"/>
      <c r="D21" s="1999"/>
      <c r="E21" s="1999"/>
      <c r="F21" s="1999"/>
      <c r="G21" s="1999"/>
      <c r="H21" s="2000"/>
      <c r="I21" s="2024" t="s">
        <v>699</v>
      </c>
      <c r="J21" s="1987"/>
      <c r="K21" s="1987"/>
      <c r="L21" s="1987"/>
      <c r="M21" s="1987"/>
      <c r="N21" s="1987"/>
      <c r="O21" s="1987"/>
      <c r="P21" s="1987"/>
      <c r="Q21" s="1987"/>
      <c r="R21" s="1987"/>
      <c r="S21" s="1988"/>
      <c r="T21" s="1966" t="s">
        <v>2087</v>
      </c>
      <c r="U21" s="1967"/>
      <c r="V21" s="1967"/>
      <c r="W21" s="1967"/>
      <c r="X21" s="1980" t="s">
        <v>2088</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2080</v>
      </c>
      <c r="B23" s="2022"/>
      <c r="C23" s="2022"/>
      <c r="D23" s="2022"/>
      <c r="E23" s="2022"/>
      <c r="F23" s="2022"/>
      <c r="G23" s="2022"/>
      <c r="H23" s="2023"/>
      <c r="T23" s="1961" t="s">
        <v>2090</v>
      </c>
      <c r="U23" s="1962"/>
      <c r="V23" s="1962"/>
      <c r="W23" s="1962"/>
      <c r="X23" s="1977">
        <v>44530</v>
      </c>
      <c r="Y23" s="1978"/>
      <c r="Z23" s="1978"/>
      <c r="AA23" s="1979"/>
    </row>
    <row r="24" spans="1:27" ht="14.1" customHeight="1" x14ac:dyDescent="0.2">
      <c r="A24" s="88" t="s">
        <v>698</v>
      </c>
      <c r="B24" s="49"/>
      <c r="C24" s="49"/>
      <c r="D24" s="49"/>
      <c r="E24" s="49"/>
      <c r="F24" s="49"/>
      <c r="G24" s="49"/>
      <c r="H24" s="61"/>
      <c r="J24" s="2063" t="str">
        <f>IF(B5="x",IF(AUDITCHECK!D29="AFR form Incomplete.","",IF(AUDITCHECK!D29="Deficit reduction plan is required.","School District must complete a deficit reduction plan in the 2018-2019 Budget",)),"")</f>
        <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c r="B25" s="1999"/>
      <c r="C25" s="1999"/>
      <c r="D25" s="1999"/>
      <c r="E25" s="1999"/>
      <c r="F25" s="1999"/>
      <c r="G25" s="1999"/>
      <c r="H25" s="2000"/>
      <c r="I25" s="113"/>
      <c r="J25" s="2065"/>
      <c r="K25" s="2065"/>
      <c r="L25" s="2065"/>
      <c r="M25" s="2065"/>
      <c r="N25" s="2065"/>
      <c r="O25" s="2065"/>
      <c r="P25" s="2065"/>
      <c r="Q25" s="2065"/>
      <c r="R25" s="2065"/>
      <c r="S25" s="2066"/>
      <c r="T25" s="1958" t="s">
        <v>2089</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P10" sqref="P1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8" t="s">
        <v>1709</v>
      </c>
    </row>
    <row r="23" spans="1:5" x14ac:dyDescent="0.2">
      <c r="A23" s="168"/>
      <c r="B23" s="162" t="s">
        <v>1967</v>
      </c>
      <c r="D23" s="167" t="s">
        <v>658</v>
      </c>
      <c r="E23" s="1858"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6" t="s">
        <v>1877</v>
      </c>
    </row>
    <row r="60" spans="1:3" x14ac:dyDescent="0.2">
      <c r="A60" s="196"/>
      <c r="B60" s="1506"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8"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7"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P10" sqref="P1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60"/>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v>13428</v>
      </c>
      <c r="H85" s="276"/>
      <c r="I85" s="276"/>
      <c r="J85" s="277">
        <f>SUM(E85:I85)</f>
        <v>13428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v>83197</v>
      </c>
      <c r="F88" s="276"/>
      <c r="G88" s="276">
        <v>40228</v>
      </c>
      <c r="H88" s="276"/>
      <c r="I88" s="276"/>
      <c r="J88" s="277">
        <f>SUM(E88:I88)</f>
        <v>123425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136853</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2020</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P10" sqref="P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3">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7693333</v>
      </c>
      <c r="E16" s="356"/>
      <c r="F16" s="1754">
        <f>SUM('Acct Summary 7-8'!C17,'Acct Summary 7-8'!D17,'Acct Summary 7-8'!F17)</f>
        <v>7830130</v>
      </c>
      <c r="G16" s="356"/>
      <c r="H16" s="1754">
        <f>SUM(D16-F16)</f>
        <v>-136797</v>
      </c>
      <c r="I16" s="222"/>
      <c r="J16" s="1754">
        <f>SUM('Acct Summary 7-8'!C81,'Acct Summary 7-8'!D81,'Acct Summary 7-8'!F81,'Acct Summary 7-8'!I81)</f>
        <v>1544668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P10" sqref="P1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LEYDEN AREA SPECIAL EDUCATION COOPERATIVE</v>
      </c>
      <c r="E7" s="391"/>
      <c r="G7" s="252"/>
      <c r="H7" s="387"/>
      <c r="I7" s="387"/>
      <c r="J7" s="387"/>
      <c r="K7" s="387"/>
      <c r="L7" s="329"/>
      <c r="M7" s="329"/>
      <c r="N7" s="329"/>
      <c r="O7" s="329"/>
      <c r="P7" s="329"/>
    </row>
    <row r="8" spans="1:18" ht="12.75" x14ac:dyDescent="0.2">
      <c r="A8" s="329"/>
      <c r="B8" s="329"/>
      <c r="C8" s="389" t="s">
        <v>1187</v>
      </c>
      <c r="D8" s="392">
        <f>COVER!A13</f>
        <v>6016083061</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1544668</v>
      </c>
      <c r="I12" s="404"/>
      <c r="J12" s="404"/>
      <c r="K12" s="405">
        <f>TRUNC((H12/H13*100000),5)/100000</f>
        <v>0.200780078</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7693333</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7830130</v>
      </c>
      <c r="I17" s="404"/>
      <c r="J17" s="416"/>
      <c r="K17" s="405">
        <f>TRUNC((H17/H18*100000),5)/100000</f>
        <v>1.0177812398999999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7693333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5.6677755999999997</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345258</v>
      </c>
      <c r="I24" s="422"/>
      <c r="J24" s="422"/>
      <c r="K24" s="423">
        <f>TRUNC(((H24/H25*100000)/100000),2)</f>
        <v>15.87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21750.361110000002</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P10" sqref="P10"/>
      <selection pane="bottomLeft" activeCell="M40" sqref="M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0"/>
      <c r="D3" s="1581"/>
      <c r="E3" s="1581"/>
      <c r="F3" s="1581"/>
      <c r="G3" s="1581"/>
      <c r="H3" s="1581"/>
      <c r="I3" s="1581"/>
      <c r="J3" s="1581"/>
      <c r="K3" s="1581"/>
      <c r="L3" s="1581"/>
      <c r="M3" s="1582"/>
      <c r="N3" s="1583"/>
    </row>
    <row r="4" spans="1:14" ht="13.5" customHeight="1" x14ac:dyDescent="0.2">
      <c r="A4" s="463" t="s">
        <v>1750</v>
      </c>
      <c r="B4" s="464"/>
      <c r="C4" s="465">
        <v>345258</v>
      </c>
      <c r="D4" s="466">
        <v>0</v>
      </c>
      <c r="E4" s="466">
        <v>0</v>
      </c>
      <c r="F4" s="466">
        <v>0</v>
      </c>
      <c r="G4" s="466">
        <v>0</v>
      </c>
      <c r="H4" s="466">
        <v>0</v>
      </c>
      <c r="I4" s="466">
        <v>0</v>
      </c>
      <c r="J4" s="467">
        <v>0</v>
      </c>
      <c r="K4" s="466">
        <v>0</v>
      </c>
      <c r="L4" s="466"/>
      <c r="M4" s="468"/>
      <c r="N4" s="469"/>
    </row>
    <row r="5" spans="1:14" x14ac:dyDescent="0.2">
      <c r="A5" s="463" t="s">
        <v>1049</v>
      </c>
      <c r="B5" s="470">
        <v>120</v>
      </c>
      <c r="C5" s="465"/>
      <c r="D5" s="466"/>
      <c r="E5" s="466"/>
      <c r="F5" s="466"/>
      <c r="G5" s="466"/>
      <c r="H5" s="466"/>
      <c r="I5" s="466"/>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1148474</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465417</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665</v>
      </c>
      <c r="B13" s="1730"/>
      <c r="C13" s="1758">
        <f>SUM(C4:C12)</f>
        <v>1959149</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8"/>
      <c r="N13" s="469"/>
    </row>
    <row r="14" spans="1:14" ht="18" customHeight="1" thickTop="1" x14ac:dyDescent="0.2">
      <c r="A14" s="2127" t="s">
        <v>149</v>
      </c>
      <c r="B14" s="212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713532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664</v>
      </c>
      <c r="B23" s="1762"/>
      <c r="C23" s="468"/>
      <c r="D23" s="468"/>
      <c r="E23" s="468"/>
      <c r="F23" s="468"/>
      <c r="G23" s="468"/>
      <c r="H23" s="468"/>
      <c r="I23" s="468"/>
      <c r="J23" s="468"/>
      <c r="K23" s="468"/>
      <c r="L23" s="468"/>
      <c r="M23" s="1709">
        <f>SUM(M15:M22)</f>
        <v>713532</v>
      </c>
      <c r="N23" s="1709">
        <f>SUM(N21:N22)</f>
        <v>0</v>
      </c>
    </row>
    <row r="24" spans="1:14" ht="18" customHeight="1" thickTop="1" x14ac:dyDescent="0.2">
      <c r="A24" s="2129" t="s">
        <v>619</v>
      </c>
      <c r="B24" s="2130"/>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181520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64610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168351</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59" t="s">
        <v>675</v>
      </c>
      <c r="B34" s="1760"/>
      <c r="C34" s="1761">
        <f>SUM(C25:C33)</f>
        <v>414481</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8"/>
      <c r="N34" s="480"/>
    </row>
    <row r="35" spans="1:14" ht="18" customHeight="1" thickTop="1" x14ac:dyDescent="0.2">
      <c r="A35" s="2131" t="s">
        <v>550</v>
      </c>
      <c r="B35" s="213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674</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1544668</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713532</v>
      </c>
      <c r="N40" s="497"/>
    </row>
    <row r="41" spans="1:14" ht="13.5" customHeight="1" thickBot="1" x14ac:dyDescent="0.25">
      <c r="A41" s="1757" t="s">
        <v>676</v>
      </c>
      <c r="B41" s="1727"/>
      <c r="C41" s="1709">
        <f>(SUM(C34,C37,C38,C39))</f>
        <v>1959149</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713532</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P10" sqref="P10"/>
      <selection pane="bottomLeft" activeCell="K79" sqref="K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4"/>
      <c r="D3" s="1595"/>
      <c r="E3" s="1595"/>
      <c r="F3" s="1595"/>
      <c r="G3" s="1595"/>
      <c r="H3" s="1595"/>
      <c r="I3" s="1595"/>
      <c r="J3" s="1595"/>
      <c r="K3" s="1596"/>
      <c r="L3" s="506"/>
    </row>
    <row r="4" spans="1:13" ht="15.75" customHeight="1" x14ac:dyDescent="0.2">
      <c r="A4" s="1952" t="s">
        <v>1579</v>
      </c>
      <c r="B4" s="1953">
        <v>1000</v>
      </c>
      <c r="C4" s="1763">
        <f>'Revenues 9-14'!C109</f>
        <v>3695755</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7"/>
    </row>
    <row r="5" spans="1:13" ht="15.75" customHeight="1" x14ac:dyDescent="0.2">
      <c r="A5" s="1597" t="s">
        <v>1580</v>
      </c>
      <c r="B5" s="1598">
        <v>2000</v>
      </c>
      <c r="C5" s="1764">
        <f>'Revenues 9-14'!C114</f>
        <v>2038297</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525090</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1434191</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7693333</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7"/>
    </row>
    <row r="9" spans="1:13" ht="15.75" thickTop="1" x14ac:dyDescent="0.2">
      <c r="A9" s="514" t="s">
        <v>1752</v>
      </c>
      <c r="B9" s="515">
        <v>3998</v>
      </c>
      <c r="C9" s="481">
        <v>1386885</v>
      </c>
      <c r="D9" s="516">
        <v>0</v>
      </c>
      <c r="E9" s="481">
        <v>0</v>
      </c>
      <c r="F9" s="481">
        <v>0</v>
      </c>
      <c r="G9" s="517">
        <v>0</v>
      </c>
      <c r="H9" s="481">
        <v>0</v>
      </c>
      <c r="I9" s="509" t="s">
        <v>1231</v>
      </c>
      <c r="J9" s="478">
        <v>0</v>
      </c>
      <c r="K9" s="481">
        <v>0</v>
      </c>
      <c r="L9" s="347"/>
    </row>
    <row r="10" spans="1:13" s="519" customFormat="1" ht="13.5" thickBot="1" x14ac:dyDescent="0.25">
      <c r="A10" s="1757" t="s">
        <v>1235</v>
      </c>
      <c r="B10" s="1730"/>
      <c r="C10" s="1709">
        <f>SUM(C8:C9)</f>
        <v>9080218</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8"/>
    </row>
    <row r="11" spans="1:13" s="519" customFormat="1" ht="16.7" customHeight="1" thickTop="1" x14ac:dyDescent="0.2">
      <c r="A11" s="2127" t="s">
        <v>1238</v>
      </c>
      <c r="B11" s="2128"/>
      <c r="C11" s="1591"/>
      <c r="D11" s="1592"/>
      <c r="E11" s="1592"/>
      <c r="F11" s="1592"/>
      <c r="G11" s="1592"/>
      <c r="H11" s="1592"/>
      <c r="I11" s="1592"/>
      <c r="J11" s="1592"/>
      <c r="K11" s="1593"/>
      <c r="L11" s="518"/>
    </row>
    <row r="12" spans="1:13" ht="15.75" customHeight="1" x14ac:dyDescent="0.2">
      <c r="A12" s="1597" t="s">
        <v>476</v>
      </c>
      <c r="B12" s="1599">
        <v>1000</v>
      </c>
      <c r="C12" s="1763">
        <f>'Expenditures 15-22'!K33</f>
        <v>226418</v>
      </c>
      <c r="D12" s="520" t="s">
        <v>1231</v>
      </c>
      <c r="E12" s="468" t="s">
        <v>1231</v>
      </c>
      <c r="F12" s="468" t="s">
        <v>1231</v>
      </c>
      <c r="G12" s="1763">
        <f>'Expenditures 15-22'!K229</f>
        <v>0</v>
      </c>
      <c r="H12" s="521"/>
      <c r="I12" s="468" t="s">
        <v>1231</v>
      </c>
      <c r="J12" s="468" t="s">
        <v>1231</v>
      </c>
      <c r="K12" s="521" t="s">
        <v>1231</v>
      </c>
      <c r="L12" s="347"/>
    </row>
    <row r="13" spans="1:13" ht="15.75" customHeight="1" x14ac:dyDescent="0.2">
      <c r="A13" s="1597" t="s">
        <v>477</v>
      </c>
      <c r="B13" s="1599">
        <v>2000</v>
      </c>
      <c r="C13" s="1764">
        <f>'Expenditures 15-22'!K74</f>
        <v>4880122</v>
      </c>
      <c r="D13" s="1764">
        <f>'Expenditures 15-22'!K129</f>
        <v>0</v>
      </c>
      <c r="E13" s="469" t="s">
        <v>1231</v>
      </c>
      <c r="F13" s="1764">
        <f>'Expenditures 15-22'!K184</f>
        <v>0</v>
      </c>
      <c r="G13" s="1764">
        <f>'Expenditures 15-22'!K279</f>
        <v>0</v>
      </c>
      <c r="H13" s="1764">
        <f>'Expenditures 15-22'!K303</f>
        <v>0</v>
      </c>
      <c r="I13" s="468" t="s">
        <v>1231</v>
      </c>
      <c r="J13" s="1764">
        <f>'Expenditures 15-22'!K330</f>
        <v>0</v>
      </c>
      <c r="K13" s="1768">
        <f>'Expenditures 15-22'!K352</f>
        <v>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2723590</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7830130</v>
      </c>
      <c r="D17" s="1709">
        <f t="shared" si="2"/>
        <v>0</v>
      </c>
      <c r="E17" s="1709">
        <f t="shared" si="2"/>
        <v>0</v>
      </c>
      <c r="F17" s="1709">
        <f t="shared" si="2"/>
        <v>0</v>
      </c>
      <c r="G17" s="1709">
        <f t="shared" si="2"/>
        <v>0</v>
      </c>
      <c r="H17" s="1709">
        <f t="shared" si="2"/>
        <v>0</v>
      </c>
      <c r="I17" s="468"/>
      <c r="J17" s="1709">
        <f>SUM(J12:J16)</f>
        <v>0</v>
      </c>
      <c r="K17" s="1709">
        <f>SUM(K12:K16)</f>
        <v>0</v>
      </c>
      <c r="L17" s="347"/>
    </row>
    <row r="18" spans="1:12" ht="15" customHeight="1" thickTop="1" x14ac:dyDescent="0.2">
      <c r="A18" s="1765" t="s">
        <v>1753</v>
      </c>
      <c r="B18" s="1766">
        <v>4180</v>
      </c>
      <c r="C18" s="1763">
        <f t="shared" ref="C18:H18" si="3">C9</f>
        <v>1386885</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9217015</v>
      </c>
      <c r="D19" s="1709">
        <f t="shared" si="4"/>
        <v>0</v>
      </c>
      <c r="E19" s="1709">
        <f t="shared" si="4"/>
        <v>0</v>
      </c>
      <c r="F19" s="1709">
        <f t="shared" si="4"/>
        <v>0</v>
      </c>
      <c r="G19" s="1709">
        <f t="shared" si="4"/>
        <v>0</v>
      </c>
      <c r="H19" s="1709">
        <f t="shared" si="4"/>
        <v>0</v>
      </c>
      <c r="I19" s="468"/>
      <c r="J19" s="1709">
        <f>SUM(J17:J18)</f>
        <v>0</v>
      </c>
      <c r="K19" s="1709">
        <f>SUM(K17:K18)</f>
        <v>0</v>
      </c>
      <c r="L19" s="347"/>
    </row>
    <row r="20" spans="1:12" ht="16.5" thickTop="1" thickBot="1" x14ac:dyDescent="0.25">
      <c r="A20" s="2143" t="s">
        <v>1754</v>
      </c>
      <c r="B20" s="2144"/>
      <c r="C20" s="1767">
        <f>C8-C17</f>
        <v>-136797</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7"/>
    </row>
    <row r="21" spans="1:12" ht="16.7" customHeight="1" thickTop="1" x14ac:dyDescent="0.2">
      <c r="A21" s="2155" t="s">
        <v>616</v>
      </c>
      <c r="B21" s="2156"/>
      <c r="C21" s="1591"/>
      <c r="D21" s="1592"/>
      <c r="E21" s="1592"/>
      <c r="F21" s="1592"/>
      <c r="G21" s="1592"/>
      <c r="H21" s="1592"/>
      <c r="I21" s="1592"/>
      <c r="J21" s="1592"/>
      <c r="K21" s="1593"/>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1895</v>
      </c>
      <c r="B30" s="527">
        <v>7160</v>
      </c>
      <c r="C30" s="477"/>
      <c r="D30" s="467">
        <v>0</v>
      </c>
      <c r="E30" s="477"/>
      <c r="F30" s="477"/>
      <c r="G30" s="477"/>
      <c r="H30" s="477"/>
      <c r="I30" s="477"/>
      <c r="J30" s="477"/>
      <c r="K30" s="477"/>
      <c r="L30" s="524"/>
    </row>
    <row r="31" spans="1:12" s="485" customFormat="1" ht="26.25" x14ac:dyDescent="0.2">
      <c r="A31" s="1510" t="s">
        <v>1899</v>
      </c>
      <c r="B31" s="527">
        <v>7170</v>
      </c>
      <c r="C31" s="477"/>
      <c r="D31" s="477"/>
      <c r="E31" s="474">
        <v>0</v>
      </c>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7" t="s">
        <v>392</v>
      </c>
      <c r="B44" s="2158"/>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1898</v>
      </c>
      <c r="B52" s="483">
        <v>8160</v>
      </c>
      <c r="C52" s="477"/>
      <c r="D52" s="477"/>
      <c r="E52" s="477"/>
      <c r="F52" s="477"/>
      <c r="G52" s="477"/>
      <c r="H52" s="477"/>
      <c r="I52" s="477"/>
      <c r="J52" s="477"/>
      <c r="K52" s="1764">
        <f>D30</f>
        <v>0</v>
      </c>
      <c r="L52" s="524"/>
    </row>
    <row r="53" spans="1:12" s="485" customFormat="1" ht="26.25" x14ac:dyDescent="0.2">
      <c r="A53" s="1511" t="s">
        <v>1897</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3" t="s">
        <v>460</v>
      </c>
      <c r="B76" s="2134"/>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5" t="s">
        <v>1239</v>
      </c>
      <c r="B77" s="2136"/>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9" t="s">
        <v>618</v>
      </c>
      <c r="B78" s="2140"/>
      <c r="C78" s="1723">
        <f t="shared" ref="C78:K78" si="9">C20+C77</f>
        <v>-136797</v>
      </c>
      <c r="D78" s="1723">
        <f t="shared" si="9"/>
        <v>0</v>
      </c>
      <c r="E78" s="1723">
        <f t="shared" si="9"/>
        <v>0</v>
      </c>
      <c r="F78" s="1723">
        <f t="shared" si="9"/>
        <v>0</v>
      </c>
      <c r="G78" s="1723">
        <f t="shared" si="9"/>
        <v>0</v>
      </c>
      <c r="H78" s="1723">
        <f t="shared" si="9"/>
        <v>0</v>
      </c>
      <c r="I78" s="1723">
        <f t="shared" si="9"/>
        <v>0</v>
      </c>
      <c r="J78" s="1723">
        <f t="shared" si="9"/>
        <v>0</v>
      </c>
      <c r="K78" s="1723">
        <f t="shared" si="9"/>
        <v>0</v>
      </c>
      <c r="L78" s="533"/>
    </row>
    <row r="79" spans="1:12" ht="13.5" thickTop="1" x14ac:dyDescent="0.2">
      <c r="A79" s="1515" t="s">
        <v>2071</v>
      </c>
      <c r="B79" s="534"/>
      <c r="C79" s="478">
        <v>1681465</v>
      </c>
      <c r="D79" s="535">
        <v>0</v>
      </c>
      <c r="E79" s="535">
        <v>0</v>
      </c>
      <c r="F79" s="535">
        <v>0</v>
      </c>
      <c r="G79" s="535">
        <v>0</v>
      </c>
      <c r="H79" s="535">
        <v>0</v>
      </c>
      <c r="I79" s="535">
        <v>0</v>
      </c>
      <c r="J79" s="535">
        <v>0</v>
      </c>
      <c r="K79" s="535">
        <v>0</v>
      </c>
      <c r="L79" s="347"/>
    </row>
    <row r="80" spans="1:12" x14ac:dyDescent="0.2">
      <c r="A80" s="2145" t="s">
        <v>1896</v>
      </c>
      <c r="B80" s="2146"/>
      <c r="C80" s="467"/>
      <c r="D80" s="467"/>
      <c r="E80" s="467"/>
      <c r="F80" s="467"/>
      <c r="G80" s="467"/>
      <c r="H80" s="467"/>
      <c r="I80" s="467"/>
      <c r="J80" s="467"/>
      <c r="K80" s="467"/>
      <c r="L80" s="347"/>
    </row>
    <row r="81" spans="1:12" ht="13.5" thickBot="1" x14ac:dyDescent="0.25">
      <c r="A81" s="2137" t="s">
        <v>2072</v>
      </c>
      <c r="B81" s="2138"/>
      <c r="C81" s="1709">
        <f>(SUM(C78:C80))</f>
        <v>1544668</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7"/>
    </row>
    <row r="82" spans="1:12" ht="0.75" customHeight="1" thickTop="1" thickBot="1" x14ac:dyDescent="0.25">
      <c r="A82" s="536" t="s">
        <v>361</v>
      </c>
      <c r="B82" s="537"/>
      <c r="C82" s="538">
        <f>(C81-C79)</f>
        <v>-136797</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-8.8560778108952867E-2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P10" sqref="P10"/>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1903</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0</v>
      </c>
      <c r="D5" s="481">
        <v>0</v>
      </c>
      <c r="E5" s="466">
        <v>0</v>
      </c>
      <c r="F5" s="548">
        <v>0</v>
      </c>
      <c r="G5" s="466">
        <v>0</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111699</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111699</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11763</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11763</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569</v>
      </c>
      <c r="B75" s="1730"/>
      <c r="C75" s="1709">
        <f>SUM(C69:C74)</f>
        <v>0</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9" t="s">
        <v>259</v>
      </c>
      <c r="B82" s="1730"/>
      <c r="C82" s="1728">
        <f>SUM(C77:C81)</f>
        <v>0</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65000</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2300536</v>
      </c>
      <c r="D98" s="466">
        <v>0</v>
      </c>
      <c r="E98" s="512"/>
      <c r="F98" s="466">
        <v>0</v>
      </c>
      <c r="G98" s="512"/>
      <c r="H98" s="512"/>
      <c r="I98" s="510"/>
      <c r="J98" s="512"/>
      <c r="K98" s="512"/>
    </row>
    <row r="99" spans="1:12" ht="12.75" customHeight="1" x14ac:dyDescent="0.2">
      <c r="A99" s="463" t="s">
        <v>875</v>
      </c>
      <c r="B99" s="470">
        <v>1950</v>
      </c>
      <c r="C99" s="489">
        <v>2172</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1095529</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109056</v>
      </c>
      <c r="D107" s="466">
        <v>0</v>
      </c>
      <c r="E107" s="466">
        <v>0</v>
      </c>
      <c r="F107" s="466">
        <v>0</v>
      </c>
      <c r="G107" s="466">
        <v>0</v>
      </c>
      <c r="H107" s="466">
        <v>0</v>
      </c>
      <c r="I107" s="466">
        <v>0</v>
      </c>
      <c r="J107" s="467">
        <v>0</v>
      </c>
      <c r="K107" s="466">
        <v>0</v>
      </c>
    </row>
    <row r="108" spans="1:12" ht="12.75" customHeight="1" thickBot="1" x14ac:dyDescent="0.25">
      <c r="A108" s="1729" t="s">
        <v>508</v>
      </c>
      <c r="B108" s="1733"/>
      <c r="C108" s="1728">
        <f>SUM(C95:C107)</f>
        <v>3572293</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3695755</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2038297</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2038297</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332786</v>
      </c>
      <c r="D117" s="481">
        <v>0</v>
      </c>
      <c r="E117" s="466">
        <v>0</v>
      </c>
      <c r="F117" s="481">
        <v>0</v>
      </c>
      <c r="G117" s="481">
        <v>0</v>
      </c>
      <c r="H117" s="466">
        <v>0</v>
      </c>
      <c r="I117" s="468"/>
      <c r="J117" s="467">
        <v>0</v>
      </c>
      <c r="K117" s="466">
        <v>0</v>
      </c>
    </row>
    <row r="118" spans="1:11" ht="12.75" customHeight="1" x14ac:dyDescent="0.2">
      <c r="A118" s="463" t="s">
        <v>1900</v>
      </c>
      <c r="B118" s="562">
        <v>3002</v>
      </c>
      <c r="C118" s="551">
        <v>0</v>
      </c>
      <c r="D118" s="466">
        <v>0</v>
      </c>
      <c r="E118" s="466">
        <v>0</v>
      </c>
      <c r="F118" s="466">
        <v>0</v>
      </c>
      <c r="G118" s="466">
        <v>0</v>
      </c>
      <c r="H118" s="466">
        <v>0</v>
      </c>
      <c r="I118" s="468"/>
      <c r="J118" s="467">
        <v>0</v>
      </c>
      <c r="K118" s="466">
        <v>0</v>
      </c>
    </row>
    <row r="119" spans="1:11" ht="12.75" customHeight="1" x14ac:dyDescent="0.2">
      <c r="A119" s="463" t="s">
        <v>1901</v>
      </c>
      <c r="B119" s="562">
        <v>3005</v>
      </c>
      <c r="C119" s="551">
        <v>0</v>
      </c>
      <c r="D119" s="466">
        <v>0</v>
      </c>
      <c r="E119" s="466">
        <v>0</v>
      </c>
      <c r="F119" s="466">
        <v>0</v>
      </c>
      <c r="G119" s="466">
        <v>0</v>
      </c>
      <c r="H119" s="466">
        <v>0</v>
      </c>
      <c r="I119" s="468"/>
      <c r="J119" s="467">
        <v>0</v>
      </c>
      <c r="K119" s="466">
        <v>0</v>
      </c>
    </row>
    <row r="120" spans="1:11" x14ac:dyDescent="0.2">
      <c r="A120" s="1517" t="s">
        <v>1902</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332786</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83197</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83197</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0</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40227</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40227</v>
      </c>
      <c r="D154" s="1728">
        <f>SUM(D151:D153)</f>
        <v>0</v>
      </c>
      <c r="E154" s="561"/>
      <c r="F154" s="1728">
        <f>SUM(F151:F153)</f>
        <v>0</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68880</v>
      </c>
      <c r="D171" s="580">
        <v>0</v>
      </c>
      <c r="E171" s="580">
        <v>0</v>
      </c>
      <c r="F171" s="580">
        <v>0</v>
      </c>
      <c r="G171" s="581">
        <v>0</v>
      </c>
      <c r="H171" s="582">
        <v>0</v>
      </c>
      <c r="I171" s="581">
        <v>0</v>
      </c>
      <c r="J171" s="581">
        <v>0</v>
      </c>
      <c r="K171" s="582">
        <v>0</v>
      </c>
    </row>
    <row r="172" spans="1:11" ht="12.75" customHeight="1" thickTop="1" thickBot="1" x14ac:dyDescent="0.25">
      <c r="A172" s="2161" t="s">
        <v>418</v>
      </c>
      <c r="B172" s="2162"/>
      <c r="C172" s="1743">
        <f t="shared" ref="C172:K172" si="6">SUM(C131,C140,C144,C145:C149,C154,C155:C170,C171)</f>
        <v>192304</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525090</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7" t="s">
        <v>1764</v>
      </c>
      <c r="B178" s="216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9" t="s">
        <v>818</v>
      </c>
      <c r="B184" s="2170"/>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5" t="s">
        <v>1904</v>
      </c>
      <c r="B185" s="216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0</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0</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52074</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1315073</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1367147</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67044</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1434191</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1434191</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7693333</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5" activePane="bottomLeft" state="frozen"/>
      <selection activeCell="P10" sqref="P10"/>
      <selection pane="bottomLeft" activeCell="H355" sqref="H35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0</v>
      </c>
      <c r="D5" s="466">
        <v>0</v>
      </c>
      <c r="E5" s="466">
        <v>0</v>
      </c>
      <c r="F5" s="466">
        <v>0</v>
      </c>
      <c r="G5" s="466">
        <v>0</v>
      </c>
      <c r="H5" s="466">
        <v>0</v>
      </c>
      <c r="I5" s="467">
        <v>0</v>
      </c>
      <c r="J5" s="467">
        <v>0</v>
      </c>
      <c r="K5" s="1692">
        <f>SUM(C5:J5)</f>
        <v>0</v>
      </c>
      <c r="L5" s="466">
        <v>0</v>
      </c>
    </row>
    <row r="6" spans="1:14" x14ac:dyDescent="0.2">
      <c r="A6" s="1525" t="s">
        <v>1508</v>
      </c>
      <c r="B6" s="615" t="s">
        <v>1506</v>
      </c>
      <c r="C6" s="477"/>
      <c r="D6" s="477"/>
      <c r="E6" s="466">
        <v>0</v>
      </c>
      <c r="F6" s="477"/>
      <c r="G6" s="477"/>
      <c r="H6" s="477"/>
      <c r="I6" s="477"/>
      <c r="J6" s="477"/>
      <c r="K6" s="1692">
        <f>SUM(C6,E6)</f>
        <v>0</v>
      </c>
      <c r="L6" s="466">
        <v>0</v>
      </c>
    </row>
    <row r="7" spans="1:14" x14ac:dyDescent="0.2">
      <c r="A7" s="1525" t="s">
        <v>165</v>
      </c>
      <c r="B7" s="615" t="s">
        <v>1024</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38976</v>
      </c>
      <c r="D8" s="466">
        <v>529</v>
      </c>
      <c r="E8" s="466">
        <v>459</v>
      </c>
      <c r="F8" s="466">
        <v>265</v>
      </c>
      <c r="G8" s="466">
        <v>0</v>
      </c>
      <c r="H8" s="466">
        <v>0</v>
      </c>
      <c r="I8" s="467">
        <v>0</v>
      </c>
      <c r="J8" s="467">
        <v>0</v>
      </c>
      <c r="K8" s="1692">
        <f t="shared" si="0"/>
        <v>40229</v>
      </c>
      <c r="L8" s="466">
        <v>41071</v>
      </c>
    </row>
    <row r="9" spans="1:14" x14ac:dyDescent="0.2">
      <c r="A9" s="1525" t="s">
        <v>745</v>
      </c>
      <c r="B9" s="615" t="s">
        <v>1025</v>
      </c>
      <c r="C9" s="467">
        <v>0</v>
      </c>
      <c r="D9" s="467">
        <v>0</v>
      </c>
      <c r="E9" s="467">
        <v>0</v>
      </c>
      <c r="F9" s="467">
        <v>0</v>
      </c>
      <c r="G9" s="467">
        <v>0</v>
      </c>
      <c r="H9" s="467">
        <v>0</v>
      </c>
      <c r="I9" s="467">
        <v>0</v>
      </c>
      <c r="J9" s="467">
        <v>0</v>
      </c>
      <c r="K9" s="1692">
        <f t="shared" si="0"/>
        <v>0</v>
      </c>
      <c r="L9" s="466">
        <v>0</v>
      </c>
    </row>
    <row r="10" spans="1:14" x14ac:dyDescent="0.2">
      <c r="A10" s="1525" t="s">
        <v>746</v>
      </c>
      <c r="B10" s="615">
        <v>1250</v>
      </c>
      <c r="C10" s="466">
        <v>0</v>
      </c>
      <c r="D10" s="466">
        <v>0</v>
      </c>
      <c r="E10" s="466">
        <v>0</v>
      </c>
      <c r="F10" s="466">
        <v>0</v>
      </c>
      <c r="G10" s="466">
        <v>0</v>
      </c>
      <c r="H10" s="466">
        <v>0</v>
      </c>
      <c r="I10" s="467">
        <v>0</v>
      </c>
      <c r="J10" s="467">
        <v>0</v>
      </c>
      <c r="K10" s="1692">
        <f t="shared" si="0"/>
        <v>0</v>
      </c>
      <c r="L10" s="466">
        <v>0</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0</v>
      </c>
      <c r="D13" s="466">
        <v>0</v>
      </c>
      <c r="E13" s="466">
        <v>0</v>
      </c>
      <c r="F13" s="466">
        <v>0</v>
      </c>
      <c r="G13" s="466">
        <v>0</v>
      </c>
      <c r="H13" s="466">
        <v>0</v>
      </c>
      <c r="I13" s="467">
        <v>0</v>
      </c>
      <c r="J13" s="467">
        <v>0</v>
      </c>
      <c r="K13" s="1692">
        <f t="shared" si="0"/>
        <v>0</v>
      </c>
      <c r="L13" s="466">
        <v>0</v>
      </c>
    </row>
    <row r="14" spans="1:14" x14ac:dyDescent="0.2">
      <c r="A14" s="1525" t="s">
        <v>1020</v>
      </c>
      <c r="B14" s="615">
        <v>1500</v>
      </c>
      <c r="C14" s="466">
        <v>0</v>
      </c>
      <c r="D14" s="466">
        <v>0</v>
      </c>
      <c r="E14" s="466">
        <v>0</v>
      </c>
      <c r="F14" s="466">
        <v>0</v>
      </c>
      <c r="G14" s="466">
        <v>0</v>
      </c>
      <c r="H14" s="466">
        <v>0</v>
      </c>
      <c r="I14" s="467">
        <v>0</v>
      </c>
      <c r="J14" s="467">
        <v>0</v>
      </c>
      <c r="K14" s="1692">
        <f t="shared" si="0"/>
        <v>0</v>
      </c>
      <c r="L14" s="466">
        <v>0</v>
      </c>
    </row>
    <row r="15" spans="1:14" x14ac:dyDescent="0.2">
      <c r="A15" s="1525" t="s">
        <v>1021</v>
      </c>
      <c r="B15" s="615">
        <v>1600</v>
      </c>
      <c r="C15" s="466">
        <v>120261</v>
      </c>
      <c r="D15" s="466">
        <v>8777</v>
      </c>
      <c r="E15" s="466">
        <v>56687</v>
      </c>
      <c r="F15" s="466">
        <v>464</v>
      </c>
      <c r="G15" s="466">
        <v>0</v>
      </c>
      <c r="H15" s="466">
        <v>0</v>
      </c>
      <c r="I15" s="467">
        <v>0</v>
      </c>
      <c r="J15" s="467">
        <v>0</v>
      </c>
      <c r="K15" s="1692">
        <f t="shared" si="0"/>
        <v>186189</v>
      </c>
      <c r="L15" s="466">
        <v>189539</v>
      </c>
    </row>
    <row r="16" spans="1:14" x14ac:dyDescent="0.2">
      <c r="A16" s="1525" t="s">
        <v>1044</v>
      </c>
      <c r="B16" s="615" t="s">
        <v>444</v>
      </c>
      <c r="C16" s="466">
        <v>0</v>
      </c>
      <c r="D16" s="466">
        <v>0</v>
      </c>
      <c r="E16" s="466">
        <v>0</v>
      </c>
      <c r="F16" s="466">
        <v>0</v>
      </c>
      <c r="G16" s="466">
        <v>0</v>
      </c>
      <c r="H16" s="466">
        <v>0</v>
      </c>
      <c r="I16" s="467">
        <v>0</v>
      </c>
      <c r="J16" s="467">
        <v>0</v>
      </c>
      <c r="K16" s="1692">
        <f t="shared" si="0"/>
        <v>0</v>
      </c>
      <c r="L16" s="466">
        <v>0</v>
      </c>
    </row>
    <row r="17" spans="1:12" x14ac:dyDescent="0.2">
      <c r="A17" s="1525" t="s">
        <v>748</v>
      </c>
      <c r="B17" s="615" t="s">
        <v>164</v>
      </c>
      <c r="C17" s="467">
        <v>0</v>
      </c>
      <c r="D17" s="467">
        <v>0</v>
      </c>
      <c r="E17" s="467">
        <v>0</v>
      </c>
      <c r="F17" s="467">
        <v>0</v>
      </c>
      <c r="G17" s="467">
        <v>0</v>
      </c>
      <c r="H17" s="467">
        <v>0</v>
      </c>
      <c r="I17" s="467">
        <v>0</v>
      </c>
      <c r="J17" s="467">
        <v>0</v>
      </c>
      <c r="K17" s="1692">
        <f t="shared" si="0"/>
        <v>0</v>
      </c>
      <c r="L17" s="466">
        <v>0</v>
      </c>
    </row>
    <row r="18" spans="1:12" x14ac:dyDescent="0.2">
      <c r="A18" s="1525" t="s">
        <v>1148</v>
      </c>
      <c r="B18" s="615">
        <v>1800</v>
      </c>
      <c r="C18" s="466">
        <v>0</v>
      </c>
      <c r="D18" s="466">
        <v>0</v>
      </c>
      <c r="E18" s="466">
        <v>0</v>
      </c>
      <c r="F18" s="466">
        <v>0</v>
      </c>
      <c r="G18" s="466">
        <v>0</v>
      </c>
      <c r="H18" s="466">
        <v>0</v>
      </c>
      <c r="I18" s="467">
        <v>0</v>
      </c>
      <c r="J18" s="467">
        <v>0</v>
      </c>
      <c r="K18" s="1692">
        <f t="shared" si="0"/>
        <v>0</v>
      </c>
      <c r="L18" s="466">
        <v>0</v>
      </c>
    </row>
    <row r="19" spans="1:12" x14ac:dyDescent="0.2">
      <c r="A19" s="1525" t="s">
        <v>136</v>
      </c>
      <c r="B19" s="615">
        <v>1900</v>
      </c>
      <c r="C19" s="466">
        <v>0</v>
      </c>
      <c r="D19" s="466">
        <v>0</v>
      </c>
      <c r="E19" s="466">
        <v>0</v>
      </c>
      <c r="F19" s="466">
        <v>0</v>
      </c>
      <c r="G19" s="466">
        <v>0</v>
      </c>
      <c r="H19" s="466">
        <v>0</v>
      </c>
      <c r="I19" s="467">
        <v>0</v>
      </c>
      <c r="J19" s="467">
        <v>0</v>
      </c>
      <c r="K19" s="1692">
        <f t="shared" si="0"/>
        <v>0</v>
      </c>
      <c r="L19" s="466">
        <v>0</v>
      </c>
    </row>
    <row r="20" spans="1:12" x14ac:dyDescent="0.2">
      <c r="A20" s="1526" t="s">
        <v>762</v>
      </c>
      <c r="B20" s="603" t="s">
        <v>749</v>
      </c>
      <c r="C20" s="477"/>
      <c r="D20" s="477"/>
      <c r="E20" s="477"/>
      <c r="F20" s="477"/>
      <c r="G20" s="477"/>
      <c r="H20" s="474">
        <v>0</v>
      </c>
      <c r="I20" s="617"/>
      <c r="J20" s="475"/>
      <c r="K20" s="1692">
        <f t="shared" si="0"/>
        <v>0</v>
      </c>
      <c r="L20" s="471">
        <v>0</v>
      </c>
    </row>
    <row r="21" spans="1:12" x14ac:dyDescent="0.2">
      <c r="A21" s="1526" t="s">
        <v>763</v>
      </c>
      <c r="B21" s="603" t="s">
        <v>750</v>
      </c>
      <c r="C21" s="477"/>
      <c r="D21" s="477"/>
      <c r="E21" s="477"/>
      <c r="F21" s="477"/>
      <c r="G21" s="477"/>
      <c r="H21" s="474">
        <v>0</v>
      </c>
      <c r="I21" s="617"/>
      <c r="J21" s="477"/>
      <c r="K21" s="1692">
        <f t="shared" si="0"/>
        <v>0</v>
      </c>
      <c r="L21" s="471">
        <v>0</v>
      </c>
    </row>
    <row r="22" spans="1:12" x14ac:dyDescent="0.2">
      <c r="A22" s="1526" t="s">
        <v>764</v>
      </c>
      <c r="B22" s="603" t="s">
        <v>751</v>
      </c>
      <c r="C22" s="477"/>
      <c r="D22" s="477"/>
      <c r="E22" s="477"/>
      <c r="F22" s="477"/>
      <c r="G22" s="477"/>
      <c r="H22" s="474">
        <v>0</v>
      </c>
      <c r="I22" s="617"/>
      <c r="J22" s="477"/>
      <c r="K22" s="1692">
        <f t="shared" si="0"/>
        <v>0</v>
      </c>
      <c r="L22" s="471">
        <v>0</v>
      </c>
    </row>
    <row r="23" spans="1:12" x14ac:dyDescent="0.2">
      <c r="A23" s="1526" t="s">
        <v>765</v>
      </c>
      <c r="B23" s="603" t="s">
        <v>752</v>
      </c>
      <c r="C23" s="477"/>
      <c r="D23" s="477"/>
      <c r="E23" s="477"/>
      <c r="F23" s="477"/>
      <c r="G23" s="477"/>
      <c r="H23" s="474">
        <v>0</v>
      </c>
      <c r="I23" s="617"/>
      <c r="J23" s="477"/>
      <c r="K23" s="1692">
        <f t="shared" si="0"/>
        <v>0</v>
      </c>
      <c r="L23" s="471">
        <v>0</v>
      </c>
    </row>
    <row r="24" spans="1:12" ht="12.75" customHeight="1" x14ac:dyDescent="0.2">
      <c r="A24" s="1526" t="s">
        <v>766</v>
      </c>
      <c r="B24" s="603" t="s">
        <v>753</v>
      </c>
      <c r="C24" s="477"/>
      <c r="D24" s="477"/>
      <c r="E24" s="477"/>
      <c r="F24" s="477"/>
      <c r="G24" s="477"/>
      <c r="H24" s="474">
        <v>0</v>
      </c>
      <c r="I24" s="617"/>
      <c r="J24" s="477"/>
      <c r="K24" s="1692">
        <f t="shared" si="0"/>
        <v>0</v>
      </c>
      <c r="L24" s="471">
        <v>0</v>
      </c>
    </row>
    <row r="25" spans="1:12" ht="12.75" customHeight="1" x14ac:dyDescent="0.2">
      <c r="A25" s="1526" t="s">
        <v>835</v>
      </c>
      <c r="B25" s="603" t="s">
        <v>754</v>
      </c>
      <c r="C25" s="477"/>
      <c r="D25" s="477"/>
      <c r="E25" s="477"/>
      <c r="F25" s="477"/>
      <c r="G25" s="477"/>
      <c r="H25" s="474">
        <v>0</v>
      </c>
      <c r="I25" s="617"/>
      <c r="J25" s="477"/>
      <c r="K25" s="1692">
        <f t="shared" si="0"/>
        <v>0</v>
      </c>
      <c r="L25" s="471">
        <v>0</v>
      </c>
    </row>
    <row r="26" spans="1:12" x14ac:dyDescent="0.2">
      <c r="A26" s="1526" t="s">
        <v>643</v>
      </c>
      <c r="B26" s="603" t="s">
        <v>755</v>
      </c>
      <c r="C26" s="477"/>
      <c r="D26" s="477"/>
      <c r="E26" s="477"/>
      <c r="F26" s="477"/>
      <c r="G26" s="477"/>
      <c r="H26" s="474">
        <v>0</v>
      </c>
      <c r="I26" s="617"/>
      <c r="J26" s="477"/>
      <c r="K26" s="1692">
        <f t="shared" si="0"/>
        <v>0</v>
      </c>
      <c r="L26" s="471">
        <v>0</v>
      </c>
    </row>
    <row r="27" spans="1:12" x14ac:dyDescent="0.2">
      <c r="A27" s="1526" t="s">
        <v>644</v>
      </c>
      <c r="B27" s="603" t="s">
        <v>756</v>
      </c>
      <c r="C27" s="477"/>
      <c r="D27" s="477"/>
      <c r="E27" s="477"/>
      <c r="F27" s="477"/>
      <c r="G27" s="477"/>
      <c r="H27" s="474">
        <v>0</v>
      </c>
      <c r="I27" s="617"/>
      <c r="J27" s="477"/>
      <c r="K27" s="1692">
        <f t="shared" si="0"/>
        <v>0</v>
      </c>
      <c r="L27" s="471">
        <v>0</v>
      </c>
    </row>
    <row r="28" spans="1:12" x14ac:dyDescent="0.2">
      <c r="A28" s="1526" t="s">
        <v>152</v>
      </c>
      <c r="B28" s="603" t="s">
        <v>757</v>
      </c>
      <c r="C28" s="477"/>
      <c r="D28" s="477"/>
      <c r="E28" s="477"/>
      <c r="F28" s="477"/>
      <c r="G28" s="477"/>
      <c r="H28" s="474">
        <v>0</v>
      </c>
      <c r="I28" s="617"/>
      <c r="J28" s="477"/>
      <c r="K28" s="1692">
        <f t="shared" si="0"/>
        <v>0</v>
      </c>
      <c r="L28" s="471">
        <v>0</v>
      </c>
    </row>
    <row r="29" spans="1:12" x14ac:dyDescent="0.2">
      <c r="A29" s="1526" t="s">
        <v>153</v>
      </c>
      <c r="B29" s="603" t="s">
        <v>758</v>
      </c>
      <c r="C29" s="477"/>
      <c r="D29" s="477"/>
      <c r="E29" s="477"/>
      <c r="F29" s="477"/>
      <c r="G29" s="477"/>
      <c r="H29" s="474">
        <v>0</v>
      </c>
      <c r="I29" s="617"/>
      <c r="J29" s="477"/>
      <c r="K29" s="1692">
        <f t="shared" si="0"/>
        <v>0</v>
      </c>
      <c r="L29" s="471">
        <v>0</v>
      </c>
    </row>
    <row r="30" spans="1:12" x14ac:dyDescent="0.2">
      <c r="A30" s="1526" t="s">
        <v>154</v>
      </c>
      <c r="B30" s="603" t="s">
        <v>759</v>
      </c>
      <c r="C30" s="477"/>
      <c r="D30" s="477"/>
      <c r="E30" s="477"/>
      <c r="F30" s="477"/>
      <c r="G30" s="477"/>
      <c r="H30" s="474">
        <v>0</v>
      </c>
      <c r="I30" s="617"/>
      <c r="J30" s="477"/>
      <c r="K30" s="1692">
        <f t="shared" si="0"/>
        <v>0</v>
      </c>
      <c r="L30" s="471">
        <v>0</v>
      </c>
    </row>
    <row r="31" spans="1:12" x14ac:dyDescent="0.2">
      <c r="A31" s="1526" t="s">
        <v>155</v>
      </c>
      <c r="B31" s="603" t="s">
        <v>760</v>
      </c>
      <c r="C31" s="477"/>
      <c r="D31" s="477"/>
      <c r="E31" s="477"/>
      <c r="F31" s="477"/>
      <c r="G31" s="477"/>
      <c r="H31" s="474">
        <v>0</v>
      </c>
      <c r="I31" s="617"/>
      <c r="J31" s="477"/>
      <c r="K31" s="1692">
        <f t="shared" si="0"/>
        <v>0</v>
      </c>
      <c r="L31" s="471">
        <v>0</v>
      </c>
    </row>
    <row r="32" spans="1:12" x14ac:dyDescent="0.2">
      <c r="A32" s="1527" t="s">
        <v>1191</v>
      </c>
      <c r="B32" s="615" t="s">
        <v>761</v>
      </c>
      <c r="C32" s="477"/>
      <c r="D32" s="477"/>
      <c r="E32" s="477"/>
      <c r="F32" s="477"/>
      <c r="G32" s="477"/>
      <c r="H32" s="474">
        <v>0</v>
      </c>
      <c r="I32" s="617"/>
      <c r="J32" s="480"/>
      <c r="K32" s="1692">
        <f t="shared" si="0"/>
        <v>0</v>
      </c>
      <c r="L32" s="471">
        <v>0</v>
      </c>
    </row>
    <row r="33" spans="1:14" ht="12.75" customHeight="1" thickBot="1" x14ac:dyDescent="0.25">
      <c r="A33" s="1689" t="s">
        <v>1767</v>
      </c>
      <c r="B33" s="1690" t="s">
        <v>591</v>
      </c>
      <c r="C33" s="1691">
        <f>SUM(C5:C32)</f>
        <v>159237</v>
      </c>
      <c r="D33" s="1691">
        <f t="shared" ref="D33:L33" si="1">SUM(D5:D32)</f>
        <v>9306</v>
      </c>
      <c r="E33" s="1691">
        <f t="shared" si="1"/>
        <v>57146</v>
      </c>
      <c r="F33" s="1691">
        <f t="shared" si="1"/>
        <v>729</v>
      </c>
      <c r="G33" s="1691">
        <f t="shared" si="1"/>
        <v>0</v>
      </c>
      <c r="H33" s="1691">
        <f t="shared" si="1"/>
        <v>0</v>
      </c>
      <c r="I33" s="1691">
        <f t="shared" si="1"/>
        <v>0</v>
      </c>
      <c r="J33" s="1691">
        <f t="shared" si="1"/>
        <v>0</v>
      </c>
      <c r="K33" s="1691">
        <f t="shared" si="1"/>
        <v>226418</v>
      </c>
      <c r="L33" s="1691">
        <f t="shared" si="1"/>
        <v>230610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69993</v>
      </c>
      <c r="D36" s="481">
        <v>2037</v>
      </c>
      <c r="E36" s="481">
        <v>0</v>
      </c>
      <c r="F36" s="481">
        <v>0</v>
      </c>
      <c r="G36" s="481">
        <v>0</v>
      </c>
      <c r="H36" s="481">
        <v>0</v>
      </c>
      <c r="I36" s="467">
        <v>0</v>
      </c>
      <c r="J36" s="467">
        <v>0</v>
      </c>
      <c r="K36" s="1692">
        <f t="shared" ref="K36:K41" si="2">SUM(C36:J36)</f>
        <v>72030</v>
      </c>
      <c r="L36" s="466">
        <v>74753</v>
      </c>
    </row>
    <row r="37" spans="1:14" x14ac:dyDescent="0.2">
      <c r="A37" s="1525" t="s">
        <v>1151</v>
      </c>
      <c r="B37" s="615">
        <v>2120</v>
      </c>
      <c r="C37" s="466">
        <v>0</v>
      </c>
      <c r="D37" s="466">
        <v>0</v>
      </c>
      <c r="E37" s="466">
        <v>0</v>
      </c>
      <c r="F37" s="466">
        <v>0</v>
      </c>
      <c r="G37" s="466">
        <v>0</v>
      </c>
      <c r="H37" s="466">
        <v>0</v>
      </c>
      <c r="I37" s="467">
        <v>0</v>
      </c>
      <c r="J37" s="467">
        <v>0</v>
      </c>
      <c r="K37" s="1692">
        <f t="shared" si="2"/>
        <v>0</v>
      </c>
      <c r="L37" s="466">
        <v>0</v>
      </c>
    </row>
    <row r="38" spans="1:14" x14ac:dyDescent="0.2">
      <c r="A38" s="1525" t="s">
        <v>207</v>
      </c>
      <c r="B38" s="615">
        <v>2130</v>
      </c>
      <c r="C38" s="466">
        <v>98752</v>
      </c>
      <c r="D38" s="466">
        <v>18653</v>
      </c>
      <c r="E38" s="466">
        <v>1007576</v>
      </c>
      <c r="F38" s="466">
        <v>4641</v>
      </c>
      <c r="G38" s="466">
        <v>0</v>
      </c>
      <c r="H38" s="466">
        <v>0</v>
      </c>
      <c r="I38" s="467">
        <v>0</v>
      </c>
      <c r="J38" s="467">
        <v>0</v>
      </c>
      <c r="K38" s="1692">
        <f t="shared" si="2"/>
        <v>1129622</v>
      </c>
      <c r="L38" s="466">
        <v>1202281</v>
      </c>
    </row>
    <row r="39" spans="1:14" x14ac:dyDescent="0.2">
      <c r="A39" s="1525" t="s">
        <v>208</v>
      </c>
      <c r="B39" s="615">
        <v>2140</v>
      </c>
      <c r="C39" s="466">
        <v>726048</v>
      </c>
      <c r="D39" s="466">
        <v>150361</v>
      </c>
      <c r="E39" s="466">
        <v>1282</v>
      </c>
      <c r="F39" s="466">
        <v>13673</v>
      </c>
      <c r="G39" s="466">
        <v>0</v>
      </c>
      <c r="H39" s="466">
        <v>0</v>
      </c>
      <c r="I39" s="467">
        <v>0</v>
      </c>
      <c r="J39" s="467">
        <v>0</v>
      </c>
      <c r="K39" s="1692">
        <f t="shared" si="2"/>
        <v>891364</v>
      </c>
      <c r="L39" s="466">
        <v>919383</v>
      </c>
    </row>
    <row r="40" spans="1:14" x14ac:dyDescent="0.2">
      <c r="A40" s="1525" t="s">
        <v>209</v>
      </c>
      <c r="B40" s="615">
        <v>2150</v>
      </c>
      <c r="C40" s="466">
        <v>10765</v>
      </c>
      <c r="D40" s="466">
        <v>12932</v>
      </c>
      <c r="E40" s="466">
        <v>23679</v>
      </c>
      <c r="F40" s="466">
        <v>3273</v>
      </c>
      <c r="G40" s="466">
        <v>0</v>
      </c>
      <c r="H40" s="466">
        <v>0</v>
      </c>
      <c r="I40" s="467">
        <v>0</v>
      </c>
      <c r="J40" s="467">
        <v>0</v>
      </c>
      <c r="K40" s="1692">
        <f t="shared" si="2"/>
        <v>50649</v>
      </c>
      <c r="L40" s="466">
        <v>50735</v>
      </c>
    </row>
    <row r="41" spans="1:14" x14ac:dyDescent="0.2">
      <c r="A41" s="1525" t="s">
        <v>1768</v>
      </c>
      <c r="B41" s="615">
        <v>2190</v>
      </c>
      <c r="C41" s="466">
        <v>0</v>
      </c>
      <c r="D41" s="466">
        <v>0</v>
      </c>
      <c r="E41" s="466">
        <v>0</v>
      </c>
      <c r="F41" s="466">
        <v>0</v>
      </c>
      <c r="G41" s="466">
        <v>0</v>
      </c>
      <c r="H41" s="466">
        <v>0</v>
      </c>
      <c r="I41" s="467">
        <v>0</v>
      </c>
      <c r="J41" s="467">
        <v>0</v>
      </c>
      <c r="K41" s="1692">
        <f t="shared" si="2"/>
        <v>0</v>
      </c>
      <c r="L41" s="466">
        <v>0</v>
      </c>
    </row>
    <row r="42" spans="1:14" ht="12.75" customHeight="1" thickBot="1" x14ac:dyDescent="0.25">
      <c r="A42" s="1689" t="s">
        <v>581</v>
      </c>
      <c r="B42" s="1690" t="s">
        <v>740</v>
      </c>
      <c r="C42" s="1691">
        <f>SUM(C36:C41)</f>
        <v>905558</v>
      </c>
      <c r="D42" s="1691">
        <f t="shared" ref="D42:L42" si="3">SUM(D36:D41)</f>
        <v>183983</v>
      </c>
      <c r="E42" s="1691">
        <f t="shared" si="3"/>
        <v>1032537</v>
      </c>
      <c r="F42" s="1691">
        <f t="shared" si="3"/>
        <v>21587</v>
      </c>
      <c r="G42" s="1691">
        <f t="shared" si="3"/>
        <v>0</v>
      </c>
      <c r="H42" s="1691">
        <f t="shared" si="3"/>
        <v>0</v>
      </c>
      <c r="I42" s="1691">
        <f t="shared" si="3"/>
        <v>0</v>
      </c>
      <c r="J42" s="1691">
        <f t="shared" si="3"/>
        <v>0</v>
      </c>
      <c r="K42" s="1691">
        <f t="shared" si="3"/>
        <v>2143665</v>
      </c>
      <c r="L42" s="1691">
        <f t="shared" si="3"/>
        <v>2247152</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0</v>
      </c>
      <c r="D44" s="481">
        <v>0</v>
      </c>
      <c r="E44" s="481">
        <v>152968</v>
      </c>
      <c r="F44" s="481">
        <v>326</v>
      </c>
      <c r="G44" s="481">
        <v>0</v>
      </c>
      <c r="H44" s="481">
        <v>5099</v>
      </c>
      <c r="I44" s="467">
        <v>0</v>
      </c>
      <c r="J44" s="467">
        <v>0</v>
      </c>
      <c r="K44" s="1693">
        <f>SUM(C44:J44)</f>
        <v>158393</v>
      </c>
      <c r="L44" s="481">
        <v>175740</v>
      </c>
    </row>
    <row r="45" spans="1:14" x14ac:dyDescent="0.2">
      <c r="A45" s="1525" t="s">
        <v>869</v>
      </c>
      <c r="B45" s="615">
        <v>2220</v>
      </c>
      <c r="C45" s="466">
        <v>0</v>
      </c>
      <c r="D45" s="466">
        <v>0</v>
      </c>
      <c r="E45" s="466">
        <v>0</v>
      </c>
      <c r="F45" s="466">
        <v>0</v>
      </c>
      <c r="G45" s="466">
        <v>0</v>
      </c>
      <c r="H45" s="466">
        <v>0</v>
      </c>
      <c r="I45" s="467">
        <v>0</v>
      </c>
      <c r="J45" s="467">
        <v>0</v>
      </c>
      <c r="K45" s="1693">
        <f>SUM(C45:J45)</f>
        <v>0</v>
      </c>
      <c r="L45" s="466">
        <v>0</v>
      </c>
    </row>
    <row r="46" spans="1:14" x14ac:dyDescent="0.2">
      <c r="A46" s="1525" t="s">
        <v>870</v>
      </c>
      <c r="B46" s="615">
        <v>2230</v>
      </c>
      <c r="C46" s="466">
        <v>0</v>
      </c>
      <c r="D46" s="466">
        <v>0</v>
      </c>
      <c r="E46" s="466">
        <v>0</v>
      </c>
      <c r="F46" s="466">
        <v>0</v>
      </c>
      <c r="G46" s="466">
        <v>0</v>
      </c>
      <c r="H46" s="466">
        <v>0</v>
      </c>
      <c r="I46" s="467">
        <v>0</v>
      </c>
      <c r="J46" s="467">
        <v>0</v>
      </c>
      <c r="K46" s="1693">
        <f>SUM(C46:J46)</f>
        <v>0</v>
      </c>
      <c r="L46" s="466">
        <v>0</v>
      </c>
    </row>
    <row r="47" spans="1:14" ht="12.75" customHeight="1" thickBot="1" x14ac:dyDescent="0.25">
      <c r="A47" s="1689" t="s">
        <v>582</v>
      </c>
      <c r="B47" s="1690" t="s">
        <v>32</v>
      </c>
      <c r="C47" s="1691">
        <f>SUM(C44:C46)</f>
        <v>0</v>
      </c>
      <c r="D47" s="1691">
        <f t="shared" ref="D47:K47" si="4">SUM(D44:D46)</f>
        <v>0</v>
      </c>
      <c r="E47" s="1691">
        <f t="shared" si="4"/>
        <v>152968</v>
      </c>
      <c r="F47" s="1691">
        <f t="shared" si="4"/>
        <v>326</v>
      </c>
      <c r="G47" s="1691">
        <f t="shared" si="4"/>
        <v>0</v>
      </c>
      <c r="H47" s="1691">
        <f t="shared" si="4"/>
        <v>5099</v>
      </c>
      <c r="I47" s="1691">
        <f t="shared" si="4"/>
        <v>0</v>
      </c>
      <c r="J47" s="1691">
        <f t="shared" si="4"/>
        <v>0</v>
      </c>
      <c r="K47" s="1691">
        <f t="shared" si="4"/>
        <v>158393</v>
      </c>
      <c r="L47" s="1691">
        <f>SUM(L44:L46)</f>
        <v>175740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0</v>
      </c>
      <c r="D49" s="481">
        <v>0</v>
      </c>
      <c r="E49" s="481">
        <v>0</v>
      </c>
      <c r="F49" s="481">
        <v>0</v>
      </c>
      <c r="G49" s="481">
        <v>0</v>
      </c>
      <c r="H49" s="481">
        <v>0</v>
      </c>
      <c r="I49" s="467">
        <v>0</v>
      </c>
      <c r="J49" s="467">
        <v>0</v>
      </c>
      <c r="K49" s="1693">
        <f>SUM(C49:J49)</f>
        <v>0</v>
      </c>
      <c r="L49" s="481">
        <v>0</v>
      </c>
    </row>
    <row r="50" spans="1:14" x14ac:dyDescent="0.2">
      <c r="A50" s="1525" t="s">
        <v>872</v>
      </c>
      <c r="B50" s="615">
        <v>2320</v>
      </c>
      <c r="C50" s="466">
        <v>521814</v>
      </c>
      <c r="D50" s="466">
        <v>181138</v>
      </c>
      <c r="E50" s="466">
        <v>93380</v>
      </c>
      <c r="F50" s="466">
        <v>2931</v>
      </c>
      <c r="G50" s="466">
        <v>0</v>
      </c>
      <c r="H50" s="466">
        <v>0</v>
      </c>
      <c r="I50" s="467">
        <v>0</v>
      </c>
      <c r="J50" s="467">
        <v>0</v>
      </c>
      <c r="K50" s="1693">
        <f>SUM(C50:J50)</f>
        <v>799263</v>
      </c>
      <c r="L50" s="466">
        <v>807947</v>
      </c>
    </row>
    <row r="51" spans="1:14" x14ac:dyDescent="0.2">
      <c r="A51" s="1525" t="s">
        <v>44</v>
      </c>
      <c r="B51" s="615">
        <v>2330</v>
      </c>
      <c r="C51" s="466">
        <v>1048875</v>
      </c>
      <c r="D51" s="466">
        <v>258890</v>
      </c>
      <c r="E51" s="466">
        <v>8107</v>
      </c>
      <c r="F51" s="466">
        <v>0</v>
      </c>
      <c r="G51" s="466">
        <v>0</v>
      </c>
      <c r="H51" s="466">
        <v>0</v>
      </c>
      <c r="I51" s="467">
        <v>0</v>
      </c>
      <c r="J51" s="467">
        <v>0</v>
      </c>
      <c r="K51" s="1693">
        <f>SUM(C51:J51)</f>
        <v>1315872</v>
      </c>
      <c r="L51" s="466">
        <v>1385138</v>
      </c>
    </row>
    <row r="52" spans="1:14" ht="22.5" x14ac:dyDescent="0.2">
      <c r="A52" s="1526" t="s">
        <v>316</v>
      </c>
      <c r="B52" s="628" t="s">
        <v>384</v>
      </c>
      <c r="C52" s="474">
        <v>0</v>
      </c>
      <c r="D52" s="474">
        <v>0</v>
      </c>
      <c r="E52" s="474">
        <v>34053</v>
      </c>
      <c r="F52" s="474">
        <v>0</v>
      </c>
      <c r="G52" s="474">
        <v>0</v>
      </c>
      <c r="H52" s="474">
        <v>0</v>
      </c>
      <c r="I52" s="474">
        <v>0</v>
      </c>
      <c r="J52" s="474">
        <v>0</v>
      </c>
      <c r="K52" s="1693">
        <f>SUM(C52:J52)</f>
        <v>34053</v>
      </c>
      <c r="L52" s="474">
        <v>35466</v>
      </c>
    </row>
    <row r="53" spans="1:14" ht="12.75" customHeight="1" thickBot="1" x14ac:dyDescent="0.25">
      <c r="A53" s="1689" t="s">
        <v>741</v>
      </c>
      <c r="B53" s="1690" t="s">
        <v>33</v>
      </c>
      <c r="C53" s="1691">
        <f>SUM(C49:C52)</f>
        <v>1570689</v>
      </c>
      <c r="D53" s="1691">
        <f t="shared" ref="D53:L53" si="5">SUM(D49:D52)</f>
        <v>440028</v>
      </c>
      <c r="E53" s="1691">
        <f t="shared" si="5"/>
        <v>135540</v>
      </c>
      <c r="F53" s="1691">
        <f t="shared" si="5"/>
        <v>2931</v>
      </c>
      <c r="G53" s="1691">
        <f t="shared" si="5"/>
        <v>0</v>
      </c>
      <c r="H53" s="1691">
        <f t="shared" si="5"/>
        <v>0</v>
      </c>
      <c r="I53" s="1691">
        <f t="shared" si="5"/>
        <v>0</v>
      </c>
      <c r="J53" s="1691">
        <f t="shared" si="5"/>
        <v>0</v>
      </c>
      <c r="K53" s="1691">
        <f t="shared" si="5"/>
        <v>2149188</v>
      </c>
      <c r="L53" s="1691">
        <f t="shared" si="5"/>
        <v>2228551</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0</v>
      </c>
      <c r="D55" s="481">
        <v>0</v>
      </c>
      <c r="E55" s="481">
        <v>0</v>
      </c>
      <c r="F55" s="481">
        <v>0</v>
      </c>
      <c r="G55" s="481">
        <v>0</v>
      </c>
      <c r="H55" s="481">
        <v>0</v>
      </c>
      <c r="I55" s="467">
        <v>0</v>
      </c>
      <c r="J55" s="467">
        <v>0</v>
      </c>
      <c r="K55" s="1693">
        <f>SUM(C55:J55)</f>
        <v>0</v>
      </c>
      <c r="L55" s="481">
        <v>0</v>
      </c>
    </row>
    <row r="56" spans="1:14" ht="12.75" customHeight="1" x14ac:dyDescent="0.2">
      <c r="A56" s="1529" t="s">
        <v>394</v>
      </c>
      <c r="B56" s="629">
        <v>2490</v>
      </c>
      <c r="C56" s="466">
        <v>0</v>
      </c>
      <c r="D56" s="466">
        <v>0</v>
      </c>
      <c r="E56" s="466">
        <v>0</v>
      </c>
      <c r="F56" s="466">
        <v>0</v>
      </c>
      <c r="G56" s="466">
        <v>0</v>
      </c>
      <c r="H56" s="466">
        <v>0</v>
      </c>
      <c r="I56" s="467">
        <v>0</v>
      </c>
      <c r="J56" s="467">
        <v>0</v>
      </c>
      <c r="K56" s="1693">
        <f>SUM(C56:J56)</f>
        <v>0</v>
      </c>
      <c r="L56" s="466">
        <v>0</v>
      </c>
    </row>
    <row r="57" spans="1:14" s="343" customFormat="1" ht="12.75" customHeight="1" thickBot="1" x14ac:dyDescent="0.25">
      <c r="A57" s="1689" t="s">
        <v>281</v>
      </c>
      <c r="B57" s="1694" t="s">
        <v>34</v>
      </c>
      <c r="C57" s="1695">
        <f>SUM(C55:C56)</f>
        <v>0</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0</v>
      </c>
      <c r="L57" s="1691">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116643</v>
      </c>
      <c r="D59" s="481">
        <v>45865</v>
      </c>
      <c r="E59" s="481">
        <v>0</v>
      </c>
      <c r="F59" s="481">
        <v>0</v>
      </c>
      <c r="G59" s="481">
        <v>0</v>
      </c>
      <c r="H59" s="481">
        <v>0</v>
      </c>
      <c r="I59" s="467">
        <v>0</v>
      </c>
      <c r="J59" s="467">
        <v>0</v>
      </c>
      <c r="K59" s="1693">
        <f t="shared" ref="K59:K64" si="7">SUM(C59:J59)</f>
        <v>162508</v>
      </c>
      <c r="L59" s="481">
        <v>162032</v>
      </c>
      <c r="M59" s="610"/>
      <c r="N59" s="610"/>
    </row>
    <row r="60" spans="1:14" s="343" customFormat="1" x14ac:dyDescent="0.2">
      <c r="A60" s="1525" t="s">
        <v>483</v>
      </c>
      <c r="B60" s="615">
        <v>2520</v>
      </c>
      <c r="C60" s="466">
        <v>0</v>
      </c>
      <c r="D60" s="466">
        <v>0</v>
      </c>
      <c r="E60" s="466">
        <v>0</v>
      </c>
      <c r="F60" s="466">
        <v>0</v>
      </c>
      <c r="G60" s="466">
        <v>0</v>
      </c>
      <c r="H60" s="466">
        <v>0</v>
      </c>
      <c r="I60" s="467">
        <v>0</v>
      </c>
      <c r="J60" s="467">
        <v>0</v>
      </c>
      <c r="K60" s="1693">
        <f t="shared" si="7"/>
        <v>0</v>
      </c>
      <c r="L60" s="466">
        <v>0</v>
      </c>
      <c r="M60" s="610"/>
      <c r="N60" s="610"/>
    </row>
    <row r="61" spans="1:14" s="343" customFormat="1" x14ac:dyDescent="0.2">
      <c r="A61" s="1525" t="s">
        <v>206</v>
      </c>
      <c r="B61" s="615">
        <v>2540</v>
      </c>
      <c r="C61" s="466">
        <v>0</v>
      </c>
      <c r="D61" s="466">
        <v>0</v>
      </c>
      <c r="E61" s="466">
        <v>45000</v>
      </c>
      <c r="F61" s="466">
        <v>0</v>
      </c>
      <c r="G61" s="466">
        <v>0</v>
      </c>
      <c r="H61" s="466">
        <v>0</v>
      </c>
      <c r="I61" s="467">
        <v>0</v>
      </c>
      <c r="J61" s="467">
        <v>0</v>
      </c>
      <c r="K61" s="1693">
        <f t="shared" si="7"/>
        <v>45000</v>
      </c>
      <c r="L61" s="466">
        <v>45000</v>
      </c>
      <c r="M61" s="610"/>
      <c r="N61" s="610"/>
    </row>
    <row r="62" spans="1:14" s="343" customFormat="1" x14ac:dyDescent="0.2">
      <c r="A62" s="1525" t="s">
        <v>1010</v>
      </c>
      <c r="B62" s="615">
        <v>2550</v>
      </c>
      <c r="C62" s="466">
        <v>44900</v>
      </c>
      <c r="D62" s="466">
        <v>34639</v>
      </c>
      <c r="E62" s="466">
        <v>0</v>
      </c>
      <c r="F62" s="466">
        <v>0</v>
      </c>
      <c r="G62" s="466">
        <v>0</v>
      </c>
      <c r="H62" s="466">
        <v>0</v>
      </c>
      <c r="I62" s="467">
        <v>0</v>
      </c>
      <c r="J62" s="467">
        <v>0</v>
      </c>
      <c r="K62" s="1693">
        <f t="shared" si="7"/>
        <v>79539</v>
      </c>
      <c r="L62" s="466">
        <v>79933</v>
      </c>
      <c r="M62" s="610"/>
      <c r="N62" s="610"/>
    </row>
    <row r="63" spans="1:14" s="610" customFormat="1" x14ac:dyDescent="0.2">
      <c r="A63" s="1525" t="s">
        <v>102</v>
      </c>
      <c r="B63" s="615">
        <v>2560</v>
      </c>
      <c r="C63" s="466">
        <v>0</v>
      </c>
      <c r="D63" s="466">
        <v>0</v>
      </c>
      <c r="E63" s="466">
        <v>0</v>
      </c>
      <c r="F63" s="466">
        <v>0</v>
      </c>
      <c r="G63" s="466">
        <v>0</v>
      </c>
      <c r="H63" s="466">
        <v>0</v>
      </c>
      <c r="I63" s="467">
        <v>0</v>
      </c>
      <c r="J63" s="467">
        <v>0</v>
      </c>
      <c r="K63" s="1693">
        <f t="shared" si="7"/>
        <v>0</v>
      </c>
      <c r="L63" s="466">
        <v>0</v>
      </c>
    </row>
    <row r="64" spans="1:14" s="610" customFormat="1" x14ac:dyDescent="0.2">
      <c r="A64" s="1530" t="s">
        <v>103</v>
      </c>
      <c r="B64" s="631">
        <v>2570</v>
      </c>
      <c r="C64" s="481">
        <v>0</v>
      </c>
      <c r="D64" s="481">
        <v>0</v>
      </c>
      <c r="E64" s="481">
        <v>0</v>
      </c>
      <c r="F64" s="481">
        <v>0</v>
      </c>
      <c r="G64" s="481">
        <v>0</v>
      </c>
      <c r="H64" s="481">
        <v>0</v>
      </c>
      <c r="I64" s="467">
        <v>0</v>
      </c>
      <c r="J64" s="467">
        <v>0</v>
      </c>
      <c r="K64" s="1693">
        <f t="shared" si="7"/>
        <v>0</v>
      </c>
      <c r="L64" s="481">
        <v>0</v>
      </c>
    </row>
    <row r="65" spans="1:14" s="343" customFormat="1" ht="12.75" customHeight="1" thickBot="1" x14ac:dyDescent="0.25">
      <c r="A65" s="1689" t="s">
        <v>743</v>
      </c>
      <c r="B65" s="1690" t="s">
        <v>35</v>
      </c>
      <c r="C65" s="1691">
        <f>SUM(C59:C64)</f>
        <v>161543</v>
      </c>
      <c r="D65" s="1691">
        <f t="shared" ref="D65:L65" si="8">SUM(D59:D64)</f>
        <v>80504</v>
      </c>
      <c r="E65" s="1691">
        <f t="shared" si="8"/>
        <v>45000</v>
      </c>
      <c r="F65" s="1691">
        <f t="shared" si="8"/>
        <v>0</v>
      </c>
      <c r="G65" s="1691">
        <f t="shared" si="8"/>
        <v>0</v>
      </c>
      <c r="H65" s="1691">
        <f t="shared" si="8"/>
        <v>0</v>
      </c>
      <c r="I65" s="1691">
        <f t="shared" si="8"/>
        <v>0</v>
      </c>
      <c r="J65" s="1691">
        <f t="shared" si="8"/>
        <v>0</v>
      </c>
      <c r="K65" s="1691">
        <f t="shared" si="8"/>
        <v>287047</v>
      </c>
      <c r="L65" s="1691">
        <f t="shared" si="8"/>
        <v>286965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v>0</v>
      </c>
      <c r="D67" s="466">
        <v>0</v>
      </c>
      <c r="E67" s="466">
        <v>0</v>
      </c>
      <c r="F67" s="466">
        <v>0</v>
      </c>
      <c r="G67" s="466">
        <v>0</v>
      </c>
      <c r="H67" s="466">
        <v>0</v>
      </c>
      <c r="I67" s="467">
        <v>0</v>
      </c>
      <c r="J67" s="467">
        <v>0</v>
      </c>
      <c r="K67" s="1693">
        <f>SUM(C67:J67)</f>
        <v>0</v>
      </c>
      <c r="L67" s="481">
        <v>0</v>
      </c>
      <c r="M67" s="610"/>
      <c r="N67" s="610"/>
    </row>
    <row r="68" spans="1:14" s="343" customFormat="1" x14ac:dyDescent="0.2">
      <c r="A68" s="1525" t="s">
        <v>628</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1121</v>
      </c>
      <c r="B69" s="615">
        <v>2630</v>
      </c>
      <c r="C69" s="466">
        <v>0</v>
      </c>
      <c r="D69" s="466">
        <v>0</v>
      </c>
      <c r="E69" s="466">
        <v>0</v>
      </c>
      <c r="F69" s="466">
        <v>0</v>
      </c>
      <c r="G69" s="466">
        <v>0</v>
      </c>
      <c r="H69" s="466">
        <v>0</v>
      </c>
      <c r="I69" s="467">
        <v>0</v>
      </c>
      <c r="J69" s="467">
        <v>0</v>
      </c>
      <c r="K69" s="1693">
        <f>SUM(C69:J69)</f>
        <v>0</v>
      </c>
      <c r="L69" s="466">
        <v>0</v>
      </c>
      <c r="M69" s="610"/>
      <c r="N69" s="610"/>
    </row>
    <row r="70" spans="1:14" s="343" customFormat="1" x14ac:dyDescent="0.2">
      <c r="A70" s="1525" t="s">
        <v>423</v>
      </c>
      <c r="B70" s="615">
        <v>2640</v>
      </c>
      <c r="C70" s="466">
        <v>0</v>
      </c>
      <c r="D70" s="466">
        <v>0</v>
      </c>
      <c r="E70" s="466">
        <v>0</v>
      </c>
      <c r="F70" s="466">
        <v>0</v>
      </c>
      <c r="G70" s="466">
        <v>0</v>
      </c>
      <c r="H70" s="466">
        <v>0</v>
      </c>
      <c r="I70" s="467">
        <v>0</v>
      </c>
      <c r="J70" s="467">
        <v>0</v>
      </c>
      <c r="K70" s="1693">
        <f>SUM(C70:J70)</f>
        <v>0</v>
      </c>
      <c r="L70" s="466">
        <v>0</v>
      </c>
      <c r="M70" s="610"/>
      <c r="N70" s="610"/>
    </row>
    <row r="71" spans="1:14" s="343" customFormat="1" x14ac:dyDescent="0.2">
      <c r="A71" s="1525" t="s">
        <v>424</v>
      </c>
      <c r="B71" s="615">
        <v>2660</v>
      </c>
      <c r="C71" s="466">
        <v>55989</v>
      </c>
      <c r="D71" s="466">
        <v>18630</v>
      </c>
      <c r="E71" s="466">
        <v>27389</v>
      </c>
      <c r="F71" s="466">
        <v>6175</v>
      </c>
      <c r="G71" s="466">
        <v>23704</v>
      </c>
      <c r="H71" s="466">
        <v>0</v>
      </c>
      <c r="I71" s="467">
        <v>9942</v>
      </c>
      <c r="J71" s="467">
        <v>0</v>
      </c>
      <c r="K71" s="1693">
        <f>SUM(C71:J71)</f>
        <v>141829</v>
      </c>
      <c r="L71" s="466">
        <v>153971</v>
      </c>
      <c r="M71" s="610"/>
      <c r="N71" s="610"/>
    </row>
    <row r="72" spans="1:14" s="343" customFormat="1" ht="12.75" customHeight="1" thickBot="1" x14ac:dyDescent="0.25">
      <c r="A72" s="1689" t="s">
        <v>37</v>
      </c>
      <c r="B72" s="1696" t="s">
        <v>36</v>
      </c>
      <c r="C72" s="1691">
        <f>SUM(C67:C71)</f>
        <v>55989</v>
      </c>
      <c r="D72" s="1691">
        <f t="shared" ref="D72:K72" si="9">SUM(D67:D71)</f>
        <v>18630</v>
      </c>
      <c r="E72" s="1691">
        <f t="shared" si="9"/>
        <v>27389</v>
      </c>
      <c r="F72" s="1691">
        <f t="shared" si="9"/>
        <v>6175</v>
      </c>
      <c r="G72" s="1691">
        <f t="shared" si="9"/>
        <v>23704</v>
      </c>
      <c r="H72" s="1691">
        <f t="shared" si="9"/>
        <v>0</v>
      </c>
      <c r="I72" s="1691">
        <f t="shared" si="9"/>
        <v>9942</v>
      </c>
      <c r="J72" s="1691">
        <f t="shared" si="9"/>
        <v>0</v>
      </c>
      <c r="K72" s="1691">
        <f t="shared" si="9"/>
        <v>141829</v>
      </c>
      <c r="L72" s="1691">
        <f>SUM(L67:L71)</f>
        <v>153971</v>
      </c>
      <c r="M72" s="610"/>
      <c r="N72" s="610"/>
    </row>
    <row r="73" spans="1:14" s="343" customFormat="1" ht="14.25" thickTop="1" thickBot="1" x14ac:dyDescent="0.25">
      <c r="A73" s="1531" t="s">
        <v>1037</v>
      </c>
      <c r="B73" s="633" t="s">
        <v>595</v>
      </c>
      <c r="C73" s="573">
        <v>0</v>
      </c>
      <c r="D73" s="573">
        <v>0</v>
      </c>
      <c r="E73" s="573">
        <v>0</v>
      </c>
      <c r="F73" s="573">
        <v>0</v>
      </c>
      <c r="G73" s="573">
        <v>0</v>
      </c>
      <c r="H73" s="573">
        <v>0</v>
      </c>
      <c r="I73" s="531">
        <v>0</v>
      </c>
      <c r="J73" s="531">
        <v>0</v>
      </c>
      <c r="K73" s="1691">
        <f>SUM(C73:J73)</f>
        <v>0</v>
      </c>
      <c r="L73" s="576">
        <v>0</v>
      </c>
      <c r="M73" s="610"/>
      <c r="N73" s="610"/>
    </row>
    <row r="74" spans="1:14" ht="12.75" customHeight="1" thickTop="1" thickBot="1" x14ac:dyDescent="0.25">
      <c r="A74" s="1689" t="s">
        <v>865</v>
      </c>
      <c r="B74" s="1697">
        <v>2000</v>
      </c>
      <c r="C74" s="1698">
        <f>SUM(C42,C47,C53,C57,C65,C72,C73)</f>
        <v>2693779</v>
      </c>
      <c r="D74" s="1698">
        <f t="shared" ref="D74:K74" si="10">SUM(D42,D47,D53,D57,D65,D72,D73)</f>
        <v>723145</v>
      </c>
      <c r="E74" s="1698">
        <f t="shared" si="10"/>
        <v>1393434</v>
      </c>
      <c r="F74" s="1698">
        <f t="shared" si="10"/>
        <v>31019</v>
      </c>
      <c r="G74" s="1698">
        <f t="shared" si="10"/>
        <v>23704</v>
      </c>
      <c r="H74" s="1698">
        <f t="shared" si="10"/>
        <v>5099</v>
      </c>
      <c r="I74" s="1698">
        <f t="shared" si="10"/>
        <v>9942</v>
      </c>
      <c r="J74" s="1698">
        <f t="shared" si="10"/>
        <v>0</v>
      </c>
      <c r="K74" s="1698">
        <f t="shared" si="10"/>
        <v>4880122</v>
      </c>
      <c r="L74" s="1698">
        <f>SUM(L42,L47,L53,L57,L65,L72,L73)</f>
        <v>5092379</v>
      </c>
    </row>
    <row r="75" spans="1:14" s="259" customFormat="1" ht="15.75" customHeight="1" thickTop="1" thickBot="1" x14ac:dyDescent="0.25">
      <c r="A75" s="1631" t="s">
        <v>49</v>
      </c>
      <c r="B75" s="1632" t="s">
        <v>596</v>
      </c>
      <c r="C75" s="573">
        <v>0</v>
      </c>
      <c r="D75" s="573">
        <v>0</v>
      </c>
      <c r="E75" s="573">
        <v>0</v>
      </c>
      <c r="F75" s="573">
        <v>0</v>
      </c>
      <c r="G75" s="573">
        <v>0</v>
      </c>
      <c r="H75" s="573">
        <v>0</v>
      </c>
      <c r="I75" s="531">
        <v>0</v>
      </c>
      <c r="J75" s="531">
        <v>0</v>
      </c>
      <c r="K75" s="1691">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635">
        <v>0</v>
      </c>
      <c r="I78" s="477"/>
      <c r="J78" s="477"/>
      <c r="K78" s="1692">
        <f t="shared" ref="K78:K83" si="11">SUM(C78:J78)</f>
        <v>0</v>
      </c>
      <c r="L78" s="481">
        <v>0</v>
      </c>
    </row>
    <row r="79" spans="1:14" x14ac:dyDescent="0.2">
      <c r="A79" s="1525" t="s">
        <v>322</v>
      </c>
      <c r="B79" s="615">
        <v>4120</v>
      </c>
      <c r="C79" s="617"/>
      <c r="D79" s="617"/>
      <c r="E79" s="466">
        <v>117000</v>
      </c>
      <c r="F79" s="617"/>
      <c r="G79" s="617"/>
      <c r="H79" s="466">
        <v>2425070</v>
      </c>
      <c r="I79" s="477"/>
      <c r="J79" s="477"/>
      <c r="K79" s="1692">
        <f t="shared" si="11"/>
        <v>2542070</v>
      </c>
      <c r="L79" s="466">
        <v>2182611</v>
      </c>
    </row>
    <row r="80" spans="1:14" x14ac:dyDescent="0.2">
      <c r="A80" s="1525" t="s">
        <v>323</v>
      </c>
      <c r="B80" s="615">
        <v>4130</v>
      </c>
      <c r="C80" s="617"/>
      <c r="D80" s="617"/>
      <c r="E80" s="466">
        <v>0</v>
      </c>
      <c r="F80" s="617"/>
      <c r="G80" s="617"/>
      <c r="H80" s="466">
        <v>0</v>
      </c>
      <c r="I80" s="477"/>
      <c r="J80" s="477"/>
      <c r="K80" s="1692">
        <f t="shared" si="11"/>
        <v>0</v>
      </c>
      <c r="L80" s="466">
        <v>0</v>
      </c>
    </row>
    <row r="81" spans="1:12" x14ac:dyDescent="0.2">
      <c r="A81" s="1525" t="s">
        <v>721</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722</v>
      </c>
      <c r="B83" s="629">
        <v>4190</v>
      </c>
      <c r="C83" s="617"/>
      <c r="D83" s="617"/>
      <c r="E83" s="466">
        <v>0</v>
      </c>
      <c r="F83" s="617"/>
      <c r="G83" s="617"/>
      <c r="H83" s="466">
        <v>181520</v>
      </c>
      <c r="I83" s="477"/>
      <c r="J83" s="477"/>
      <c r="K83" s="1692">
        <f t="shared" si="11"/>
        <v>181520</v>
      </c>
      <c r="L83" s="466">
        <v>0</v>
      </c>
    </row>
    <row r="84" spans="1:12" ht="13.5" thickBot="1" x14ac:dyDescent="0.25">
      <c r="A84" s="1689" t="s">
        <v>1565</v>
      </c>
      <c r="B84" s="1699">
        <v>4100</v>
      </c>
      <c r="C84" s="617"/>
      <c r="D84" s="617"/>
      <c r="E84" s="1691">
        <f>SUM(E78:E83)</f>
        <v>117000</v>
      </c>
      <c r="F84" s="617"/>
      <c r="G84" s="617"/>
      <c r="H84" s="1691">
        <f>SUM(H78:H83)</f>
        <v>2606590</v>
      </c>
      <c r="I84" s="477"/>
      <c r="J84" s="477"/>
      <c r="K84" s="1691">
        <f>SUM(K78:K83)</f>
        <v>2723590</v>
      </c>
      <c r="L84" s="1691">
        <f>SUM(L78:L83)</f>
        <v>2182611</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723</v>
      </c>
      <c r="B86" s="638">
        <v>4220</v>
      </c>
      <c r="C86" s="617"/>
      <c r="D86" s="617"/>
      <c r="E86" s="639"/>
      <c r="F86" s="617"/>
      <c r="G86" s="617"/>
      <c r="H86" s="467">
        <v>0</v>
      </c>
      <c r="I86" s="477"/>
      <c r="J86" s="477"/>
      <c r="K86" s="1698">
        <f t="shared" ref="K86:K98" si="12">H86</f>
        <v>0</v>
      </c>
      <c r="L86" s="530">
        <v>0</v>
      </c>
    </row>
    <row r="87" spans="1:12" ht="14.25" thickTop="1" thickBot="1" x14ac:dyDescent="0.25">
      <c r="A87" s="1534" t="s">
        <v>724</v>
      </c>
      <c r="B87" s="640">
        <v>4230</v>
      </c>
      <c r="C87" s="617"/>
      <c r="D87" s="617"/>
      <c r="E87" s="639"/>
      <c r="F87" s="617"/>
      <c r="G87" s="617"/>
      <c r="H87" s="467">
        <v>0</v>
      </c>
      <c r="I87" s="477"/>
      <c r="J87" s="477"/>
      <c r="K87" s="1698">
        <f t="shared" si="12"/>
        <v>0</v>
      </c>
      <c r="L87" s="530">
        <v>0</v>
      </c>
    </row>
    <row r="88" spans="1:12" ht="12.75" customHeight="1" thickTop="1" thickBot="1" x14ac:dyDescent="0.25">
      <c r="A88" s="1534" t="s">
        <v>789</v>
      </c>
      <c r="B88" s="640">
        <v>4240</v>
      </c>
      <c r="C88" s="617"/>
      <c r="D88" s="617"/>
      <c r="E88" s="639"/>
      <c r="F88" s="617"/>
      <c r="G88" s="617"/>
      <c r="H88" s="467">
        <v>0</v>
      </c>
      <c r="I88" s="477"/>
      <c r="J88" s="477"/>
      <c r="K88" s="1698">
        <f t="shared" si="12"/>
        <v>0</v>
      </c>
      <c r="L88" s="530">
        <v>0</v>
      </c>
    </row>
    <row r="89" spans="1:12" ht="12.75" customHeight="1" thickTop="1" thickBot="1" x14ac:dyDescent="0.25">
      <c r="A89" s="1534" t="s">
        <v>725</v>
      </c>
      <c r="B89" s="640">
        <v>4270</v>
      </c>
      <c r="C89" s="617"/>
      <c r="D89" s="617"/>
      <c r="E89" s="639"/>
      <c r="F89" s="617"/>
      <c r="G89" s="617"/>
      <c r="H89" s="467">
        <v>0</v>
      </c>
      <c r="I89" s="477"/>
      <c r="J89" s="477"/>
      <c r="K89" s="1698">
        <f t="shared" si="12"/>
        <v>0</v>
      </c>
      <c r="L89" s="530">
        <v>0</v>
      </c>
    </row>
    <row r="90" spans="1:12" ht="12.75" customHeight="1" thickTop="1" thickBot="1" x14ac:dyDescent="0.25">
      <c r="A90" s="1534" t="s">
        <v>710</v>
      </c>
      <c r="B90" s="640">
        <v>4280</v>
      </c>
      <c r="C90" s="617"/>
      <c r="D90" s="617"/>
      <c r="E90" s="639"/>
      <c r="F90" s="617"/>
      <c r="G90" s="617"/>
      <c r="H90" s="467">
        <v>0</v>
      </c>
      <c r="I90" s="477"/>
      <c r="J90" s="477"/>
      <c r="K90" s="1698">
        <f t="shared" si="12"/>
        <v>0</v>
      </c>
      <c r="L90" s="530">
        <v>0</v>
      </c>
    </row>
    <row r="91" spans="1:12" ht="12.75" customHeight="1" thickTop="1" thickBot="1" x14ac:dyDescent="0.25">
      <c r="A91" s="1534" t="s">
        <v>711</v>
      </c>
      <c r="B91" s="640">
        <v>4290</v>
      </c>
      <c r="C91" s="617"/>
      <c r="D91" s="617"/>
      <c r="E91" s="639"/>
      <c r="F91" s="617"/>
      <c r="G91" s="617"/>
      <c r="H91" s="467">
        <v>0</v>
      </c>
      <c r="I91" s="477"/>
      <c r="J91" s="477"/>
      <c r="K91" s="1698">
        <f t="shared" si="12"/>
        <v>0</v>
      </c>
      <c r="L91" s="530">
        <v>0</v>
      </c>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3" t="s">
        <v>712</v>
      </c>
      <c r="B93" s="641">
        <v>4310</v>
      </c>
      <c r="C93" s="617"/>
      <c r="D93" s="617"/>
      <c r="E93" s="639"/>
      <c r="F93" s="617"/>
      <c r="G93" s="617"/>
      <c r="H93" s="642">
        <v>0</v>
      </c>
      <c r="I93" s="477"/>
      <c r="J93" s="477"/>
      <c r="K93" s="1698">
        <f t="shared" si="12"/>
        <v>0</v>
      </c>
      <c r="L93" s="532">
        <v>0</v>
      </c>
    </row>
    <row r="94" spans="1:12" ht="12.75" customHeight="1" thickTop="1" thickBot="1" x14ac:dyDescent="0.25">
      <c r="A94" s="1534" t="s">
        <v>713</v>
      </c>
      <c r="B94" s="640">
        <v>4320</v>
      </c>
      <c r="C94" s="617"/>
      <c r="D94" s="617"/>
      <c r="E94" s="639"/>
      <c r="F94" s="617"/>
      <c r="G94" s="617"/>
      <c r="H94" s="467">
        <v>0</v>
      </c>
      <c r="I94" s="477"/>
      <c r="J94" s="477"/>
      <c r="K94" s="1698">
        <f t="shared" si="12"/>
        <v>0</v>
      </c>
      <c r="L94" s="530">
        <v>0</v>
      </c>
    </row>
    <row r="95" spans="1:12" ht="15" customHeight="1" thickTop="1" thickBot="1" x14ac:dyDescent="0.25">
      <c r="A95" s="1534" t="s">
        <v>1568</v>
      </c>
      <c r="B95" s="640">
        <v>4330</v>
      </c>
      <c r="C95" s="617"/>
      <c r="D95" s="617"/>
      <c r="E95" s="639"/>
      <c r="F95" s="617"/>
      <c r="G95" s="617"/>
      <c r="H95" s="467">
        <v>0</v>
      </c>
      <c r="I95" s="477"/>
      <c r="J95" s="477"/>
      <c r="K95" s="1698">
        <f t="shared" si="12"/>
        <v>0</v>
      </c>
      <c r="L95" s="530">
        <v>0</v>
      </c>
    </row>
    <row r="96" spans="1:12" ht="14.25" thickTop="1" thickBot="1" x14ac:dyDescent="0.25">
      <c r="A96" s="1534" t="s">
        <v>714</v>
      </c>
      <c r="B96" s="640">
        <v>4340</v>
      </c>
      <c r="C96" s="617"/>
      <c r="D96" s="617"/>
      <c r="E96" s="639"/>
      <c r="F96" s="617"/>
      <c r="G96" s="617"/>
      <c r="H96" s="467">
        <v>0</v>
      </c>
      <c r="I96" s="477"/>
      <c r="J96" s="477"/>
      <c r="K96" s="1698">
        <f t="shared" si="12"/>
        <v>0</v>
      </c>
      <c r="L96" s="530">
        <v>0</v>
      </c>
    </row>
    <row r="97" spans="1:14" ht="12.75" customHeight="1" thickTop="1" thickBot="1" x14ac:dyDescent="0.25">
      <c r="A97" s="1534" t="s">
        <v>787</v>
      </c>
      <c r="B97" s="640">
        <v>4370</v>
      </c>
      <c r="C97" s="617"/>
      <c r="D97" s="617"/>
      <c r="E97" s="639"/>
      <c r="F97" s="617"/>
      <c r="G97" s="617"/>
      <c r="H97" s="467">
        <v>0</v>
      </c>
      <c r="I97" s="477"/>
      <c r="J97" s="477"/>
      <c r="K97" s="1698">
        <f t="shared" si="12"/>
        <v>0</v>
      </c>
      <c r="L97" s="530">
        <v>0</v>
      </c>
    </row>
    <row r="98" spans="1:14" ht="14.25" thickTop="1" thickBot="1" x14ac:dyDescent="0.25">
      <c r="A98" s="1534" t="s">
        <v>788</v>
      </c>
      <c r="B98" s="640">
        <v>4380</v>
      </c>
      <c r="C98" s="617"/>
      <c r="D98" s="617"/>
      <c r="E98" s="643"/>
      <c r="F98" s="617"/>
      <c r="G98" s="617"/>
      <c r="H98" s="467">
        <v>0</v>
      </c>
      <c r="I98" s="477"/>
      <c r="J98" s="477"/>
      <c r="K98" s="1698">
        <f t="shared" si="12"/>
        <v>0</v>
      </c>
      <c r="L98" s="530">
        <v>0</v>
      </c>
    </row>
    <row r="99" spans="1:14" ht="14.25" thickTop="1" thickBot="1" x14ac:dyDescent="0.25">
      <c r="A99" s="1534" t="s">
        <v>385</v>
      </c>
      <c r="B99" s="640">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117000</v>
      </c>
      <c r="F102" s="617"/>
      <c r="G102" s="617"/>
      <c r="H102" s="1698">
        <f>SUM(H84,H92,H100,H101)</f>
        <v>2606590</v>
      </c>
      <c r="I102" s="477"/>
      <c r="J102" s="477"/>
      <c r="K102" s="1698">
        <f>SUM(K84,K92,K100,K101)</f>
        <v>2723590</v>
      </c>
      <c r="L102" s="1698">
        <f>SUM(L84,L92,L100,L101)</f>
        <v>2182611</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2853016</v>
      </c>
      <c r="D114" s="1691">
        <f t="shared" ref="D114:K114" si="13">SUM(D33,D74,D75,D102,D112,D113)</f>
        <v>732451</v>
      </c>
      <c r="E114" s="1691">
        <f t="shared" si="13"/>
        <v>1567580</v>
      </c>
      <c r="F114" s="1691">
        <f t="shared" si="13"/>
        <v>31748</v>
      </c>
      <c r="G114" s="1691">
        <f t="shared" si="13"/>
        <v>23704</v>
      </c>
      <c r="H114" s="1691">
        <f>SUM(H33,H74,H75,H102,H112,H113)</f>
        <v>2611689</v>
      </c>
      <c r="I114" s="1691">
        <f t="shared" si="13"/>
        <v>9942</v>
      </c>
      <c r="J114" s="1691">
        <f t="shared" si="13"/>
        <v>0</v>
      </c>
      <c r="K114" s="1691">
        <f t="shared" si="13"/>
        <v>7830130</v>
      </c>
      <c r="L114" s="1691">
        <f>SUM(L33,L74,L75,L102,L112,L113)</f>
        <v>7505600</v>
      </c>
    </row>
    <row r="115" spans="1:14" ht="13.5" thickTop="1" x14ac:dyDescent="0.2">
      <c r="A115" s="2198" t="s">
        <v>1053</v>
      </c>
      <c r="B115" s="2199"/>
      <c r="C115" s="619"/>
      <c r="D115" s="619"/>
      <c r="E115" s="619"/>
      <c r="F115" s="619"/>
      <c r="G115" s="619"/>
      <c r="H115" s="619"/>
      <c r="I115" s="619"/>
      <c r="J115" s="619"/>
      <c r="K115" s="1705">
        <f>'Revenues 9-14'!C275-'Expenditures 15-22'!K114</f>
        <v>-136797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0</v>
      </c>
      <c r="D124" s="466">
        <v>0</v>
      </c>
      <c r="E124" s="466">
        <v>0</v>
      </c>
      <c r="F124" s="466">
        <v>0</v>
      </c>
      <c r="G124" s="466">
        <v>0</v>
      </c>
      <c r="H124" s="466">
        <v>0</v>
      </c>
      <c r="I124" s="467">
        <v>0</v>
      </c>
      <c r="J124" s="467">
        <v>0</v>
      </c>
      <c r="K124" s="1691">
        <f>SUM(C124:J124)</f>
        <v>0</v>
      </c>
      <c r="L124" s="466">
        <v>0</v>
      </c>
    </row>
    <row r="125" spans="1:14" ht="14.25" thickTop="1" thickBot="1" x14ac:dyDescent="0.25">
      <c r="A125" s="1525" t="s">
        <v>1010</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x14ac:dyDescent="0.2">
      <c r="A128" s="1532" t="s">
        <v>1037</v>
      </c>
      <c r="B128" s="656" t="s">
        <v>595</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x14ac:dyDescent="0.25">
      <c r="A130" s="1631" t="s">
        <v>1096</v>
      </c>
      <c r="B130" s="1632" t="s">
        <v>596</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1955</v>
      </c>
      <c r="C133" s="468"/>
      <c r="D133" s="468"/>
      <c r="E133" s="642">
        <v>0</v>
      </c>
      <c r="F133" s="468"/>
      <c r="G133" s="468"/>
      <c r="H133" s="642">
        <v>0</v>
      </c>
      <c r="I133" s="468"/>
      <c r="J133" s="468"/>
      <c r="K133" s="1843">
        <f>SUM(E133,H133)</f>
        <v>0</v>
      </c>
      <c r="L133" s="642">
        <v>0</v>
      </c>
      <c r="M133" s="206"/>
      <c r="N133" s="206"/>
    </row>
    <row r="134" spans="1:14" x14ac:dyDescent="0.2">
      <c r="A134" s="1525" t="s">
        <v>322</v>
      </c>
      <c r="B134" s="615">
        <v>4120</v>
      </c>
      <c r="C134" s="617"/>
      <c r="D134" s="617"/>
      <c r="E134" s="478">
        <v>0</v>
      </c>
      <c r="F134" s="617"/>
      <c r="G134" s="617"/>
      <c r="H134" s="481">
        <v>0</v>
      </c>
      <c r="I134" s="477"/>
      <c r="J134" s="617"/>
      <c r="K134" s="1693">
        <f>SUM(E134,H134)</f>
        <v>0</v>
      </c>
      <c r="L134" s="481">
        <v>0</v>
      </c>
    </row>
    <row r="135" spans="1:14" x14ac:dyDescent="0.2">
      <c r="A135" s="1525" t="s">
        <v>721</v>
      </c>
      <c r="B135" s="615">
        <v>4140</v>
      </c>
      <c r="C135" s="617"/>
      <c r="D135" s="617"/>
      <c r="E135" s="467">
        <v>0</v>
      </c>
      <c r="F135" s="617"/>
      <c r="G135" s="617"/>
      <c r="H135" s="466">
        <v>0</v>
      </c>
      <c r="I135" s="477"/>
      <c r="J135" s="617"/>
      <c r="K135" s="1693">
        <f>SUM(E135,H135)</f>
        <v>0</v>
      </c>
      <c r="L135" s="466">
        <v>0</v>
      </c>
    </row>
    <row r="136" spans="1:14" x14ac:dyDescent="0.2">
      <c r="A136" s="1529" t="s">
        <v>722</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88" t="s">
        <v>641</v>
      </c>
      <c r="B151" s="2170"/>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x14ac:dyDescent="0.2">
      <c r="A152" s="2191" t="s">
        <v>1240</v>
      </c>
      <c r="B152" s="2192"/>
      <c r="C152" s="619"/>
      <c r="D152" s="619"/>
      <c r="E152" s="619"/>
      <c r="F152" s="619"/>
      <c r="G152" s="619"/>
      <c r="H152" s="619"/>
      <c r="I152" s="619"/>
      <c r="J152" s="617"/>
      <c r="K152" s="1705">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1956</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1955</v>
      </c>
      <c r="C157" s="617"/>
      <c r="D157" s="617"/>
      <c r="E157" s="617"/>
      <c r="F157" s="617"/>
      <c r="G157" s="617"/>
      <c r="H157" s="642">
        <v>0</v>
      </c>
      <c r="I157" s="617"/>
      <c r="J157" s="617"/>
      <c r="K157" s="1692">
        <f>H157</f>
        <v>0</v>
      </c>
      <c r="L157" s="467">
        <v>0</v>
      </c>
      <c r="M157" s="620"/>
      <c r="N157" s="620"/>
    </row>
    <row r="158" spans="1:14" s="621" customFormat="1" ht="12" x14ac:dyDescent="0.2">
      <c r="A158" s="1848" t="s">
        <v>322</v>
      </c>
      <c r="B158" s="1849" t="s">
        <v>1957</v>
      </c>
      <c r="C158" s="617"/>
      <c r="D158" s="617"/>
      <c r="E158" s="617"/>
      <c r="F158" s="617"/>
      <c r="G158" s="617"/>
      <c r="H158" s="467">
        <v>0</v>
      </c>
      <c r="I158" s="617"/>
      <c r="J158" s="617"/>
      <c r="K158" s="1692">
        <f>H158</f>
        <v>0</v>
      </c>
      <c r="L158" s="467">
        <v>0</v>
      </c>
      <c r="M158" s="620"/>
      <c r="N158" s="620"/>
    </row>
    <row r="159" spans="1:14" s="621" customFormat="1" ht="12" x14ac:dyDescent="0.2">
      <c r="A159" s="1848" t="s">
        <v>1958</v>
      </c>
      <c r="B159" s="1849" t="s">
        <v>579</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1959</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0</v>
      </c>
      <c r="I169" s="617"/>
      <c r="J169" s="617"/>
      <c r="K169" s="1692">
        <f>SUM(C169:H169)</f>
        <v>0</v>
      </c>
      <c r="L169" s="657">
        <v>0</v>
      </c>
    </row>
    <row r="170" spans="1:14" ht="33.75" customHeight="1" x14ac:dyDescent="0.2">
      <c r="A170" s="670" t="s">
        <v>1769</v>
      </c>
      <c r="B170" s="672" t="s">
        <v>31</v>
      </c>
      <c r="C170" s="617"/>
      <c r="D170" s="617"/>
      <c r="E170" s="617"/>
      <c r="F170" s="617"/>
      <c r="G170" s="617"/>
      <c r="H170" s="569">
        <v>0</v>
      </c>
      <c r="I170" s="617"/>
      <c r="J170" s="617"/>
      <c r="K170" s="1692">
        <f>SUM(C170:J170)</f>
        <v>0</v>
      </c>
      <c r="L170" s="569">
        <v>0</v>
      </c>
    </row>
    <row r="171" spans="1:14" ht="15.75" customHeight="1" x14ac:dyDescent="0.2">
      <c r="A171" s="622" t="s">
        <v>790</v>
      </c>
      <c r="B171" s="673" t="s">
        <v>86</v>
      </c>
      <c r="C171" s="617"/>
      <c r="D171" s="617"/>
      <c r="E171" s="466">
        <v>0</v>
      </c>
      <c r="F171" s="617"/>
      <c r="G171" s="617"/>
      <c r="H171" s="569">
        <v>0</v>
      </c>
      <c r="I171" s="477"/>
      <c r="J171" s="617"/>
      <c r="K171" s="1692">
        <f>SUM(C171:J171)</f>
        <v>0</v>
      </c>
      <c r="L171" s="569">
        <v>0</v>
      </c>
    </row>
    <row r="172" spans="1:14" ht="12.75" customHeight="1" thickBot="1" x14ac:dyDescent="0.25">
      <c r="A172" s="1689" t="s">
        <v>659</v>
      </c>
      <c r="B172" s="1690" t="s">
        <v>513</v>
      </c>
      <c r="C172" s="617"/>
      <c r="D172" s="617"/>
      <c r="E172" s="1698">
        <f>SUM(E168,E169,E170,E171)</f>
        <v>0</v>
      </c>
      <c r="F172" s="617"/>
      <c r="G172" s="617"/>
      <c r="H172" s="1698">
        <f>SUM(H168,H169,H170,H171)</f>
        <v>0</v>
      </c>
      <c r="I172" s="639"/>
      <c r="J172" s="617"/>
      <c r="K172" s="1698">
        <f>SUM(K168,K169,K170,K171)</f>
        <v>0</v>
      </c>
      <c r="L172" s="1698">
        <f>SUM(L168,L169,L170,L171)</f>
        <v>0</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0</v>
      </c>
      <c r="I174" s="639"/>
      <c r="J174" s="617"/>
      <c r="K174" s="1698">
        <f>SUM(K160,K172,K173)</f>
        <v>0</v>
      </c>
      <c r="L174" s="1698">
        <f>SUM(L160,L172,L173)</f>
        <v>0</v>
      </c>
    </row>
    <row r="175" spans="1:14" ht="13.5" thickTop="1" x14ac:dyDescent="0.2">
      <c r="A175" s="2198" t="s">
        <v>1053</v>
      </c>
      <c r="B175" s="2199"/>
      <c r="C175" s="617"/>
      <c r="D175" s="617"/>
      <c r="E175" s="617"/>
      <c r="F175" s="617"/>
      <c r="G175" s="617"/>
      <c r="H175" s="619"/>
      <c r="I175" s="617"/>
      <c r="J175" s="617"/>
      <c r="K175" s="170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0</v>
      </c>
      <c r="D182" s="466">
        <v>0</v>
      </c>
      <c r="E182" s="466">
        <v>0</v>
      </c>
      <c r="F182" s="466">
        <v>0</v>
      </c>
      <c r="G182" s="466">
        <v>0</v>
      </c>
      <c r="H182" s="466">
        <v>0</v>
      </c>
      <c r="I182" s="467">
        <v>0</v>
      </c>
      <c r="J182" s="467">
        <v>0</v>
      </c>
      <c r="K182" s="1692">
        <f>SUM(C182:J182)</f>
        <v>0</v>
      </c>
      <c r="L182" s="466">
        <v>0</v>
      </c>
    </row>
    <row r="183" spans="1:14" ht="12.75" customHeight="1" thickBot="1" x14ac:dyDescent="0.25">
      <c r="A183" s="1530" t="s">
        <v>1037</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865</v>
      </c>
      <c r="B184" s="1690" t="s">
        <v>590</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x14ac:dyDescent="0.25">
      <c r="A185" s="1643" t="s">
        <v>996</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v>0</v>
      </c>
      <c r="F188" s="617"/>
      <c r="G188" s="617"/>
      <c r="H188" s="466">
        <v>0</v>
      </c>
      <c r="I188" s="477"/>
      <c r="J188" s="617"/>
      <c r="K188" s="1692">
        <f t="shared" ref="K188:K193" si="18">SUM(E188,H188)</f>
        <v>0</v>
      </c>
      <c r="L188" s="466">
        <v>0</v>
      </c>
    </row>
    <row r="189" spans="1:14" x14ac:dyDescent="0.2">
      <c r="A189" s="1525" t="s">
        <v>322</v>
      </c>
      <c r="B189" s="615">
        <v>4120</v>
      </c>
      <c r="C189" s="617"/>
      <c r="D189" s="617"/>
      <c r="E189" s="466">
        <v>0</v>
      </c>
      <c r="F189" s="617"/>
      <c r="G189" s="617"/>
      <c r="H189" s="466">
        <v>0</v>
      </c>
      <c r="I189" s="477"/>
      <c r="J189" s="617"/>
      <c r="K189" s="1692">
        <f t="shared" si="18"/>
        <v>0</v>
      </c>
      <c r="L189" s="466">
        <v>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v>0</v>
      </c>
      <c r="F195" s="617"/>
      <c r="G195" s="617"/>
      <c r="H195" s="657">
        <v>0</v>
      </c>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1770</v>
      </c>
      <c r="B206" s="673" t="s">
        <v>31</v>
      </c>
      <c r="C206" s="617"/>
      <c r="D206" s="617"/>
      <c r="E206" s="617"/>
      <c r="F206" s="617"/>
      <c r="G206" s="617"/>
      <c r="H206" s="466">
        <v>0</v>
      </c>
      <c r="I206" s="617"/>
      <c r="J206" s="617"/>
      <c r="K206" s="1692">
        <f>SUM(H206)</f>
        <v>0</v>
      </c>
      <c r="L206" s="466">
        <v>0</v>
      </c>
    </row>
    <row r="207" spans="1:14" ht="15.75" customHeight="1" x14ac:dyDescent="0.2">
      <c r="A207" s="622" t="s">
        <v>790</v>
      </c>
      <c r="B207" s="673"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x14ac:dyDescent="0.2">
      <c r="A211" s="2198" t="s">
        <v>1053</v>
      </c>
      <c r="B211" s="2199"/>
      <c r="C211" s="619"/>
      <c r="D211" s="619"/>
      <c r="E211" s="619"/>
      <c r="F211" s="619"/>
      <c r="G211" s="619"/>
      <c r="H211" s="619"/>
      <c r="I211" s="617"/>
      <c r="J211" s="617"/>
      <c r="K211" s="1705">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0</v>
      </c>
      <c r="E215" s="617"/>
      <c r="F215" s="617"/>
      <c r="G215" s="617"/>
      <c r="H215" s="617"/>
      <c r="I215" s="617"/>
      <c r="J215" s="617"/>
      <c r="K215" s="1692">
        <f>D215</f>
        <v>0</v>
      </c>
      <c r="L215" s="466">
        <v>0</v>
      </c>
    </row>
    <row r="216" spans="1:14" x14ac:dyDescent="0.2">
      <c r="A216" s="1525" t="s">
        <v>165</v>
      </c>
      <c r="B216" s="615" t="s">
        <v>1024</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0</v>
      </c>
      <c r="E217" s="617"/>
      <c r="F217" s="617"/>
      <c r="G217" s="617"/>
      <c r="H217" s="617"/>
      <c r="I217" s="617"/>
      <c r="J217" s="617"/>
      <c r="K217" s="1692">
        <f t="shared" si="19"/>
        <v>0</v>
      </c>
      <c r="L217" s="466">
        <v>0</v>
      </c>
    </row>
    <row r="218" spans="1:14" x14ac:dyDescent="0.2">
      <c r="A218" s="1525" t="s">
        <v>296</v>
      </c>
      <c r="B218" s="615" t="s">
        <v>1025</v>
      </c>
      <c r="C218" s="617"/>
      <c r="D218" s="467">
        <v>0</v>
      </c>
      <c r="E218" s="617"/>
      <c r="F218" s="617"/>
      <c r="G218" s="617"/>
      <c r="H218" s="617"/>
      <c r="I218" s="617"/>
      <c r="J218" s="617"/>
      <c r="K218" s="1692">
        <f t="shared" si="19"/>
        <v>0</v>
      </c>
      <c r="L218" s="466">
        <v>0</v>
      </c>
    </row>
    <row r="219" spans="1:14" x14ac:dyDescent="0.2">
      <c r="A219" s="1525" t="s">
        <v>297</v>
      </c>
      <c r="B219" s="615">
        <v>1250</v>
      </c>
      <c r="C219" s="617"/>
      <c r="D219" s="466">
        <v>0</v>
      </c>
      <c r="E219" s="617"/>
      <c r="F219" s="617"/>
      <c r="G219" s="617"/>
      <c r="H219" s="617"/>
      <c r="I219" s="617"/>
      <c r="J219" s="617"/>
      <c r="K219" s="1692">
        <f t="shared" si="19"/>
        <v>0</v>
      </c>
      <c r="L219" s="466">
        <v>0</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0</v>
      </c>
      <c r="E222" s="617"/>
      <c r="F222" s="617"/>
      <c r="G222" s="617"/>
      <c r="H222" s="617"/>
      <c r="I222" s="617"/>
      <c r="J222" s="617"/>
      <c r="K222" s="1692">
        <f t="shared" si="19"/>
        <v>0</v>
      </c>
      <c r="L222" s="466">
        <v>0</v>
      </c>
    </row>
    <row r="223" spans="1:14" x14ac:dyDescent="0.2">
      <c r="A223" s="1525" t="s">
        <v>1020</v>
      </c>
      <c r="B223" s="615">
        <v>1500</v>
      </c>
      <c r="C223" s="617"/>
      <c r="D223" s="466">
        <v>0</v>
      </c>
      <c r="E223" s="617"/>
      <c r="F223" s="617"/>
      <c r="G223" s="617"/>
      <c r="H223" s="617"/>
      <c r="I223" s="617"/>
      <c r="J223" s="617"/>
      <c r="K223" s="1692">
        <f t="shared" si="19"/>
        <v>0</v>
      </c>
      <c r="L223" s="466">
        <v>0</v>
      </c>
    </row>
    <row r="224" spans="1:14" x14ac:dyDescent="0.2">
      <c r="A224" s="1525" t="s">
        <v>1021</v>
      </c>
      <c r="B224" s="615">
        <v>1600</v>
      </c>
      <c r="C224" s="617"/>
      <c r="D224" s="466">
        <v>0</v>
      </c>
      <c r="E224" s="617"/>
      <c r="F224" s="617"/>
      <c r="G224" s="617"/>
      <c r="H224" s="617"/>
      <c r="I224" s="617"/>
      <c r="J224" s="617"/>
      <c r="K224" s="1692">
        <f t="shared" si="19"/>
        <v>0</v>
      </c>
      <c r="L224" s="466">
        <v>0</v>
      </c>
    </row>
    <row r="225" spans="1:12" x14ac:dyDescent="0.2">
      <c r="A225" s="1525" t="s">
        <v>1044</v>
      </c>
      <c r="B225" s="615">
        <v>1650</v>
      </c>
      <c r="C225" s="617"/>
      <c r="D225" s="466">
        <v>0</v>
      </c>
      <c r="E225" s="617"/>
      <c r="F225" s="617"/>
      <c r="G225" s="617"/>
      <c r="H225" s="617"/>
      <c r="I225" s="617"/>
      <c r="J225" s="617"/>
      <c r="K225" s="1692">
        <f t="shared" si="19"/>
        <v>0</v>
      </c>
      <c r="L225" s="466">
        <v>0</v>
      </c>
    </row>
    <row r="226" spans="1:12" x14ac:dyDescent="0.2">
      <c r="A226" s="1525" t="s">
        <v>748</v>
      </c>
      <c r="B226" s="615" t="s">
        <v>164</v>
      </c>
      <c r="C226" s="617"/>
      <c r="D226" s="467">
        <v>0</v>
      </c>
      <c r="E226" s="617"/>
      <c r="F226" s="617"/>
      <c r="G226" s="617"/>
      <c r="H226" s="617"/>
      <c r="I226" s="617"/>
      <c r="J226" s="617"/>
      <c r="K226" s="1692">
        <f t="shared" si="19"/>
        <v>0</v>
      </c>
      <c r="L226" s="466">
        <v>0</v>
      </c>
    </row>
    <row r="227" spans="1:12" x14ac:dyDescent="0.2">
      <c r="A227" s="1525" t="s">
        <v>1148</v>
      </c>
      <c r="B227" s="615">
        <v>1800</v>
      </c>
      <c r="C227" s="617"/>
      <c r="D227" s="466">
        <v>0</v>
      </c>
      <c r="E227" s="617"/>
      <c r="F227" s="617"/>
      <c r="G227" s="617"/>
      <c r="H227" s="617"/>
      <c r="I227" s="617"/>
      <c r="J227" s="617"/>
      <c r="K227" s="1692">
        <f t="shared" si="19"/>
        <v>0</v>
      </c>
      <c r="L227" s="466">
        <v>0</v>
      </c>
    </row>
    <row r="228" spans="1:12" x14ac:dyDescent="0.2">
      <c r="A228" s="1525" t="s">
        <v>1149</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0</v>
      </c>
      <c r="E229" s="617"/>
      <c r="F229" s="617"/>
      <c r="G229" s="617"/>
      <c r="H229" s="617"/>
      <c r="I229" s="617"/>
      <c r="J229" s="617"/>
      <c r="K229" s="1691">
        <f>SUM(K215:K228)</f>
        <v>0</v>
      </c>
      <c r="L229" s="1691">
        <f>SUM(L215:L228)</f>
        <v>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0</v>
      </c>
      <c r="E232" s="617"/>
      <c r="F232" s="617"/>
      <c r="G232" s="617"/>
      <c r="H232" s="617"/>
      <c r="I232" s="617"/>
      <c r="J232" s="617"/>
      <c r="K232" s="1692">
        <f t="shared" ref="K232:K237" si="20">D232</f>
        <v>0</v>
      </c>
      <c r="L232" s="466">
        <v>0</v>
      </c>
    </row>
    <row r="233" spans="1:12" x14ac:dyDescent="0.2">
      <c r="A233" s="1525" t="s">
        <v>1151</v>
      </c>
      <c r="B233" s="615">
        <v>2120</v>
      </c>
      <c r="C233" s="617"/>
      <c r="D233" s="466">
        <v>0</v>
      </c>
      <c r="E233" s="617"/>
      <c r="F233" s="617"/>
      <c r="G233" s="617"/>
      <c r="H233" s="617"/>
      <c r="I233" s="617"/>
      <c r="J233" s="617"/>
      <c r="K233" s="1692">
        <f t="shared" si="20"/>
        <v>0</v>
      </c>
      <c r="L233" s="466">
        <v>0</v>
      </c>
    </row>
    <row r="234" spans="1:12" x14ac:dyDescent="0.2">
      <c r="A234" s="1525" t="s">
        <v>207</v>
      </c>
      <c r="B234" s="615">
        <v>2130</v>
      </c>
      <c r="C234" s="617"/>
      <c r="D234" s="466">
        <v>0</v>
      </c>
      <c r="E234" s="617"/>
      <c r="F234" s="617"/>
      <c r="G234" s="617"/>
      <c r="H234" s="617"/>
      <c r="I234" s="617"/>
      <c r="J234" s="617"/>
      <c r="K234" s="1692">
        <f t="shared" si="20"/>
        <v>0</v>
      </c>
      <c r="L234" s="466">
        <v>0</v>
      </c>
    </row>
    <row r="235" spans="1:12" x14ac:dyDescent="0.2">
      <c r="A235" s="1525" t="s">
        <v>208</v>
      </c>
      <c r="B235" s="615">
        <v>2140</v>
      </c>
      <c r="C235" s="617"/>
      <c r="D235" s="466">
        <v>0</v>
      </c>
      <c r="E235" s="617"/>
      <c r="F235" s="617"/>
      <c r="G235" s="617"/>
      <c r="H235" s="617"/>
      <c r="I235" s="617"/>
      <c r="J235" s="617"/>
      <c r="K235" s="1692">
        <f t="shared" si="20"/>
        <v>0</v>
      </c>
      <c r="L235" s="466">
        <v>0</v>
      </c>
    </row>
    <row r="236" spans="1:12" x14ac:dyDescent="0.2">
      <c r="A236" s="1525" t="s">
        <v>209</v>
      </c>
      <c r="B236" s="615">
        <v>2150</v>
      </c>
      <c r="C236" s="617"/>
      <c r="D236" s="466">
        <v>0</v>
      </c>
      <c r="E236" s="617"/>
      <c r="F236" s="617"/>
      <c r="G236" s="617"/>
      <c r="H236" s="617"/>
      <c r="I236" s="617"/>
      <c r="J236" s="617"/>
      <c r="K236" s="1692">
        <f t="shared" si="20"/>
        <v>0</v>
      </c>
      <c r="L236" s="466">
        <v>0</v>
      </c>
    </row>
    <row r="237" spans="1:12" x14ac:dyDescent="0.2">
      <c r="A237" s="1525" t="s">
        <v>167</v>
      </c>
      <c r="B237" s="615">
        <v>2190</v>
      </c>
      <c r="C237" s="617"/>
      <c r="D237" s="466">
        <v>0</v>
      </c>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0</v>
      </c>
      <c r="E240" s="617"/>
      <c r="F240" s="617"/>
      <c r="G240" s="617"/>
      <c r="H240" s="617"/>
      <c r="I240" s="617"/>
      <c r="J240" s="617"/>
      <c r="K240" s="1693">
        <f>D240</f>
        <v>0</v>
      </c>
      <c r="L240" s="481">
        <v>0</v>
      </c>
    </row>
    <row r="241" spans="1:12" x14ac:dyDescent="0.2">
      <c r="A241" s="1525" t="s">
        <v>869</v>
      </c>
      <c r="B241" s="615">
        <v>2220</v>
      </c>
      <c r="C241" s="617"/>
      <c r="D241" s="466">
        <v>0</v>
      </c>
      <c r="E241" s="617"/>
      <c r="F241" s="617"/>
      <c r="G241" s="617"/>
      <c r="H241" s="617"/>
      <c r="I241" s="617"/>
      <c r="J241" s="617"/>
      <c r="K241" s="1693">
        <f>D241</f>
        <v>0</v>
      </c>
      <c r="L241" s="466">
        <v>0</v>
      </c>
    </row>
    <row r="242" spans="1:12" x14ac:dyDescent="0.2">
      <c r="A242" s="1525" t="s">
        <v>870</v>
      </c>
      <c r="B242" s="615">
        <v>2230</v>
      </c>
      <c r="C242" s="617"/>
      <c r="D242" s="466">
        <v>0</v>
      </c>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0</v>
      </c>
      <c r="E245" s="617"/>
      <c r="F245" s="617"/>
      <c r="G245" s="617"/>
      <c r="H245" s="617"/>
      <c r="I245" s="617"/>
      <c r="J245" s="617"/>
      <c r="K245" s="1693">
        <f>D245</f>
        <v>0</v>
      </c>
      <c r="L245" s="481">
        <v>0</v>
      </c>
    </row>
    <row r="246" spans="1:12" x14ac:dyDescent="0.2">
      <c r="A246" s="1525" t="s">
        <v>872</v>
      </c>
      <c r="B246" s="615">
        <v>2320</v>
      </c>
      <c r="C246" s="617"/>
      <c r="D246" s="466">
        <v>0</v>
      </c>
      <c r="E246" s="617"/>
      <c r="F246" s="617"/>
      <c r="G246" s="617"/>
      <c r="H246" s="617"/>
      <c r="I246" s="617"/>
      <c r="J246" s="617"/>
      <c r="K246" s="1693">
        <f t="shared" ref="K246:K256" si="21">D246</f>
        <v>0</v>
      </c>
      <c r="L246" s="466">
        <v>0</v>
      </c>
    </row>
    <row r="247" spans="1:12" x14ac:dyDescent="0.2">
      <c r="A247" s="1525" t="s">
        <v>873</v>
      </c>
      <c r="B247" s="615">
        <v>2330</v>
      </c>
      <c r="C247" s="617"/>
      <c r="D247" s="466">
        <v>0</v>
      </c>
      <c r="E247" s="617"/>
      <c r="F247" s="617"/>
      <c r="G247" s="617"/>
      <c r="H247" s="617"/>
      <c r="I247" s="617"/>
      <c r="J247" s="617"/>
      <c r="K247" s="1693">
        <f t="shared" si="21"/>
        <v>0</v>
      </c>
      <c r="L247" s="466">
        <v>0</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1906</v>
      </c>
      <c r="B249" s="684" t="s">
        <v>300</v>
      </c>
      <c r="C249" s="617"/>
      <c r="D249" s="474">
        <v>0</v>
      </c>
      <c r="E249" s="617"/>
      <c r="F249" s="617"/>
      <c r="G249" s="617"/>
      <c r="H249" s="617"/>
      <c r="I249" s="617"/>
      <c r="J249" s="617"/>
      <c r="K249" s="1693">
        <f t="shared" si="21"/>
        <v>0</v>
      </c>
      <c r="L249" s="466">
        <v>0</v>
      </c>
    </row>
    <row r="250" spans="1:12" x14ac:dyDescent="0.2">
      <c r="A250" s="1526" t="s">
        <v>1907</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4" t="s">
        <v>305</v>
      </c>
      <c r="C254" s="617"/>
      <c r="D254" s="474">
        <v>0</v>
      </c>
      <c r="E254" s="617"/>
      <c r="F254" s="617"/>
      <c r="G254" s="617"/>
      <c r="H254" s="617"/>
      <c r="I254" s="617"/>
      <c r="J254" s="617"/>
      <c r="K254" s="1693">
        <f t="shared" si="21"/>
        <v>0</v>
      </c>
      <c r="L254" s="466">
        <v>0</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0</v>
      </c>
      <c r="E257" s="617"/>
      <c r="F257" s="617"/>
      <c r="G257" s="617"/>
      <c r="H257" s="617"/>
      <c r="I257" s="617"/>
      <c r="J257" s="617"/>
      <c r="K257" s="1691">
        <f>SUM(K245:K256)</f>
        <v>0</v>
      </c>
      <c r="L257" s="1691">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0</v>
      </c>
      <c r="E259" s="617"/>
      <c r="F259" s="617"/>
      <c r="G259" s="617"/>
      <c r="H259" s="617"/>
      <c r="I259" s="617"/>
      <c r="J259" s="617"/>
      <c r="K259" s="1693">
        <f>D259</f>
        <v>0</v>
      </c>
      <c r="L259" s="481">
        <v>0</v>
      </c>
    </row>
    <row r="260" spans="1:14" s="598" customFormat="1" x14ac:dyDescent="0.2">
      <c r="A260" s="1543" t="s">
        <v>1905</v>
      </c>
      <c r="B260" s="629">
        <v>2490</v>
      </c>
      <c r="C260" s="617"/>
      <c r="D260" s="466">
        <v>0</v>
      </c>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0</v>
      </c>
      <c r="E261" s="617"/>
      <c r="F261" s="617"/>
      <c r="G261" s="617"/>
      <c r="H261" s="617"/>
      <c r="I261" s="617"/>
      <c r="J261" s="617"/>
      <c r="K261" s="1691">
        <f>SUM(K259:K260)</f>
        <v>0</v>
      </c>
      <c r="L261" s="1691">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0</v>
      </c>
      <c r="E263" s="617"/>
      <c r="F263" s="617"/>
      <c r="G263" s="617"/>
      <c r="H263" s="617"/>
      <c r="I263" s="617"/>
      <c r="J263" s="617"/>
      <c r="K263" s="1693">
        <f>D263</f>
        <v>0</v>
      </c>
      <c r="L263" s="481">
        <v>0</v>
      </c>
    </row>
    <row r="264" spans="1:14" x14ac:dyDescent="0.2">
      <c r="A264" s="1525" t="s">
        <v>483</v>
      </c>
      <c r="B264" s="686">
        <v>2520</v>
      </c>
      <c r="C264" s="617"/>
      <c r="D264" s="466">
        <v>0</v>
      </c>
      <c r="E264" s="617"/>
      <c r="F264" s="617"/>
      <c r="G264" s="617"/>
      <c r="H264" s="617"/>
      <c r="I264" s="617"/>
      <c r="J264" s="617"/>
      <c r="K264" s="1693">
        <f t="shared" ref="K264:K269" si="22">D264</f>
        <v>0</v>
      </c>
      <c r="L264" s="466">
        <v>0</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0</v>
      </c>
      <c r="E266" s="617"/>
      <c r="F266" s="617"/>
      <c r="G266" s="617"/>
      <c r="H266" s="617"/>
      <c r="I266" s="617"/>
      <c r="J266" s="617"/>
      <c r="K266" s="1693">
        <f t="shared" si="22"/>
        <v>0</v>
      </c>
      <c r="L266" s="466">
        <v>0</v>
      </c>
    </row>
    <row r="267" spans="1:14" x14ac:dyDescent="0.2">
      <c r="A267" s="1525" t="s">
        <v>1010</v>
      </c>
      <c r="B267" s="615">
        <v>2550</v>
      </c>
      <c r="C267" s="617"/>
      <c r="D267" s="466">
        <v>0</v>
      </c>
      <c r="E267" s="617"/>
      <c r="F267" s="617"/>
      <c r="G267" s="617"/>
      <c r="H267" s="617"/>
      <c r="I267" s="617"/>
      <c r="J267" s="617"/>
      <c r="K267" s="1693">
        <f t="shared" si="22"/>
        <v>0</v>
      </c>
      <c r="L267" s="466">
        <v>0</v>
      </c>
    </row>
    <row r="268" spans="1:14" x14ac:dyDescent="0.2">
      <c r="A268" s="1525" t="s">
        <v>102</v>
      </c>
      <c r="B268" s="615">
        <v>2560</v>
      </c>
      <c r="C268" s="617"/>
      <c r="D268" s="466">
        <v>0</v>
      </c>
      <c r="E268" s="617"/>
      <c r="F268" s="617"/>
      <c r="G268" s="617"/>
      <c r="H268" s="617"/>
      <c r="I268" s="617"/>
      <c r="J268" s="617"/>
      <c r="K268" s="1693">
        <f t="shared" si="22"/>
        <v>0</v>
      </c>
      <c r="L268" s="466">
        <v>0</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0</v>
      </c>
      <c r="E270" s="617"/>
      <c r="F270" s="617"/>
      <c r="G270" s="617"/>
      <c r="H270" s="617"/>
      <c r="I270" s="617"/>
      <c r="J270" s="617"/>
      <c r="K270" s="1691">
        <f>SUM(K263:K269)</f>
        <v>0</v>
      </c>
      <c r="L270" s="1691">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0</v>
      </c>
      <c r="E274" s="617"/>
      <c r="F274" s="617"/>
      <c r="G274" s="617"/>
      <c r="H274" s="617"/>
      <c r="I274" s="617"/>
      <c r="J274" s="617"/>
      <c r="K274" s="1693">
        <f>D274</f>
        <v>0</v>
      </c>
      <c r="L274" s="466">
        <v>0</v>
      </c>
    </row>
    <row r="275" spans="1:12" x14ac:dyDescent="0.2">
      <c r="A275" s="1525" t="s">
        <v>423</v>
      </c>
      <c r="B275" s="615">
        <v>2640</v>
      </c>
      <c r="C275" s="617"/>
      <c r="D275" s="466">
        <v>0</v>
      </c>
      <c r="E275" s="617"/>
      <c r="F275" s="617"/>
      <c r="G275" s="617"/>
      <c r="H275" s="617"/>
      <c r="I275" s="617"/>
      <c r="J275" s="617"/>
      <c r="K275" s="1693">
        <f>D275</f>
        <v>0</v>
      </c>
      <c r="L275" s="466">
        <v>0</v>
      </c>
    </row>
    <row r="276" spans="1:12" x14ac:dyDescent="0.2">
      <c r="A276" s="1525" t="s">
        <v>424</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v>0</v>
      </c>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0</v>
      </c>
      <c r="E279" s="617"/>
      <c r="F279" s="617"/>
      <c r="G279" s="617"/>
      <c r="H279" s="617"/>
      <c r="I279" s="617"/>
      <c r="J279" s="617"/>
      <c r="K279" s="1698">
        <f>SUM(K238,K243,K257,K261,K270,K277,K278)</f>
        <v>0</v>
      </c>
      <c r="L279" s="1698">
        <f>SUM(L238,L243,L257,L261,L270,L277,L278)</f>
        <v>0</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1955</v>
      </c>
      <c r="C282" s="617"/>
      <c r="D282" s="467">
        <v>0</v>
      </c>
      <c r="E282" s="617"/>
      <c r="F282" s="617"/>
      <c r="G282" s="617"/>
      <c r="H282" s="617"/>
      <c r="I282" s="617"/>
      <c r="J282" s="617"/>
      <c r="K282" s="1692">
        <f>D282</f>
        <v>0</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89" t="s">
        <v>526</v>
      </c>
      <c r="B295" s="2190"/>
      <c r="C295" s="617"/>
      <c r="D295" s="1691">
        <f>SUM(D229,D279,D280,D285)</f>
        <v>0</v>
      </c>
      <c r="E295" s="617"/>
      <c r="F295" s="617"/>
      <c r="G295" s="617"/>
      <c r="H295" s="1691">
        <f>H293</f>
        <v>0</v>
      </c>
      <c r="I295" s="617"/>
      <c r="J295" s="617"/>
      <c r="K295" s="1691">
        <f>SUM(K229,K279,K280,K285,K293,K294)</f>
        <v>0</v>
      </c>
      <c r="L295" s="1691">
        <f>SUM(L229,L279,L280,L285,L293,L294)</f>
        <v>0</v>
      </c>
    </row>
    <row r="296" spans="1:14" ht="13.5" thickTop="1" x14ac:dyDescent="0.2">
      <c r="A296" s="2198" t="s">
        <v>1053</v>
      </c>
      <c r="B296" s="2199"/>
      <c r="C296" s="617"/>
      <c r="D296" s="619"/>
      <c r="E296" s="617"/>
      <c r="F296" s="617"/>
      <c r="G296" s="617"/>
      <c r="H296" s="688"/>
      <c r="I296" s="617"/>
      <c r="J296" s="617"/>
      <c r="K296" s="1705">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v>0</v>
      </c>
      <c r="D301" s="466">
        <v>0</v>
      </c>
      <c r="E301" s="466">
        <v>0</v>
      </c>
      <c r="F301" s="466">
        <v>0</v>
      </c>
      <c r="G301" s="466">
        <v>0</v>
      </c>
      <c r="H301" s="466">
        <v>0</v>
      </c>
      <c r="I301" s="467">
        <v>0</v>
      </c>
      <c r="J301" s="467">
        <v>0</v>
      </c>
      <c r="K301" s="1692">
        <f>SUM(C301:J301)</f>
        <v>0</v>
      </c>
      <c r="L301" s="467">
        <v>0</v>
      </c>
    </row>
    <row r="302" spans="1:14" ht="13.5" customHeight="1" x14ac:dyDescent="0.2">
      <c r="A302" s="1538" t="s">
        <v>1037</v>
      </c>
      <c r="B302" s="615" t="s">
        <v>595</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1960</v>
      </c>
      <c r="B306" s="691" t="s">
        <v>1955</v>
      </c>
      <c r="C306" s="617"/>
      <c r="D306" s="617"/>
      <c r="E306" s="467">
        <v>0</v>
      </c>
      <c r="F306" s="617"/>
      <c r="G306" s="617"/>
      <c r="H306" s="467">
        <v>0</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86" t="s">
        <v>295</v>
      </c>
      <c r="B312" s="2187"/>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2" t="s">
        <v>1053</v>
      </c>
      <c r="B313" s="2183"/>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1906</v>
      </c>
      <c r="B320" s="699" t="s">
        <v>300</v>
      </c>
      <c r="C320" s="467">
        <v>0</v>
      </c>
      <c r="D320" s="467">
        <v>0</v>
      </c>
      <c r="E320" s="467">
        <v>0</v>
      </c>
      <c r="F320" s="467">
        <v>0</v>
      </c>
      <c r="G320" s="467">
        <v>0</v>
      </c>
      <c r="H320" s="467">
        <v>0</v>
      </c>
      <c r="I320" s="467">
        <v>0</v>
      </c>
      <c r="J320" s="467">
        <v>0</v>
      </c>
      <c r="K320" s="1692">
        <f t="shared" ref="K320:K327" si="24">SUM(C320:J320)</f>
        <v>0</v>
      </c>
      <c r="L320" s="467">
        <v>0</v>
      </c>
      <c r="M320" s="666"/>
      <c r="N320" s="666"/>
    </row>
    <row r="321" spans="1:14" s="675" customFormat="1" x14ac:dyDescent="0.2">
      <c r="A321" s="1540" t="s">
        <v>318</v>
      </c>
      <c r="B321" s="698" t="s">
        <v>301</v>
      </c>
      <c r="C321" s="467">
        <v>0</v>
      </c>
      <c r="D321" s="467">
        <v>0</v>
      </c>
      <c r="E321" s="467">
        <v>0</v>
      </c>
      <c r="F321" s="467">
        <v>0</v>
      </c>
      <c r="G321" s="467">
        <v>0</v>
      </c>
      <c r="H321" s="467">
        <v>0</v>
      </c>
      <c r="I321" s="467">
        <v>0</v>
      </c>
      <c r="J321" s="467">
        <v>0</v>
      </c>
      <c r="K321" s="1692">
        <f t="shared" si="24"/>
        <v>0</v>
      </c>
      <c r="L321" s="467">
        <v>0</v>
      </c>
      <c r="M321" s="666"/>
      <c r="N321" s="666"/>
    </row>
    <row r="322" spans="1:14" s="675" customFormat="1" x14ac:dyDescent="0.2">
      <c r="A322" s="1540" t="s">
        <v>256</v>
      </c>
      <c r="B322" s="698" t="s">
        <v>302</v>
      </c>
      <c r="C322" s="467">
        <v>0</v>
      </c>
      <c r="D322" s="467">
        <v>0</v>
      </c>
      <c r="E322" s="467">
        <v>0</v>
      </c>
      <c r="F322" s="467">
        <v>0</v>
      </c>
      <c r="G322" s="467">
        <v>0</v>
      </c>
      <c r="H322" s="467">
        <v>0</v>
      </c>
      <c r="I322" s="467">
        <v>0</v>
      </c>
      <c r="J322" s="467">
        <v>0</v>
      </c>
      <c r="K322" s="1692">
        <f t="shared" si="24"/>
        <v>0</v>
      </c>
      <c r="L322" s="467">
        <v>0</v>
      </c>
      <c r="M322" s="666"/>
      <c r="N322" s="666"/>
    </row>
    <row r="323" spans="1:14" s="675" customFormat="1" x14ac:dyDescent="0.2">
      <c r="A323" s="1540" t="s">
        <v>726</v>
      </c>
      <c r="B323" s="698" t="s">
        <v>303</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304</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1087</v>
      </c>
      <c r="B325" s="699" t="s">
        <v>305</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1088</v>
      </c>
      <c r="B326" s="698" t="s">
        <v>306</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1028</v>
      </c>
      <c r="B327" s="698" t="s">
        <v>307</v>
      </c>
      <c r="C327" s="467">
        <v>0</v>
      </c>
      <c r="D327" s="467">
        <v>0</v>
      </c>
      <c r="E327" s="467">
        <v>0</v>
      </c>
      <c r="F327" s="467">
        <v>0</v>
      </c>
      <c r="G327" s="467">
        <v>0</v>
      </c>
      <c r="H327" s="467">
        <v>0</v>
      </c>
      <c r="I327" s="467">
        <v>0</v>
      </c>
      <c r="J327" s="467">
        <v>0</v>
      </c>
      <c r="K327" s="1692">
        <f t="shared" si="24"/>
        <v>0</v>
      </c>
      <c r="L327" s="467">
        <v>0</v>
      </c>
      <c r="M327" s="666"/>
      <c r="N327" s="666"/>
    </row>
    <row r="328" spans="1:14" s="675" customFormat="1" x14ac:dyDescent="0.2">
      <c r="A328" s="1541" t="s">
        <v>492</v>
      </c>
      <c r="B328" s="691" t="s">
        <v>1194</v>
      </c>
      <c r="C328" s="474">
        <v>0</v>
      </c>
      <c r="D328" s="474">
        <v>0</v>
      </c>
      <c r="E328" s="474">
        <v>0</v>
      </c>
      <c r="F328" s="474">
        <v>0</v>
      </c>
      <c r="G328" s="474">
        <v>0</v>
      </c>
      <c r="H328" s="474">
        <v>0</v>
      </c>
      <c r="I328" s="474">
        <v>0</v>
      </c>
      <c r="J328" s="474">
        <v>0</v>
      </c>
      <c r="K328" s="1720">
        <f>SUM(C328:J328)</f>
        <v>0</v>
      </c>
      <c r="L328" s="474">
        <v>0</v>
      </c>
      <c r="M328" s="666"/>
      <c r="N328" s="666"/>
    </row>
    <row r="329" spans="1:14" s="675" customFormat="1" x14ac:dyDescent="0.2">
      <c r="A329" s="1541" t="s">
        <v>1195</v>
      </c>
      <c r="B329" s="691" t="s">
        <v>1196</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6"/>
      <c r="N330" s="666"/>
    </row>
    <row r="331" spans="1:14" s="675" customFormat="1" ht="12.75" customHeight="1" thickTop="1" x14ac:dyDescent="0.2">
      <c r="A331" s="1853" t="s">
        <v>1961</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1955</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322</v>
      </c>
      <c r="B333" s="1849" t="s">
        <v>1957</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1962</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v>0</v>
      </c>
      <c r="I337" s="639"/>
      <c r="J337" s="639"/>
      <c r="K337" s="1692">
        <f>H337</f>
        <v>0</v>
      </c>
      <c r="L337" s="478">
        <v>0</v>
      </c>
    </row>
    <row r="338" spans="1:14" ht="12.75" customHeight="1" x14ac:dyDescent="0.2">
      <c r="A338" s="1539" t="s">
        <v>1232</v>
      </c>
      <c r="B338" s="691" t="s">
        <v>638</v>
      </c>
      <c r="C338" s="639"/>
      <c r="D338" s="639"/>
      <c r="E338" s="639"/>
      <c r="F338" s="639"/>
      <c r="G338" s="639"/>
      <c r="H338" s="478">
        <v>0</v>
      </c>
      <c r="I338" s="639"/>
      <c r="J338" s="639"/>
      <c r="K338" s="1692">
        <f>H338</f>
        <v>0</v>
      </c>
      <c r="L338" s="478">
        <v>0</v>
      </c>
    </row>
    <row r="339" spans="1:14" x14ac:dyDescent="0.2">
      <c r="A339" s="1525" t="s">
        <v>957</v>
      </c>
      <c r="B339" s="629">
        <v>5150</v>
      </c>
      <c r="C339" s="639"/>
      <c r="D339" s="639"/>
      <c r="E339" s="639"/>
      <c r="F339" s="639"/>
      <c r="G339" s="639"/>
      <c r="H339" s="467">
        <v>0</v>
      </c>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4" t="s">
        <v>1053</v>
      </c>
      <c r="B343" s="2185"/>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2">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1963</v>
      </c>
      <c r="B354" s="684" t="s">
        <v>1955</v>
      </c>
      <c r="C354" s="617"/>
      <c r="D354" s="617"/>
      <c r="E354" s="617"/>
      <c r="F354" s="617"/>
      <c r="G354" s="617"/>
      <c r="H354" s="474">
        <v>0</v>
      </c>
      <c r="I354" s="702"/>
      <c r="J354" s="617"/>
      <c r="K354" s="1720">
        <f>H354</f>
        <v>0</v>
      </c>
      <c r="L354" s="471">
        <v>0</v>
      </c>
    </row>
    <row r="355" spans="1:14" ht="12.75" customHeight="1" x14ac:dyDescent="0.2">
      <c r="A355" s="1534" t="s">
        <v>1964</v>
      </c>
      <c r="B355" s="691" t="s">
        <v>1957</v>
      </c>
      <c r="C355" s="617"/>
      <c r="D355" s="617"/>
      <c r="E355" s="617"/>
      <c r="F355" s="617"/>
      <c r="G355" s="617"/>
      <c r="H355" s="467">
        <v>0</v>
      </c>
      <c r="I355" s="702"/>
      <c r="J355" s="617"/>
      <c r="K355" s="1764">
        <f>H355</f>
        <v>0</v>
      </c>
      <c r="L355" s="467">
        <v>0</v>
      </c>
    </row>
    <row r="356" spans="1:14" ht="12.75" customHeight="1" x14ac:dyDescent="0.2">
      <c r="A356" s="1856" t="s">
        <v>722</v>
      </c>
      <c r="B356" s="684" t="s">
        <v>579</v>
      </c>
      <c r="C356" s="617"/>
      <c r="D356" s="617"/>
      <c r="E356" s="617"/>
      <c r="F356" s="617"/>
      <c r="G356" s="617"/>
      <c r="H356" s="479">
        <v>0</v>
      </c>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98" t="s">
        <v>1053</v>
      </c>
      <c r="B368" s="2199"/>
      <c r="C368" s="655"/>
      <c r="D368" s="655"/>
      <c r="E368" s="627"/>
      <c r="F368" s="627"/>
      <c r="G368" s="627"/>
      <c r="H368" s="627"/>
      <c r="I368" s="627"/>
      <c r="J368" s="624"/>
      <c r="K368" s="169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P10" sqref="P1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1903</v>
      </c>
      <c r="B2" s="1549" t="s">
        <v>2035</v>
      </c>
      <c r="C2" s="715" t="s">
        <v>1908</v>
      </c>
      <c r="D2" s="715" t="s">
        <v>1909</v>
      </c>
      <c r="E2" s="715" t="s">
        <v>1910</v>
      </c>
      <c r="F2" s="715" t="s">
        <v>1911</v>
      </c>
    </row>
    <row r="3" spans="1:6" ht="12" customHeight="1" x14ac:dyDescent="0.2">
      <c r="A3" s="2201"/>
      <c r="B3" s="1546"/>
      <c r="C3" s="1547"/>
      <c r="D3" s="1548" t="s">
        <v>274</v>
      </c>
      <c r="E3" s="1547"/>
      <c r="F3" s="1548" t="s">
        <v>275</v>
      </c>
    </row>
    <row r="4" spans="1:6" ht="13.7" customHeight="1" x14ac:dyDescent="0.2">
      <c r="A4" s="716" t="s">
        <v>1217</v>
      </c>
      <c r="B4" s="1770">
        <f>'Revenues 9-14'!C5</f>
        <v>0</v>
      </c>
      <c r="C4" s="1545"/>
      <c r="D4" s="1773">
        <f>B4-C4</f>
        <v>0</v>
      </c>
      <c r="E4" s="1545"/>
      <c r="F4" s="1773">
        <f>E4-C4</f>
        <v>0</v>
      </c>
    </row>
    <row r="5" spans="1:6" ht="13.7" customHeight="1" x14ac:dyDescent="0.2">
      <c r="A5" s="716" t="s">
        <v>925</v>
      </c>
      <c r="B5" s="1771">
        <f>'Revenues 9-14'!D5</f>
        <v>0</v>
      </c>
      <c r="C5" s="585"/>
      <c r="D5" s="1774">
        <f t="shared" ref="D5:D18" si="0">B5-C5</f>
        <v>0</v>
      </c>
      <c r="E5" s="585"/>
      <c r="F5" s="1774">
        <f>E5-C5</f>
        <v>0</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0</v>
      </c>
      <c r="C7" s="585"/>
      <c r="D7" s="1774">
        <f t="shared" si="0"/>
        <v>0</v>
      </c>
      <c r="E7" s="585"/>
      <c r="F7" s="1774">
        <f t="shared" si="1"/>
        <v>0</v>
      </c>
    </row>
    <row r="8" spans="1:6" ht="13.7" customHeight="1" x14ac:dyDescent="0.2">
      <c r="A8" s="716" t="s">
        <v>1241</v>
      </c>
      <c r="B8" s="1771">
        <f>'Revenues 9-14'!G5</f>
        <v>0</v>
      </c>
      <c r="C8" s="585"/>
      <c r="D8" s="1774">
        <f t="shared" si="0"/>
        <v>0</v>
      </c>
      <c r="E8" s="585"/>
      <c r="F8" s="1774">
        <f t="shared" si="1"/>
        <v>0</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0</v>
      </c>
      <c r="C10" s="585"/>
      <c r="D10" s="1774">
        <f t="shared" si="0"/>
        <v>0</v>
      </c>
      <c r="E10" s="585"/>
      <c r="F10" s="1774">
        <f t="shared" si="1"/>
        <v>0</v>
      </c>
    </row>
    <row r="11" spans="1:6" x14ac:dyDescent="0.2">
      <c r="A11" s="716" t="s">
        <v>429</v>
      </c>
      <c r="B11" s="1771">
        <f>'Revenues 9-14'!J5</f>
        <v>0</v>
      </c>
      <c r="C11" s="585"/>
      <c r="D11" s="1774">
        <f t="shared" si="0"/>
        <v>0</v>
      </c>
      <c r="E11" s="585"/>
      <c r="F11" s="1774">
        <f t="shared" si="1"/>
        <v>0</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0</v>
      </c>
      <c r="C14" s="585"/>
      <c r="D14" s="1774">
        <f t="shared" si="0"/>
        <v>0</v>
      </c>
      <c r="E14" s="585"/>
      <c r="F14" s="1774">
        <f t="shared" si="1"/>
        <v>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0</v>
      </c>
      <c r="C16" s="585"/>
      <c r="D16" s="1774">
        <f t="shared" si="0"/>
        <v>0</v>
      </c>
      <c r="E16" s="585"/>
      <c r="F16" s="1774">
        <f t="shared" si="1"/>
        <v>0</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0</v>
      </c>
      <c r="C19" s="1772">
        <f>SUM(C4:C18)</f>
        <v>0</v>
      </c>
      <c r="D19" s="1772">
        <f>SUM(D4:D18)</f>
        <v>0</v>
      </c>
      <c r="E19" s="1772">
        <f>SUM(E4:E18)</f>
        <v>0</v>
      </c>
      <c r="F19" s="1772">
        <f>SUM(F4:F18)</f>
        <v>0</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P10" sqref="P1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1903</v>
      </c>
      <c r="B2" s="2216"/>
      <c r="C2" s="1907" t="s">
        <v>2036</v>
      </c>
      <c r="D2" s="724" t="s">
        <v>2043</v>
      </c>
      <c r="E2" s="724" t="s">
        <v>2044</v>
      </c>
      <c r="F2" s="1907" t="s">
        <v>2037</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6">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4" t="s">
        <v>652</v>
      </c>
      <c r="B15" s="2205"/>
      <c r="C15" s="1776">
        <f>SUM(C6:C14)</f>
        <v>0</v>
      </c>
      <c r="D15" s="1776">
        <f>SUM(D6:D14)</f>
        <v>0</v>
      </c>
      <c r="E15" s="1776">
        <f>SUM(E6:E14)</f>
        <v>0</v>
      </c>
      <c r="F15" s="1776">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6">
        <f>SUM(C17+D17)-E17</f>
        <v>0</v>
      </c>
    </row>
    <row r="18" spans="1:11" ht="12.75" customHeight="1" thickTop="1" thickBot="1" x14ac:dyDescent="0.25">
      <c r="A18" s="2227" t="s">
        <v>6</v>
      </c>
      <c r="B18" s="2228"/>
      <c r="C18" s="727"/>
      <c r="D18" s="585"/>
      <c r="E18" s="727"/>
      <c r="F18" s="1776">
        <f>SUM(C18+D18)-E18</f>
        <v>0</v>
      </c>
    </row>
    <row r="19" spans="1:11" ht="12.75" customHeight="1" thickTop="1" thickBot="1" x14ac:dyDescent="0.25">
      <c r="A19" s="2227" t="s">
        <v>406</v>
      </c>
      <c r="B19" s="2228"/>
      <c r="C19" s="727"/>
      <c r="D19" s="585"/>
      <c r="E19" s="727"/>
      <c r="F19" s="1776">
        <f>SUM(C19+D19)-E19</f>
        <v>0</v>
      </c>
    </row>
    <row r="20" spans="1:11" ht="12.75" customHeight="1" thickTop="1" thickBot="1" x14ac:dyDescent="0.25">
      <c r="A20" s="2227" t="s">
        <v>468</v>
      </c>
      <c r="B20" s="2228"/>
      <c r="C20" s="727"/>
      <c r="D20" s="585"/>
      <c r="E20" s="727"/>
      <c r="F20" s="1776">
        <f>SUM(C20+D20)-E20</f>
        <v>0</v>
      </c>
    </row>
    <row r="21" spans="1:11" ht="14.25" thickTop="1" thickBot="1" x14ac:dyDescent="0.25">
      <c r="A21" s="2204" t="s">
        <v>653</v>
      </c>
      <c r="B21" s="2205"/>
      <c r="C21" s="1776">
        <f>SUM(C17:C20)</f>
        <v>0</v>
      </c>
      <c r="D21" s="1776">
        <f>SUM(D17:D20)</f>
        <v>0</v>
      </c>
      <c r="E21" s="1776">
        <f>SUM(E17:E20)</f>
        <v>0</v>
      </c>
      <c r="F21" s="1776">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6">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6">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6">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0" t="s">
        <v>1131</v>
      </c>
      <c r="B30" s="731" t="s">
        <v>1186</v>
      </c>
      <c r="C30" s="1908" t="s">
        <v>604</v>
      </c>
      <c r="D30" s="1908" t="s">
        <v>1772</v>
      </c>
      <c r="E30" s="1908" t="s">
        <v>2038</v>
      </c>
      <c r="F30" s="1908" t="s">
        <v>2039</v>
      </c>
      <c r="G30" s="1908" t="s">
        <v>2042</v>
      </c>
      <c r="H30" s="1908" t="s">
        <v>2040</v>
      </c>
      <c r="I30" s="1908" t="s">
        <v>2041</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0</v>
      </c>
      <c r="D49" s="746"/>
      <c r="E49" s="1777">
        <f t="shared" ref="E49:J49" si="2">SUM(E31:E48)</f>
        <v>0</v>
      </c>
      <c r="F49" s="1777">
        <f t="shared" si="2"/>
        <v>0</v>
      </c>
      <c r="G49" s="1777">
        <f t="shared" si="2"/>
        <v>0</v>
      </c>
      <c r="H49" s="1777">
        <f t="shared" si="2"/>
        <v>0</v>
      </c>
      <c r="I49" s="1777">
        <f t="shared" si="2"/>
        <v>0</v>
      </c>
      <c r="J49" s="1777">
        <f t="shared" si="2"/>
        <v>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10" colorId="8" zoomScale="110" zoomScaleNormal="110" workbookViewId="0">
      <selection activeCell="P10" sqref="P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1"/>
      <c r="I1" s="761"/>
      <c r="J1" s="433"/>
    </row>
    <row r="2" spans="1:11" ht="26.25" x14ac:dyDescent="0.2">
      <c r="A2" s="2234" t="s">
        <v>1776</v>
      </c>
      <c r="B2" s="2235"/>
      <c r="C2" s="2235"/>
      <c r="D2" s="2235"/>
      <c r="E2" s="2236"/>
      <c r="F2" s="762" t="s">
        <v>960</v>
      </c>
      <c r="G2" s="763" t="s">
        <v>1773</v>
      </c>
      <c r="H2" s="763" t="s">
        <v>430</v>
      </c>
      <c r="I2" s="763" t="s">
        <v>1220</v>
      </c>
      <c r="J2" s="763" t="s">
        <v>1917</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1918</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8"/>
      <c r="G12" s="1779">
        <f>SUM(G5:G11)</f>
        <v>0</v>
      </c>
      <c r="H12" s="1779">
        <f>SUM(H5:H11)</f>
        <v>0</v>
      </c>
      <c r="I12" s="1779">
        <f>SUM(I5:I11)</f>
        <v>0</v>
      </c>
      <c r="J12" s="1779">
        <f>SUM(J5:J11)</f>
        <v>0</v>
      </c>
      <c r="K12" s="1779">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1914</v>
      </c>
      <c r="B19" s="2266"/>
      <c r="C19" s="2266"/>
      <c r="D19" s="2266"/>
      <c r="E19" s="2267"/>
      <c r="F19" s="790" t="s">
        <v>990</v>
      </c>
      <c r="G19" s="783"/>
      <c r="H19" s="783"/>
      <c r="I19" s="783"/>
      <c r="J19" s="766"/>
      <c r="K19" s="796"/>
    </row>
    <row r="20" spans="1:11" x14ac:dyDescent="0.2">
      <c r="A20" s="2245" t="s">
        <v>1919</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0"/>
      <c r="G21" s="793"/>
      <c r="H21" s="797"/>
      <c r="I21" s="797"/>
      <c r="J21" s="1781">
        <f>SUM(J18:J20)</f>
        <v>0</v>
      </c>
      <c r="K21" s="794"/>
    </row>
    <row r="22" spans="1:11" ht="13.5" thickTop="1" x14ac:dyDescent="0.2">
      <c r="A22" s="2231" t="s">
        <v>1920</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2"/>
      <c r="G23" s="1779">
        <f>SUM(G14:G16,G21,G22)</f>
        <v>0</v>
      </c>
      <c r="H23" s="1779">
        <f>SUM(H14:H16,H21,H22)</f>
        <v>0</v>
      </c>
      <c r="I23" s="1779">
        <f>SUM(I14:I16,I21,I22)</f>
        <v>0</v>
      </c>
      <c r="J23" s="1779">
        <f>SUM(J14:J16,J21,J22)</f>
        <v>0</v>
      </c>
      <c r="K23" s="1779">
        <f>SUM(K14:K16,K21,K22)</f>
        <v>0</v>
      </c>
    </row>
    <row r="24" spans="1:11" ht="14.25" thickTop="1" thickBot="1" x14ac:dyDescent="0.25">
      <c r="A24" s="2252" t="s">
        <v>2024</v>
      </c>
      <c r="B24" s="2251"/>
      <c r="C24" s="2251"/>
      <c r="D24" s="2251"/>
      <c r="E24" s="2251"/>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2034</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t="s">
        <v>2075</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1915</v>
      </c>
      <c r="B46" s="408" t="s">
        <v>1774</v>
      </c>
    </row>
    <row r="47" spans="1:11" s="824" customFormat="1" ht="12.75" customHeight="1" x14ac:dyDescent="0.2">
      <c r="A47" s="822"/>
      <c r="B47" s="823" t="s">
        <v>1775</v>
      </c>
      <c r="E47" s="823"/>
      <c r="K47" s="825"/>
    </row>
    <row r="48" spans="1:11" ht="12.75" customHeight="1" x14ac:dyDescent="0.2">
      <c r="A48" s="1553"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P10" sqref="P1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c r="D5" s="842"/>
      <c r="E5" s="842"/>
      <c r="F5" s="1781">
        <f>(C5+D5)-E5</f>
        <v>0</v>
      </c>
      <c r="G5" s="838"/>
      <c r="H5" s="843"/>
      <c r="I5" s="843"/>
      <c r="J5" s="843"/>
      <c r="K5" s="794"/>
      <c r="L5" s="1790">
        <f>F5-K5</f>
        <v>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c r="D8" s="845"/>
      <c r="E8" s="845"/>
      <c r="F8" s="1781">
        <f>(C8+D8)-E8</f>
        <v>0</v>
      </c>
      <c r="G8" s="844">
        <v>50</v>
      </c>
      <c r="H8" s="766"/>
      <c r="I8" s="766"/>
      <c r="J8" s="766"/>
      <c r="K8" s="1790">
        <f>(H8+I8)-J8</f>
        <v>0</v>
      </c>
      <c r="L8" s="1790">
        <f>F8-K8</f>
        <v>0</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c r="D10" s="847"/>
      <c r="E10" s="847"/>
      <c r="F10" s="1785">
        <f>(C10+D10)-E10</f>
        <v>0</v>
      </c>
      <c r="G10" s="844">
        <v>20</v>
      </c>
      <c r="H10" s="848"/>
      <c r="I10" s="848"/>
      <c r="J10" s="848"/>
      <c r="K10" s="1790">
        <f>(H10+I10)-J10</f>
        <v>0</v>
      </c>
      <c r="L10" s="1790">
        <f>F10-K10</f>
        <v>0</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689828</v>
      </c>
      <c r="D12" s="845">
        <v>23704</v>
      </c>
      <c r="E12" s="845"/>
      <c r="F12" s="1781">
        <f>(C12+D12)-E12</f>
        <v>713532</v>
      </c>
      <c r="G12" s="844">
        <v>10</v>
      </c>
      <c r="H12" s="766">
        <v>587730</v>
      </c>
      <c r="I12" s="766">
        <v>29564</v>
      </c>
      <c r="J12" s="766"/>
      <c r="K12" s="1790">
        <f>(H12+I12)-J12</f>
        <v>617294</v>
      </c>
      <c r="L12" s="1790">
        <f>F12-K12</f>
        <v>96238</v>
      </c>
    </row>
    <row r="13" spans="1:14" ht="14.25" thickTop="1" thickBot="1" x14ac:dyDescent="0.25">
      <c r="A13" s="849" t="s">
        <v>1184</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689828</v>
      </c>
      <c r="D16" s="1781">
        <f>SUM(D3,D5:D6,D8:D10,D12:D15)</f>
        <v>23704</v>
      </c>
      <c r="E16" s="1781">
        <f>SUM(E3,E5:E6,E8:E10,E12:E15)</f>
        <v>0</v>
      </c>
      <c r="F16" s="1781">
        <f>SUM(F3,F5:F6,F8:F10,F12:F15)</f>
        <v>713532</v>
      </c>
      <c r="G16" s="844"/>
      <c r="H16" s="1781">
        <f>SUM(H3,H6,H8:H10,H12:H14,)</f>
        <v>587730</v>
      </c>
      <c r="I16" s="1781">
        <f>SUM(I3,I6,I8:I10,I12:I14,)</f>
        <v>29564</v>
      </c>
      <c r="J16" s="1781">
        <f>SUM(J3,J6,J8:J10,J12:J14,)</f>
        <v>0</v>
      </c>
      <c r="K16" s="1781">
        <f>(H16+I16)-J16</f>
        <v>617294</v>
      </c>
      <c r="L16" s="1781">
        <f>F16-K16</f>
        <v>96238</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9942</v>
      </c>
      <c r="G17" s="838">
        <v>10</v>
      </c>
      <c r="H17" s="770"/>
      <c r="I17" s="1790">
        <f>F17/G17</f>
        <v>994.2</v>
      </c>
      <c r="J17" s="770"/>
      <c r="K17" s="796"/>
      <c r="L17" s="796"/>
    </row>
    <row r="18" spans="1:12" ht="14.25" thickTop="1" thickBot="1" x14ac:dyDescent="0.25">
      <c r="A18" s="1788" t="s">
        <v>706</v>
      </c>
      <c r="B18" s="1789"/>
      <c r="C18" s="772"/>
      <c r="D18" s="772"/>
      <c r="E18" s="772"/>
      <c r="F18" s="851"/>
      <c r="G18" s="852"/>
      <c r="H18" s="774"/>
      <c r="I18" s="1781">
        <f>SUM(I16,I17)</f>
        <v>30558.2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7" activePane="bottomLeft" state="frozen"/>
      <selection activeCell="P10" sqref="P10"/>
      <selection pane="bottomLeft" activeCell="P10" sqref="P1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7830130</v>
      </c>
      <c r="G8" s="866"/>
    </row>
    <row r="9" spans="1:7" x14ac:dyDescent="0.2">
      <c r="A9" s="870" t="s">
        <v>480</v>
      </c>
      <c r="B9" s="871" t="s">
        <v>1987</v>
      </c>
      <c r="C9" s="872"/>
      <c r="D9" s="870" t="s">
        <v>522</v>
      </c>
      <c r="E9" s="869"/>
      <c r="F9" s="1933">
        <f>'Expenditures 15-22'!K151</f>
        <v>0</v>
      </c>
      <c r="G9" s="873"/>
    </row>
    <row r="10" spans="1:7" x14ac:dyDescent="0.2">
      <c r="A10" s="870" t="s">
        <v>520</v>
      </c>
      <c r="B10" s="871" t="s">
        <v>1988</v>
      </c>
      <c r="C10" s="872"/>
      <c r="D10" s="870" t="s">
        <v>522</v>
      </c>
      <c r="E10" s="869"/>
      <c r="F10" s="1933">
        <f>'Expenditures 15-22'!K174</f>
        <v>0</v>
      </c>
      <c r="G10" s="873"/>
    </row>
    <row r="11" spans="1:7" x14ac:dyDescent="0.2">
      <c r="A11" s="870" t="s">
        <v>481</v>
      </c>
      <c r="B11" s="871" t="s">
        <v>1989</v>
      </c>
      <c r="C11" s="872"/>
      <c r="D11" s="870" t="s">
        <v>522</v>
      </c>
      <c r="E11" s="869"/>
      <c r="F11" s="1933">
        <f>'Expenditures 15-22'!K210</f>
        <v>0</v>
      </c>
      <c r="G11" s="873"/>
    </row>
    <row r="12" spans="1:7" x14ac:dyDescent="0.2">
      <c r="A12" s="870" t="s">
        <v>482</v>
      </c>
      <c r="B12" s="871" t="s">
        <v>1990</v>
      </c>
      <c r="C12" s="872"/>
      <c r="D12" s="870" t="s">
        <v>522</v>
      </c>
      <c r="E12" s="869"/>
      <c r="F12" s="1933">
        <f>'Expenditures 15-22'!K295</f>
        <v>0</v>
      </c>
      <c r="G12" s="873"/>
    </row>
    <row r="13" spans="1:7" x14ac:dyDescent="0.2">
      <c r="A13" s="870" t="s">
        <v>108</v>
      </c>
      <c r="B13" s="871" t="s">
        <v>1991</v>
      </c>
      <c r="C13" s="872"/>
      <c r="D13" s="870" t="s">
        <v>522</v>
      </c>
      <c r="E13" s="869"/>
      <c r="F13" s="1933">
        <f>'Expenditures 15-22'!K342</f>
        <v>0</v>
      </c>
      <c r="G13" s="874"/>
    </row>
    <row r="14" spans="1:7" ht="12" customHeight="1" thickBot="1" x14ac:dyDescent="0.25">
      <c r="A14" s="1791"/>
      <c r="B14" s="1792"/>
      <c r="C14" s="1793"/>
      <c r="D14" s="1794" t="s">
        <v>522</v>
      </c>
      <c r="E14" s="1795" t="s">
        <v>1015</v>
      </c>
      <c r="F14" s="1796">
        <f>SUM(F8:F13)</f>
        <v>7830130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186189</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2723590</v>
      </c>
      <c r="G53" s="866"/>
    </row>
    <row r="54" spans="1:7" x14ac:dyDescent="0.2">
      <c r="A54" s="870" t="s">
        <v>479</v>
      </c>
      <c r="B54" s="870" t="s">
        <v>1552</v>
      </c>
      <c r="C54" s="890" t="s">
        <v>1039</v>
      </c>
      <c r="D54" s="886" t="s">
        <v>1157</v>
      </c>
      <c r="E54" s="869"/>
      <c r="F54" s="1937">
        <f>'Expenditures 15-22'!G114</f>
        <v>23704</v>
      </c>
      <c r="G54" s="866"/>
    </row>
    <row r="55" spans="1:7" x14ac:dyDescent="0.2">
      <c r="A55" s="870" t="s">
        <v>479</v>
      </c>
      <c r="B55" s="870" t="s">
        <v>1553</v>
      </c>
      <c r="C55" s="890" t="s">
        <v>1039</v>
      </c>
      <c r="D55" s="886" t="s">
        <v>309</v>
      </c>
      <c r="E55" s="869"/>
      <c r="F55" s="1937">
        <f>'Expenditures 15-22'!I114</f>
        <v>9942</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7">
        <f>'Expenditures 15-22'!K139</f>
        <v>0</v>
      </c>
      <c r="G57" s="866"/>
    </row>
    <row r="58" spans="1:7" x14ac:dyDescent="0.2">
      <c r="A58" s="870" t="s">
        <v>480</v>
      </c>
      <c r="B58" s="870" t="s">
        <v>1993</v>
      </c>
      <c r="C58" s="887" t="s">
        <v>1039</v>
      </c>
      <c r="D58" s="886" t="s">
        <v>1157</v>
      </c>
      <c r="E58" s="869"/>
      <c r="F58" s="1939">
        <f>'Expenditures 15-22'!G151</f>
        <v>0</v>
      </c>
      <c r="G58" s="866"/>
    </row>
    <row r="59" spans="1:7" x14ac:dyDescent="0.2">
      <c r="A59" s="894" t="s">
        <v>480</v>
      </c>
      <c r="B59" s="857" t="s">
        <v>1994</v>
      </c>
      <c r="C59" s="895" t="s">
        <v>1039</v>
      </c>
      <c r="D59" s="857" t="s">
        <v>309</v>
      </c>
      <c r="F59" s="1940">
        <f>'Expenditures 15-22'!I151</f>
        <v>0</v>
      </c>
      <c r="G59" s="866"/>
    </row>
    <row r="60" spans="1:7" x14ac:dyDescent="0.2">
      <c r="A60" s="894" t="s">
        <v>520</v>
      </c>
      <c r="B60" s="857" t="s">
        <v>1995</v>
      </c>
      <c r="C60" s="895">
        <v>4000</v>
      </c>
      <c r="D60" s="857" t="s">
        <v>330</v>
      </c>
      <c r="F60" s="1938">
        <f>'Expenditures 15-22'!K160</f>
        <v>0</v>
      </c>
      <c r="G60" s="866"/>
    </row>
    <row r="61" spans="1:7" x14ac:dyDescent="0.2">
      <c r="A61" s="896" t="s">
        <v>520</v>
      </c>
      <c r="B61" s="896" t="s">
        <v>1996</v>
      </c>
      <c r="C61" s="897" t="str">
        <f>'Expenditures 15-22'!B170</f>
        <v>5300</v>
      </c>
      <c r="D61" s="898" t="s">
        <v>329</v>
      </c>
      <c r="E61" s="880"/>
      <c r="F61" s="1937">
        <f>'Expenditures 15-22'!K170</f>
        <v>0</v>
      </c>
      <c r="G61" s="866"/>
    </row>
    <row r="62" spans="1:7" x14ac:dyDescent="0.2">
      <c r="A62" s="870" t="s">
        <v>481</v>
      </c>
      <c r="B62" s="870" t="s">
        <v>1997</v>
      </c>
      <c r="C62" s="887">
        <f>'Expenditures 15-22'!B185</f>
        <v>3000</v>
      </c>
      <c r="D62" s="877" t="s">
        <v>469</v>
      </c>
      <c r="E62" s="869"/>
      <c r="F62" s="1937">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7">
        <f>'Expenditures 15-22'!K196</f>
        <v>0</v>
      </c>
      <c r="G63" s="866"/>
    </row>
    <row r="64" spans="1:7" x14ac:dyDescent="0.2">
      <c r="A64" s="896" t="s">
        <v>481</v>
      </c>
      <c r="B64" s="896" t="s">
        <v>1999</v>
      </c>
      <c r="C64" s="897" t="str">
        <f>'Expenditures 15-22'!B206</f>
        <v>5300</v>
      </c>
      <c r="D64" s="893" t="s">
        <v>329</v>
      </c>
      <c r="E64" s="869"/>
      <c r="F64" s="1937">
        <f>'Expenditures 15-22'!K206</f>
        <v>0</v>
      </c>
      <c r="G64" s="866"/>
    </row>
    <row r="65" spans="1:8" x14ac:dyDescent="0.2">
      <c r="A65" s="870" t="s">
        <v>481</v>
      </c>
      <c r="B65" s="870" t="s">
        <v>2000</v>
      </c>
      <c r="C65" s="887" t="s">
        <v>1039</v>
      </c>
      <c r="D65" s="886" t="s">
        <v>1157</v>
      </c>
      <c r="E65" s="869"/>
      <c r="F65" s="1937">
        <f>'Expenditures 15-22'!G210</f>
        <v>0</v>
      </c>
      <c r="G65" s="866"/>
    </row>
    <row r="66" spans="1:8" x14ac:dyDescent="0.2">
      <c r="A66" s="870" t="s">
        <v>481</v>
      </c>
      <c r="B66" s="870" t="s">
        <v>2001</v>
      </c>
      <c r="C66" s="887" t="s">
        <v>1039</v>
      </c>
      <c r="D66" s="886" t="s">
        <v>309</v>
      </c>
      <c r="E66" s="869"/>
      <c r="F66" s="1937">
        <f>'Expenditures 15-22'!I210</f>
        <v>0</v>
      </c>
      <c r="G66" s="866"/>
    </row>
    <row r="67" spans="1:8" x14ac:dyDescent="0.2">
      <c r="A67" s="870" t="s">
        <v>482</v>
      </c>
      <c r="B67" s="870" t="s">
        <v>2002</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2004</v>
      </c>
      <c r="C70" s="887">
        <f>'Expenditures 15-22'!B221</f>
        <v>1300</v>
      </c>
      <c r="D70" s="888" t="str">
        <f>'Expenditures 15-22'!A221</f>
        <v>Adult/Continuing Education Programs</v>
      </c>
      <c r="E70" s="869"/>
      <c r="F70" s="1937">
        <f>'Expenditures 15-22'!K221</f>
        <v>0</v>
      </c>
      <c r="G70" s="866"/>
    </row>
    <row r="71" spans="1:8" x14ac:dyDescent="0.2">
      <c r="A71" s="870" t="s">
        <v>482</v>
      </c>
      <c r="B71" s="870" t="s">
        <v>2005</v>
      </c>
      <c r="C71" s="887">
        <f>'Expenditures 15-22'!B224</f>
        <v>1600</v>
      </c>
      <c r="D71" s="888" t="str">
        <f>'Expenditures 15-22'!A224</f>
        <v>Summer School Programs</v>
      </c>
      <c r="E71" s="869"/>
      <c r="F71" s="1937">
        <f>'Expenditures 15-22'!K224</f>
        <v>0</v>
      </c>
      <c r="G71" s="866"/>
    </row>
    <row r="72" spans="1:8" x14ac:dyDescent="0.2">
      <c r="A72" s="870" t="s">
        <v>482</v>
      </c>
      <c r="B72" s="870" t="s">
        <v>2006</v>
      </c>
      <c r="C72" s="887">
        <f>'Expenditures 15-22'!B280</f>
        <v>3000</v>
      </c>
      <c r="D72" s="877" t="s">
        <v>469</v>
      </c>
      <c r="E72" s="869"/>
      <c r="F72" s="1937">
        <f>'Expenditures 15-22'!K280</f>
        <v>0</v>
      </c>
      <c r="G72" s="866"/>
    </row>
    <row r="73" spans="1:8" x14ac:dyDescent="0.2">
      <c r="A73" s="870" t="s">
        <v>482</v>
      </c>
      <c r="B73" s="870" t="s">
        <v>2007</v>
      </c>
      <c r="C73" s="887" t="str">
        <f>'Expenditures 15-22'!B285</f>
        <v>4000</v>
      </c>
      <c r="D73" s="888" t="str">
        <f>'Expenditures 15-22'!A285</f>
        <v>Total Payments to Other Govt Units</v>
      </c>
      <c r="E73" s="869"/>
      <c r="F73" s="1937">
        <f>'Expenditures 15-22'!K285</f>
        <v>0</v>
      </c>
      <c r="G73" s="866"/>
    </row>
    <row r="74" spans="1:8" x14ac:dyDescent="0.2">
      <c r="A74" s="870" t="s">
        <v>456</v>
      </c>
      <c r="B74" s="870" t="s">
        <v>2008</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2009</v>
      </c>
      <c r="E76" s="1795" t="s">
        <v>1015</v>
      </c>
      <c r="F76" s="1799">
        <f>SUM(F18:F74)</f>
        <v>2943425</v>
      </c>
      <c r="G76" s="866"/>
    </row>
    <row r="77" spans="1:8" s="894" customFormat="1" ht="12" customHeight="1" thickTop="1" thickBot="1" x14ac:dyDescent="0.25">
      <c r="A77" s="1800"/>
      <c r="B77" s="1797"/>
      <c r="C77" s="1793"/>
      <c r="D77" s="1798" t="s">
        <v>2010</v>
      </c>
      <c r="E77" s="1795"/>
      <c r="F77" s="1801">
        <f>(F14-F76)</f>
        <v>4886705</v>
      </c>
      <c r="G77" s="870"/>
    </row>
    <row r="78" spans="1:8" s="894" customFormat="1" ht="12" customHeight="1" thickTop="1" x14ac:dyDescent="0.2">
      <c r="A78" s="1802"/>
      <c r="B78" s="1797"/>
      <c r="C78" s="1793"/>
      <c r="D78" s="1798" t="s">
        <v>2057</v>
      </c>
      <c r="E78" s="1795"/>
      <c r="F78" s="899">
        <v>0</v>
      </c>
      <c r="G78" s="900"/>
      <c r="H78" s="870"/>
    </row>
    <row r="79" spans="1:8" s="894" customFormat="1" ht="12" customHeight="1" thickBot="1" x14ac:dyDescent="0.25">
      <c r="A79" s="1803"/>
      <c r="B79" s="1797"/>
      <c r="C79" s="1793"/>
      <c r="D79" s="1798" t="s">
        <v>2011</v>
      </c>
      <c r="E79" s="1795" t="s">
        <v>1015</v>
      </c>
      <c r="F79" s="1804"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0</v>
      </c>
      <c r="G94" s="913"/>
    </row>
    <row r="95" spans="1:7" x14ac:dyDescent="0.2">
      <c r="A95" s="909" t="s">
        <v>142</v>
      </c>
      <c r="B95" s="909" t="s">
        <v>177</v>
      </c>
      <c r="C95" s="911">
        <v>1700</v>
      </c>
      <c r="D95" s="919" t="str">
        <f>'Revenues 9-14'!A82</f>
        <v>Total District/School Activity Income</v>
      </c>
      <c r="E95" s="907"/>
      <c r="F95" s="1810">
        <f>SUM('Revenues 9-14'!C82,'Revenues 9-14'!D82)</f>
        <v>0</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2300536</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1095529</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83197</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40227</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68880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0</v>
      </c>
      <c r="G129" s="931"/>
    </row>
    <row r="130" spans="1:7" x14ac:dyDescent="0.2">
      <c r="A130" s="928" t="s">
        <v>689</v>
      </c>
      <c r="B130" s="928" t="s">
        <v>804</v>
      </c>
      <c r="C130" s="933">
        <v>4300</v>
      </c>
      <c r="D130" s="934" t="str">
        <f>'Revenues 9-14'!A211</f>
        <v>Total Title I</v>
      </c>
      <c r="E130" s="907"/>
      <c r="F130" s="1810">
        <f>SUM('Revenues 9-14'!C211,'Revenues 9-14'!D211,'Revenues 9-14'!F211,'Revenues 9-14'!G211)</f>
        <v>0</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1315073</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67044</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2056</v>
      </c>
      <c r="C175" s="1944">
        <v>3100</v>
      </c>
      <c r="D175" s="1945" t="s">
        <v>2059</v>
      </c>
      <c r="E175" s="907"/>
      <c r="F175" s="1929"/>
      <c r="G175" s="928"/>
    </row>
    <row r="176" spans="1:7" x14ac:dyDescent="0.2">
      <c r="A176" s="1942" t="s">
        <v>685</v>
      </c>
      <c r="B176" s="1943" t="s">
        <v>2056</v>
      </c>
      <c r="C176" s="1944">
        <v>3300</v>
      </c>
      <c r="D176" s="1945" t="s">
        <v>2060</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2012</v>
      </c>
      <c r="E178" s="1808" t="s">
        <v>1015</v>
      </c>
      <c r="F178" s="1809">
        <f>SUM(F84:F136,F161:F176)</f>
        <v>4970486</v>
      </c>
    </row>
    <row r="179" spans="1:7" ht="12" customHeight="1" x14ac:dyDescent="0.2">
      <c r="A179" s="1791"/>
      <c r="B179" s="1805"/>
      <c r="C179" s="1806"/>
      <c r="D179" s="1807" t="s">
        <v>2013</v>
      </c>
      <c r="E179" s="1808"/>
      <c r="F179" s="1810">
        <f>'PCTC-OEPP 27-28'!F77-F178</f>
        <v>-83781</v>
      </c>
    </row>
    <row r="180" spans="1:7" ht="12" customHeight="1" x14ac:dyDescent="0.2">
      <c r="A180" s="1791"/>
      <c r="B180" s="1805"/>
      <c r="C180" s="1806"/>
      <c r="D180" s="1807" t="s">
        <v>1922</v>
      </c>
      <c r="E180" s="1808"/>
      <c r="F180" s="1810">
        <f>'Cap Outlay Deprec 26'!I18</f>
        <v>30558.2</v>
      </c>
    </row>
    <row r="181" spans="1:7" ht="12" customHeight="1" x14ac:dyDescent="0.2">
      <c r="A181" s="1791"/>
      <c r="B181" s="1805"/>
      <c r="C181" s="1806"/>
      <c r="D181" s="1807" t="s">
        <v>2014</v>
      </c>
      <c r="E181" s="1808"/>
      <c r="F181" s="1810">
        <f>F179+F180</f>
        <v>-53222.8</v>
      </c>
    </row>
    <row r="182" spans="1:7" ht="12" customHeight="1" x14ac:dyDescent="0.2">
      <c r="A182" s="1791"/>
      <c r="B182" s="1811"/>
      <c r="C182" s="1806"/>
      <c r="D182" s="1807" t="str">
        <f>D78</f>
        <v>9 Month ADA from District Average Daily Attendance/Prior General State Aid Inquiry 2017-2018</v>
      </c>
      <c r="E182" s="1808"/>
      <c r="F182" s="1812">
        <f>'PCTC-OEPP 27-28'!F78</f>
        <v>0</v>
      </c>
      <c r="G182" s="931"/>
    </row>
    <row r="183" spans="1:7" ht="12" customHeight="1" thickBot="1" x14ac:dyDescent="0.25">
      <c r="A183" s="1791"/>
      <c r="B183" s="1811"/>
      <c r="C183" s="1806"/>
      <c r="D183" s="1807" t="s">
        <v>2015</v>
      </c>
      <c r="E183" s="1808" t="s">
        <v>1626</v>
      </c>
      <c r="F183" s="1813"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6" customFormat="1" ht="12.2" customHeight="1" x14ac:dyDescent="0.2">
      <c r="A186" s="1946" t="s">
        <v>2063</v>
      </c>
      <c r="B186" s="1947"/>
      <c r="C186" s="1948"/>
      <c r="D186" s="1947"/>
      <c r="E186" s="1948"/>
      <c r="F186" s="1947"/>
      <c r="G186" s="1947"/>
    </row>
    <row r="187" spans="1:7" s="1946" customFormat="1" ht="12.2" customHeight="1" x14ac:dyDescent="0.2">
      <c r="A187" s="1949" t="s">
        <v>2064</v>
      </c>
      <c r="C187" s="1948"/>
      <c r="D187" s="1947"/>
      <c r="E187" s="1948"/>
      <c r="F187" s="1947"/>
      <c r="G187" s="1947"/>
    </row>
    <row r="188" spans="1:7" ht="12" customHeight="1" x14ac:dyDescent="0.2">
      <c r="C188" s="950"/>
      <c r="D188" s="931"/>
      <c r="E188" s="950"/>
      <c r="F188" s="931"/>
      <c r="G188" s="931"/>
    </row>
    <row r="189" spans="1:7" x14ac:dyDescent="0.2">
      <c r="A189" s="1950" t="s">
        <v>2062</v>
      </c>
      <c r="B189" s="1951"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25" sqref="A25"/>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1938</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7" t="s">
        <v>1923</v>
      </c>
      <c r="B4" s="2288"/>
      <c r="C4" s="2288"/>
      <c r="D4" s="2288"/>
      <c r="E4" s="2288"/>
      <c r="F4" s="2288"/>
      <c r="G4" s="2289"/>
    </row>
    <row r="5" spans="1:7" x14ac:dyDescent="0.25">
      <c r="A5" s="2290"/>
      <c r="B5" s="2291"/>
      <c r="C5" s="2291"/>
      <c r="D5" s="2291"/>
      <c r="E5" s="2291"/>
      <c r="F5" s="2291"/>
      <c r="G5" s="2292"/>
    </row>
    <row r="6" spans="1:7" ht="18.75" x14ac:dyDescent="0.25">
      <c r="A6" s="1555" t="s">
        <v>1924</v>
      </c>
      <c r="B6" s="1556"/>
      <c r="C6" s="1556"/>
      <c r="D6" s="1556"/>
      <c r="E6" s="1556"/>
      <c r="F6" s="1556"/>
      <c r="G6" s="1557"/>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2021</v>
      </c>
      <c r="B9" s="2294"/>
      <c r="C9" s="2294"/>
      <c r="D9" s="2294"/>
      <c r="E9" s="2294"/>
      <c r="F9" s="2294"/>
      <c r="G9" s="2295"/>
    </row>
    <row r="10" spans="1:7" ht="15" customHeight="1" x14ac:dyDescent="0.25">
      <c r="A10" s="1558" t="s">
        <v>1925</v>
      </c>
      <c r="B10" s="1559"/>
      <c r="C10" s="1559"/>
      <c r="D10" s="1559"/>
      <c r="E10" s="1559"/>
      <c r="F10" s="1559"/>
      <c r="G10" s="1560"/>
    </row>
    <row r="11" spans="1:7" ht="17.25" customHeight="1" x14ac:dyDescent="0.25">
      <c r="A11" s="2293" t="s">
        <v>1939</v>
      </c>
      <c r="B11" s="2294"/>
      <c r="C11" s="2294"/>
      <c r="D11" s="2294"/>
      <c r="E11" s="2294"/>
      <c r="F11" s="2294"/>
      <c r="G11" s="2295"/>
    </row>
    <row r="12" spans="1:7" ht="15" customHeight="1" x14ac:dyDescent="0.25">
      <c r="A12" s="1558" t="s">
        <v>1930</v>
      </c>
      <c r="B12" s="1559"/>
      <c r="C12" s="1559"/>
      <c r="D12" s="1559"/>
      <c r="E12" s="1559"/>
      <c r="F12" s="1559"/>
      <c r="G12" s="1560"/>
    </row>
    <row r="13" spans="1:7" ht="32.25" customHeight="1" x14ac:dyDescent="0.25">
      <c r="A13" s="2284" t="s">
        <v>1931</v>
      </c>
      <c r="B13" s="2285"/>
      <c r="C13" s="2285"/>
      <c r="D13" s="2285"/>
      <c r="E13" s="2285"/>
      <c r="F13" s="2285"/>
      <c r="G13" s="2286"/>
    </row>
    <row r="14" spans="1:7" x14ac:dyDescent="0.25">
      <c r="A14" s="1682" t="s">
        <v>1940</v>
      </c>
      <c r="B14" s="1683"/>
      <c r="C14" s="1683"/>
      <c r="D14" s="1683"/>
      <c r="E14" s="1683"/>
      <c r="F14" s="1683"/>
      <c r="G14" s="1684"/>
    </row>
    <row r="15" spans="1:7" ht="61.5" customHeight="1" x14ac:dyDescent="0.25">
      <c r="A15" s="1567" t="s">
        <v>1932</v>
      </c>
      <c r="B15" s="1567" t="s">
        <v>1933</v>
      </c>
      <c r="C15" s="1567" t="s">
        <v>1934</v>
      </c>
      <c r="D15" s="1568" t="s">
        <v>1935</v>
      </c>
      <c r="E15" s="1568" t="s">
        <v>1926</v>
      </c>
      <c r="F15" s="1568" t="s">
        <v>1936</v>
      </c>
      <c r="G15" s="1568" t="s">
        <v>1937</v>
      </c>
    </row>
    <row r="16" spans="1:7" x14ac:dyDescent="0.25">
      <c r="A16" s="1669" t="s">
        <v>1941</v>
      </c>
      <c r="B16" s="1670" t="s">
        <v>1929</v>
      </c>
      <c r="C16" s="1671" t="s">
        <v>1927</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7" t="s">
        <v>2129</v>
      </c>
      <c r="B17" s="1955" t="s">
        <v>2125</v>
      </c>
      <c r="C17" s="1956" t="s">
        <v>2119</v>
      </c>
      <c r="D17" s="1866">
        <v>478094</v>
      </c>
      <c r="E17" s="1561">
        <f t="shared" ref="E17:E141" si="1">IF(D17&lt;=25000,D17,IF(D17&gt;25000,25000,0))</f>
        <v>25000</v>
      </c>
      <c r="F17" s="1814">
        <f t="shared" si="0"/>
        <v>25000</v>
      </c>
      <c r="G17" s="1815">
        <f>IF(F17=0,0,D17-F17)</f>
        <v>453094</v>
      </c>
      <c r="H17" s="1668"/>
    </row>
    <row r="18" spans="1:8" x14ac:dyDescent="0.25">
      <c r="A18" s="1957" t="s">
        <v>2129</v>
      </c>
      <c r="B18" s="1955" t="s">
        <v>2125</v>
      </c>
      <c r="C18" s="1956" t="s">
        <v>2120</v>
      </c>
      <c r="D18" s="1866">
        <v>177552</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152552</v>
      </c>
    </row>
    <row r="19" spans="1:8" x14ac:dyDescent="0.25">
      <c r="A19" s="1957" t="s">
        <v>2129</v>
      </c>
      <c r="B19" s="1955" t="s">
        <v>2125</v>
      </c>
      <c r="C19" s="1956" t="s">
        <v>2121</v>
      </c>
      <c r="D19" s="1866">
        <v>135118</v>
      </c>
      <c r="E19" s="1561">
        <f t="shared" si="2"/>
        <v>25000</v>
      </c>
      <c r="F19" s="1814">
        <f t="shared" si="3"/>
        <v>25000</v>
      </c>
      <c r="G19" s="1815">
        <f t="shared" si="4"/>
        <v>110118</v>
      </c>
    </row>
    <row r="20" spans="1:8" ht="30" x14ac:dyDescent="0.25">
      <c r="A20" s="1957" t="s">
        <v>2130</v>
      </c>
      <c r="B20" s="1955" t="s">
        <v>2126</v>
      </c>
      <c r="C20" s="1956" t="s">
        <v>2128</v>
      </c>
      <c r="D20" s="1866">
        <v>99886</v>
      </c>
      <c r="E20" s="1561">
        <f t="shared" si="2"/>
        <v>25000</v>
      </c>
      <c r="F20" s="1814">
        <f t="shared" si="3"/>
        <v>25000</v>
      </c>
      <c r="G20" s="1815">
        <f t="shared" si="4"/>
        <v>74886</v>
      </c>
    </row>
    <row r="21" spans="1:8" x14ac:dyDescent="0.25">
      <c r="A21" s="1957" t="s">
        <v>2129</v>
      </c>
      <c r="B21" s="1955" t="s">
        <v>2125</v>
      </c>
      <c r="C21" s="1956" t="s">
        <v>2122</v>
      </c>
      <c r="D21" s="1866">
        <v>94188</v>
      </c>
      <c r="E21" s="1561">
        <f t="shared" si="2"/>
        <v>25000</v>
      </c>
      <c r="F21" s="1814">
        <f t="shared" si="3"/>
        <v>25000</v>
      </c>
      <c r="G21" s="1815">
        <f t="shared" si="4"/>
        <v>69188</v>
      </c>
    </row>
    <row r="22" spans="1:8" x14ac:dyDescent="0.25">
      <c r="A22" s="1957" t="s">
        <v>2129</v>
      </c>
      <c r="B22" s="1955" t="s">
        <v>2125</v>
      </c>
      <c r="C22" s="1956" t="s">
        <v>2123</v>
      </c>
      <c r="D22" s="1866">
        <v>88648</v>
      </c>
      <c r="E22" s="1561">
        <f t="shared" si="2"/>
        <v>25000</v>
      </c>
      <c r="F22" s="1814">
        <f t="shared" si="3"/>
        <v>25000</v>
      </c>
      <c r="G22" s="1815">
        <f t="shared" si="4"/>
        <v>63648</v>
      </c>
    </row>
    <row r="23" spans="1:8" x14ac:dyDescent="0.25">
      <c r="A23" s="1957" t="s">
        <v>2131</v>
      </c>
      <c r="B23" s="1955" t="s">
        <v>2118</v>
      </c>
      <c r="C23" s="1956" t="s">
        <v>2124</v>
      </c>
      <c r="D23" s="1866">
        <v>69648</v>
      </c>
      <c r="E23" s="1561">
        <f t="shared" si="2"/>
        <v>25000</v>
      </c>
      <c r="F23" s="1814">
        <f t="shared" si="3"/>
        <v>25000</v>
      </c>
      <c r="G23" s="1815">
        <f t="shared" si="4"/>
        <v>44648</v>
      </c>
    </row>
    <row r="24" spans="1:8" x14ac:dyDescent="0.25">
      <c r="A24" s="1957" t="s">
        <v>2132</v>
      </c>
      <c r="B24" s="1955" t="s">
        <v>2127</v>
      </c>
      <c r="C24" s="1956" t="s">
        <v>2091</v>
      </c>
      <c r="D24" s="1866">
        <v>34053</v>
      </c>
      <c r="E24" s="1561">
        <f t="shared" si="2"/>
        <v>25000</v>
      </c>
      <c r="F24" s="1814">
        <f t="shared" si="3"/>
        <v>25000</v>
      </c>
      <c r="G24" s="1815">
        <f t="shared" si="4"/>
        <v>9053</v>
      </c>
    </row>
    <row r="25" spans="1:8" x14ac:dyDescent="0.25">
      <c r="A25" s="1674"/>
      <c r="B25" s="1955"/>
      <c r="C25" s="1677"/>
      <c r="D25" s="1866"/>
      <c r="E25" s="1561">
        <f t="shared" si="2"/>
        <v>0</v>
      </c>
      <c r="F25" s="1814">
        <f t="shared" si="3"/>
        <v>0</v>
      </c>
      <c r="G25" s="1815">
        <f t="shared" si="4"/>
        <v>0</v>
      </c>
    </row>
    <row r="26" spans="1:8" x14ac:dyDescent="0.25">
      <c r="A26" s="1674"/>
      <c r="B26" s="1867"/>
      <c r="C26" s="1675"/>
      <c r="D26" s="1866"/>
      <c r="E26" s="1561">
        <f t="shared" si="2"/>
        <v>0</v>
      </c>
      <c r="F26" s="1814">
        <f t="shared" si="3"/>
        <v>0</v>
      </c>
      <c r="G26" s="1815">
        <f t="shared" si="4"/>
        <v>0</v>
      </c>
    </row>
    <row r="27" spans="1:8" x14ac:dyDescent="0.25">
      <c r="A27" s="1674"/>
      <c r="B27" s="1867"/>
      <c r="C27" s="1675"/>
      <c r="D27" s="1866"/>
      <c r="E27" s="1561">
        <f t="shared" si="2"/>
        <v>0</v>
      </c>
      <c r="F27" s="1814">
        <f t="shared" si="3"/>
        <v>0</v>
      </c>
      <c r="G27" s="1815">
        <f t="shared" si="4"/>
        <v>0</v>
      </c>
    </row>
    <row r="28" spans="1:8" x14ac:dyDescent="0.25">
      <c r="A28" s="1674"/>
      <c r="B28" s="1867"/>
      <c r="C28" s="1675"/>
      <c r="D28" s="1866"/>
      <c r="E28" s="1561">
        <f t="shared" si="2"/>
        <v>0</v>
      </c>
      <c r="F28" s="1814">
        <f t="shared" si="3"/>
        <v>0</v>
      </c>
      <c r="G28" s="1815">
        <f t="shared" si="4"/>
        <v>0</v>
      </c>
    </row>
    <row r="29" spans="1:8" x14ac:dyDescent="0.25">
      <c r="A29" s="1674"/>
      <c r="B29" s="1867"/>
      <c r="C29" s="1675"/>
      <c r="D29" s="1866"/>
      <c r="E29" s="1561">
        <f t="shared" si="2"/>
        <v>0</v>
      </c>
      <c r="F29" s="1814">
        <f t="shared" si="3"/>
        <v>0</v>
      </c>
      <c r="G29" s="1815">
        <f t="shared" si="4"/>
        <v>0</v>
      </c>
    </row>
    <row r="30" spans="1:8" x14ac:dyDescent="0.25">
      <c r="A30" s="1674"/>
      <c r="B30" s="1867"/>
      <c r="C30" s="1675"/>
      <c r="D30" s="1866"/>
      <c r="E30" s="1561">
        <f t="shared" si="2"/>
        <v>0</v>
      </c>
      <c r="F30" s="1814">
        <f t="shared" si="3"/>
        <v>0</v>
      </c>
      <c r="G30" s="1815">
        <f t="shared" si="4"/>
        <v>0</v>
      </c>
    </row>
    <row r="31" spans="1:8" x14ac:dyDescent="0.25">
      <c r="A31" s="1674"/>
      <c r="B31" s="1867"/>
      <c r="C31" s="1675"/>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1177187</v>
      </c>
      <c r="E141" s="1562">
        <f t="shared" si="1"/>
        <v>25000</v>
      </c>
      <c r="F141" s="1816">
        <f>SUM(F17:F140)</f>
        <v>200000</v>
      </c>
      <c r="G141" s="1817">
        <f>SUM(G17:G140)</f>
        <v>977187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5" sqref="E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f>+'Expenditures 15-22'!K59</f>
        <v>162508</v>
      </c>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f>+'Expenditures 15-22'!K61</f>
        <v>45000</v>
      </c>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4" t="s">
        <v>1943</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v>107025</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226418</v>
      </c>
      <c r="F19" s="1821"/>
      <c r="G19" s="1823">
        <f>'Expenditures 15-22'!K33-SUM('Expenditures 15-22'!G33,'Expenditures 15-22'!I33)+'Expenditures 15-22'!D229</f>
        <v>226418</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2143665</v>
      </c>
      <c r="F21" s="1824"/>
      <c r="G21" s="1827">
        <f>'Expenditures 15-22'!K42-SUM('Expenditures 15-22'!G42,'Expenditures 15-22'!I42)+'Expenditures 15-22'!K120-SUM('Expenditures 15-22'!G120,'Expenditures 15-22'!I120)+'Expenditures 15-22'!K180-SUM('Expenditures 15-22'!G180,'Expenditures 15-22'!I180)+'Expenditures 15-22'!D238</f>
        <v>2143665</v>
      </c>
      <c r="H21" s="988"/>
      <c r="I21" s="162"/>
    </row>
    <row r="22" spans="1:9" s="669" customFormat="1" ht="12" customHeight="1" x14ac:dyDescent="0.2">
      <c r="A22" s="995" t="s">
        <v>585</v>
      </c>
      <c r="B22" s="996"/>
      <c r="C22" s="994">
        <v>2200</v>
      </c>
      <c r="D22" s="1824"/>
      <c r="E22" s="1826">
        <f>'Expenditures 15-22'!K47-SUM('Expenditures 15-22'!G47,'Expenditures 15-22'!I47)+'Expenditures 15-22'!D243</f>
        <v>158393</v>
      </c>
      <c r="F22" s="1824"/>
      <c r="G22" s="1827">
        <f>'Expenditures 15-22'!K47-SUM('Expenditures 15-22'!G47,'Expenditures 15-22'!I47)+'Expenditures 15-22'!D243</f>
        <v>158393</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2149188</v>
      </c>
      <c r="F23" s="1824"/>
      <c r="G23" s="1826">
        <f>'Expenditures 15-22'!K53-SUM('Expenditures 15-22'!G53,'Expenditures 15-22'!I53)+'Expenditures 15-22'!D257+'Expenditures 15-22'!K330-SUM('Expenditures 15-22'!G330,'Expenditures 15-22'!I330)</f>
        <v>2149188</v>
      </c>
      <c r="H23" s="988"/>
      <c r="I23" s="162"/>
    </row>
    <row r="24" spans="1:9" s="669" customFormat="1" ht="12" customHeight="1" x14ac:dyDescent="0.2">
      <c r="A24" s="995" t="s">
        <v>587</v>
      </c>
      <c r="B24" s="996"/>
      <c r="C24" s="994">
        <v>2400</v>
      </c>
      <c r="D24" s="1824"/>
      <c r="E24" s="1826">
        <f>'Expenditures 15-22'!K57-SUM('Expenditures 15-22'!G57,'Expenditures 15-22'!I57)+'Expenditures 15-22'!D261</f>
        <v>0</v>
      </c>
      <c r="F24" s="1824"/>
      <c r="G24" s="1827">
        <f>'Expenditures 15-22'!K57-SUM('Expenditures 15-22'!G57,'Expenditures 15-22'!I57)+'Expenditures 15-22'!D261</f>
        <v>0</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162508</v>
      </c>
      <c r="F26" s="1826">
        <f>'Expenditures 15-22'!K59-SUM('Expenditures 15-22'!G59,'Expenditures 15-22'!I59)+'Expenditures 15-22'!D263-E7</f>
        <v>0</v>
      </c>
      <c r="G26" s="1827">
        <f>'Expenditures 15-22'!K122-SUM('Expenditures 15-22'!G122,'Expenditures 15-22'!I122)+E7</f>
        <v>162508</v>
      </c>
      <c r="H26" s="988"/>
      <c r="I26" s="162"/>
    </row>
    <row r="27" spans="1:9" s="669" customFormat="1" ht="12" customHeight="1" x14ac:dyDescent="0.2">
      <c r="A27" s="995" t="s">
        <v>483</v>
      </c>
      <c r="B27" s="998"/>
      <c r="C27" s="994">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45000</v>
      </c>
      <c r="F28" s="1828">
        <f>'Expenditures 15-22'!K61-SUM('Expenditures 15-22'!G61,'Expenditures 15-22'!I61)+'Expenditures 15-22'!K124-SUM('Expenditures 15-22'!G124,'Expenditures 15-22'!I124)+'Expenditures 15-22'!D266-E9</f>
        <v>0</v>
      </c>
      <c r="G28" s="1827">
        <f>E9</f>
        <v>45000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79539</v>
      </c>
      <c r="F29" s="1824"/>
      <c r="G29" s="1827">
        <f>'Expenditures 15-22'!K62-SUM('Expenditures 15-22'!G62,'Expenditures 15-22'!I62)+'Expenditures 15-22'!K125-SUM('Expenditures 15-22'!G125,'Expenditures 15-22'!I125)+'Expenditures 15-22'!K182-SUM('Expenditures 15-22'!G182,'Expenditures 15-22'!I182)+'Expenditures 15-22'!D267</f>
        <v>79539</v>
      </c>
      <c r="H29" s="986"/>
    </row>
    <row r="30" spans="1:9" ht="12" customHeight="1" x14ac:dyDescent="0.2">
      <c r="A30" s="995" t="s">
        <v>102</v>
      </c>
      <c r="B30" s="998"/>
      <c r="C30" s="994">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1158</v>
      </c>
      <c r="E37" s="1826">
        <f>E14</f>
        <v>107025</v>
      </c>
      <c r="F37" s="1826">
        <f>'Expenditures 15-22'!K71-SUM('Expenditures 15-22'!G71,'Expenditures 15-22'!I71)+'Expenditures 15-22'!D276-E14</f>
        <v>1158</v>
      </c>
      <c r="G37" s="1826">
        <f>E14</f>
        <v>107025</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4"/>
      <c r="E40" s="1828">
        <f>-'Contracts Paid in CY 29'!G141</f>
        <v>-977187</v>
      </c>
      <c r="F40" s="1824"/>
      <c r="G40" s="1828">
        <f>-'Contracts Paid in CY 29'!G141</f>
        <v>-977187</v>
      </c>
    </row>
    <row r="41" spans="1:7" ht="12" customHeight="1" x14ac:dyDescent="0.2">
      <c r="A41" s="999" t="s">
        <v>158</v>
      </c>
      <c r="B41" s="1000"/>
      <c r="C41" s="1001"/>
      <c r="D41" s="1828">
        <f>SUM(D19:D39)</f>
        <v>1158</v>
      </c>
      <c r="E41" s="1828">
        <f>SUM(E19:E40)</f>
        <v>4094549</v>
      </c>
      <c r="F41" s="1828">
        <f>SUM(F19:F39)</f>
        <v>1158</v>
      </c>
      <c r="G41" s="1828">
        <f>SUM(G19:G40)</f>
        <v>4094549</v>
      </c>
    </row>
    <row r="42" spans="1:7" x14ac:dyDescent="0.2">
      <c r="A42" s="988"/>
      <c r="B42" s="162"/>
      <c r="C42" s="1002"/>
      <c r="D42" s="2302" t="s">
        <v>543</v>
      </c>
      <c r="E42" s="2303"/>
      <c r="F42" s="1003" t="s">
        <v>544</v>
      </c>
      <c r="G42" s="1004"/>
    </row>
    <row r="43" spans="1:7" ht="12" customHeight="1" x14ac:dyDescent="0.2">
      <c r="A43" s="988"/>
      <c r="B43" s="162"/>
      <c r="C43" s="1002"/>
      <c r="D43" s="1829" t="s">
        <v>493</v>
      </c>
      <c r="E43" s="1830">
        <f>D41</f>
        <v>1158</v>
      </c>
      <c r="F43" s="1829" t="s">
        <v>495</v>
      </c>
      <c r="G43" s="1830">
        <f>F41</f>
        <v>1158</v>
      </c>
    </row>
    <row r="44" spans="1:7" ht="12" customHeight="1" x14ac:dyDescent="0.2">
      <c r="A44" s="988"/>
      <c r="B44" s="162"/>
      <c r="C44" s="1002"/>
      <c r="D44" s="1829" t="s">
        <v>494</v>
      </c>
      <c r="E44" s="1830">
        <f>E41</f>
        <v>4094549</v>
      </c>
      <c r="F44" s="1829" t="s">
        <v>494</v>
      </c>
      <c r="G44" s="1830">
        <f>G41</f>
        <v>4094549</v>
      </c>
    </row>
    <row r="45" spans="1:7" ht="12" customHeight="1" x14ac:dyDescent="0.2">
      <c r="A45" s="988"/>
      <c r="B45" s="162"/>
      <c r="C45" s="162"/>
      <c r="D45" s="1831" t="s">
        <v>1063</v>
      </c>
      <c r="E45" s="1832">
        <f>(E43/E44)</f>
        <v>2.8281503042215395E-4</v>
      </c>
      <c r="F45" s="1831" t="s">
        <v>1063</v>
      </c>
      <c r="G45" s="1832">
        <f>(G43/G44)</f>
        <v>2.8281503042215395E-4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E15" sqref="E15"/>
      <selection pane="bottomLeft" activeCell="E15" sqref="E1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7.5703125" style="1901" bestFit="1" customWidth="1"/>
    <col min="9" max="9" width="4" style="1901" bestFit="1" customWidth="1"/>
    <col min="10" max="10" width="2.7109375"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2046</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LEYDEN AREA SPECIAL EDUCATION COOPERATIVE</v>
      </c>
      <c r="D6" s="2314"/>
      <c r="E6" s="2314"/>
      <c r="F6" s="1875"/>
    </row>
    <row r="7" spans="1:10" ht="11.25" customHeight="1" thickBot="1" x14ac:dyDescent="0.3">
      <c r="A7" s="1873"/>
      <c r="B7" s="1874"/>
      <c r="C7" s="2315">
        <f>COVER!A13</f>
        <v>6016083061</v>
      </c>
      <c r="D7" s="2315"/>
      <c r="E7" s="2315"/>
      <c r="F7" s="1875"/>
    </row>
    <row r="8" spans="1:10" ht="25.5" customHeight="1" thickBot="1" x14ac:dyDescent="0.25">
      <c r="A8" s="1916" t="s">
        <v>2023</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2075</v>
      </c>
      <c r="D19" s="1888" t="s">
        <v>2075</v>
      </c>
      <c r="E19" s="1891"/>
      <c r="F19" s="1890" t="s">
        <v>2091</v>
      </c>
      <c r="H19" s="1901">
        <f t="shared" si="0"/>
        <v>5</v>
      </c>
      <c r="I19" s="1901">
        <f t="shared" si="1"/>
        <v>5</v>
      </c>
      <c r="J19" s="1901">
        <f t="shared" si="2"/>
        <v>0</v>
      </c>
    </row>
    <row r="20" spans="1:12" ht="12" customHeight="1" x14ac:dyDescent="0.2">
      <c r="A20" s="1886" t="s">
        <v>1609</v>
      </c>
      <c r="B20" s="1887"/>
      <c r="C20" s="1888" t="s">
        <v>2075</v>
      </c>
      <c r="D20" s="1888" t="s">
        <v>2075</v>
      </c>
      <c r="E20" s="1891"/>
      <c r="F20" s="1890" t="s">
        <v>2092</v>
      </c>
      <c r="H20" s="1901">
        <f t="shared" si="0"/>
        <v>5</v>
      </c>
      <c r="I20" s="1901">
        <f t="shared" si="1"/>
        <v>5</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2075</v>
      </c>
      <c r="D26" s="1888" t="s">
        <v>2075</v>
      </c>
      <c r="E26" s="1891"/>
      <c r="F26" s="1890" t="s">
        <v>2093</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15</v>
      </c>
      <c r="I34" s="1901">
        <f>SUM(I11:I32)</f>
        <v>15</v>
      </c>
      <c r="J34" s="1901">
        <f>SUM(J11:J32)</f>
        <v>0</v>
      </c>
      <c r="K34" s="1901">
        <f>SUM(H34:J34)</f>
        <v>30</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5" sqref="E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3"/>
      <c r="C6" s="1663"/>
      <c r="D6" s="1663"/>
      <c r="E6" s="1664"/>
      <c r="F6" s="1016"/>
      <c r="G6" s="1010"/>
      <c r="H6" s="1017" t="s">
        <v>1086</v>
      </c>
      <c r="I6" s="2334" t="str">
        <f>COVER!A17</f>
        <v>LEYDEN AREA SPECIAL EDUCATION COOPERATIVE</v>
      </c>
      <c r="J6" s="2335"/>
      <c r="Q6" s="1685"/>
    </row>
    <row r="7" spans="1:17" x14ac:dyDescent="0.2">
      <c r="A7" s="2336" t="s">
        <v>924</v>
      </c>
      <c r="B7" s="2337"/>
      <c r="C7" s="2337"/>
      <c r="D7" s="2337"/>
      <c r="E7" s="2338"/>
      <c r="F7" s="1018"/>
      <c r="G7" s="1010"/>
      <c r="H7" s="1017" t="s">
        <v>390</v>
      </c>
      <c r="I7" s="2339">
        <f>COVER!A13</f>
        <v>6016083061</v>
      </c>
      <c r="J7" s="233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799263</v>
      </c>
      <c r="F12" s="1040"/>
      <c r="G12" s="1833">
        <f t="shared" ref="G12:G18" si="0">SUM(E12:F12)</f>
        <v>799263</v>
      </c>
      <c r="H12" s="1041"/>
      <c r="I12" s="1040"/>
      <c r="J12" s="1833">
        <f t="shared" ref="J12:J18" si="1">SUM(H12:I12)</f>
        <v>0</v>
      </c>
    </row>
    <row r="13" spans="1:17" ht="15" customHeight="1" x14ac:dyDescent="0.2">
      <c r="A13" s="1036">
        <v>2</v>
      </c>
      <c r="B13" s="1037" t="s">
        <v>44</v>
      </c>
      <c r="C13" s="1038"/>
      <c r="D13" s="1039">
        <v>2330</v>
      </c>
      <c r="E13" s="1833">
        <f>'Expenditures 15-22'!K51</f>
        <v>1315872</v>
      </c>
      <c r="F13" s="1040"/>
      <c r="G13" s="1833">
        <f t="shared" si="0"/>
        <v>1315872</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162508</v>
      </c>
      <c r="F15" s="1833">
        <f>'Expenditures 15-22'!K122</f>
        <v>0</v>
      </c>
      <c r="G15" s="1833">
        <f t="shared" si="0"/>
        <v>162508</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3" t="s">
        <v>7</v>
      </c>
      <c r="C18" s="2344"/>
      <c r="D18" s="2345"/>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2277643</v>
      </c>
      <c r="F19" s="1835">
        <f t="shared" si="2"/>
        <v>0</v>
      </c>
      <c r="G19" s="1835">
        <f t="shared" si="2"/>
        <v>2277643</v>
      </c>
      <c r="H19" s="1835">
        <f t="shared" si="2"/>
        <v>0</v>
      </c>
      <c r="I19" s="1835">
        <f t="shared" si="2"/>
        <v>0</v>
      </c>
      <c r="J19" s="1835">
        <f t="shared" si="2"/>
        <v>0</v>
      </c>
    </row>
    <row r="20" spans="1:10" ht="13.5" thickTop="1" x14ac:dyDescent="0.2">
      <c r="A20" s="1036">
        <v>9</v>
      </c>
      <c r="B20" s="2346" t="s">
        <v>1703</v>
      </c>
      <c r="C20" s="2346"/>
      <c r="D20" s="2347"/>
      <c r="E20" s="1047"/>
      <c r="F20" s="1047"/>
      <c r="G20" s="1047"/>
      <c r="H20" s="1047"/>
      <c r="I20" s="1047"/>
      <c r="J20" s="1836"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1942</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53.5703125" style="329" customWidth="1"/>
    <col min="3" max="3" width="18.5703125" style="329" customWidth="1"/>
    <col min="4" max="16384" width="9.140625" style="329"/>
  </cols>
  <sheetData>
    <row r="2" spans="1:3" x14ac:dyDescent="0.2">
      <c r="A2" s="389" t="s">
        <v>276</v>
      </c>
    </row>
    <row r="3" spans="1:3" x14ac:dyDescent="0.2">
      <c r="A3" s="329" t="s">
        <v>277</v>
      </c>
    </row>
    <row r="5" spans="1:3" x14ac:dyDescent="0.2">
      <c r="A5" s="1069">
        <v>1</v>
      </c>
      <c r="B5" s="329" t="s">
        <v>2098</v>
      </c>
      <c r="C5" s="329" t="s">
        <v>2102</v>
      </c>
    </row>
    <row r="6" spans="1:3" x14ac:dyDescent="0.2">
      <c r="A6" s="1069">
        <v>2</v>
      </c>
      <c r="B6" s="329" t="s">
        <v>2099</v>
      </c>
      <c r="C6" s="329" t="s">
        <v>2101</v>
      </c>
    </row>
    <row r="7" spans="1:3" x14ac:dyDescent="0.2">
      <c r="A7" s="1069">
        <v>3</v>
      </c>
      <c r="B7" s="329" t="s">
        <v>2133</v>
      </c>
      <c r="C7" s="329" t="s">
        <v>2100</v>
      </c>
    </row>
    <row r="8" spans="1:3" x14ac:dyDescent="0.2">
      <c r="A8" s="1069"/>
    </row>
    <row r="9" spans="1:3" x14ac:dyDescent="0.2">
      <c r="A9" s="1070"/>
    </row>
    <row r="10" spans="1:3" x14ac:dyDescent="0.2">
      <c r="A10" s="1070"/>
    </row>
    <row r="11" spans="1:3" x14ac:dyDescent="0.2">
      <c r="A11" s="1070"/>
    </row>
    <row r="12" spans="1:3" x14ac:dyDescent="0.2">
      <c r="A12" s="1070"/>
    </row>
    <row r="13" spans="1:3" x14ac:dyDescent="0.2">
      <c r="A13" s="1070"/>
    </row>
    <row r="14" spans="1:3" x14ac:dyDescent="0.2">
      <c r="A14" s="1070"/>
    </row>
    <row r="15" spans="1:3" x14ac:dyDescent="0.2">
      <c r="A15" s="1070"/>
    </row>
    <row r="16" spans="1:3"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LEYDEN AREA SPECIAL EDUCATION COOPERATIVE</v>
      </c>
    </row>
    <row r="65" spans="2:2" x14ac:dyDescent="0.2">
      <c r="B65" s="1071">
        <f>COVER!A13</f>
        <v>6016083061</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15" sqref="E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22" sqref="D2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457200</xdr:colOff>
                <xdr:row>5</xdr:row>
                <xdr:rowOff>104775</xdr:rowOff>
              </from>
              <to>
                <xdr:col>1</xdr:col>
                <xdr:colOff>1371600</xdr:colOff>
                <xdr:row>9</xdr:row>
                <xdr:rowOff>142875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7693333</v>
      </c>
      <c r="C8" s="1837">
        <f>'Acct Summary 7-8'!D8</f>
        <v>0</v>
      </c>
      <c r="D8" s="1837">
        <f>'Acct Summary 7-8'!F8</f>
        <v>0</v>
      </c>
      <c r="E8" s="1837">
        <f>'Acct Summary 7-8'!I8</f>
        <v>0</v>
      </c>
      <c r="F8" s="1837">
        <f>SUM(B8:E8)</f>
        <v>7693333</v>
      </c>
    </row>
    <row r="9" spans="1:8" s="1080" customFormat="1" ht="14.25" customHeight="1" thickBot="1" x14ac:dyDescent="0.25">
      <c r="A9" s="1079" t="s">
        <v>1436</v>
      </c>
      <c r="B9" s="1838">
        <f>'Acct Summary 7-8'!C17</f>
        <v>7830130</v>
      </c>
      <c r="C9" s="1838">
        <f>'Acct Summary 7-8'!D17</f>
        <v>0</v>
      </c>
      <c r="D9" s="1838">
        <f>'Acct Summary 7-8'!F17</f>
        <v>0</v>
      </c>
      <c r="E9" s="1837"/>
      <c r="F9" s="1837">
        <f>SUM(B9:E9)</f>
        <v>7830130</v>
      </c>
    </row>
    <row r="10" spans="1:8" s="1080" customFormat="1" ht="14.25" thickTop="1" thickBot="1" x14ac:dyDescent="0.25">
      <c r="A10" s="1081" t="s">
        <v>1437</v>
      </c>
      <c r="B10" s="1839">
        <f>(B8-B9)</f>
        <v>-136797</v>
      </c>
      <c r="C10" s="1839">
        <f>(C8-C9)</f>
        <v>0</v>
      </c>
      <c r="D10" s="1839">
        <f>(D8-D9)</f>
        <v>0</v>
      </c>
      <c r="E10" s="1838">
        <f>(E8-E9)</f>
        <v>0</v>
      </c>
      <c r="F10" s="1840">
        <f>SUM(F8-F9)</f>
        <v>-136797</v>
      </c>
    </row>
    <row r="11" spans="1:8" s="1080" customFormat="1" ht="14.25" thickTop="1" thickBot="1" x14ac:dyDescent="0.25">
      <c r="A11" s="1082" t="s">
        <v>1785</v>
      </c>
      <c r="B11" s="1841">
        <f>'Acct Summary 7-8'!C81</f>
        <v>1544668</v>
      </c>
      <c r="C11" s="1841">
        <f>'Acct Summary 7-8'!D81</f>
        <v>0</v>
      </c>
      <c r="D11" s="1841">
        <f>'Acct Summary 7-8'!F81</f>
        <v>0</v>
      </c>
      <c r="E11" s="1841">
        <f>'Acct Summary 7-8'!I81</f>
        <v>0</v>
      </c>
      <c r="F11" s="1842">
        <f>SUM(B11:E11)</f>
        <v>1544668</v>
      </c>
    </row>
    <row r="12" spans="1:8" ht="16.5" customHeight="1" thickTop="1" x14ac:dyDescent="0.2">
      <c r="A12" s="1083"/>
      <c r="B12" s="1084"/>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82"/>
  <sheetViews>
    <sheetView showGridLines="0" defaultGridColor="0" colorId="8" zoomScale="110" zoomScaleNormal="110" workbookViewId="0">
      <selection activeCell="E15" sqref="E1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6016083061</v>
      </c>
    </row>
    <row r="3" spans="1:2" x14ac:dyDescent="0.2">
      <c r="A3" t="s">
        <v>1013</v>
      </c>
      <c r="B3" s="138" t="str">
        <f>COVER!A15</f>
        <v>COOK</v>
      </c>
    </row>
    <row r="4" spans="1:2" x14ac:dyDescent="0.2">
      <c r="A4" t="s">
        <v>1064</v>
      </c>
      <c r="B4" s="138" t="str">
        <f>COVER!A17</f>
        <v>LEYDEN AREA SPECIAL EDUCATION COOPERATIVE</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KEVIN SMITH</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1959149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168351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414481</v>
      </c>
      <c r="C91" s="2" t="s">
        <v>594</v>
      </c>
      <c r="D91" s="2" t="str">
        <f t="shared" si="0"/>
        <v>Error?</v>
      </c>
    </row>
    <row r="92" spans="1:4" x14ac:dyDescent="0.2">
      <c r="A92" s="5">
        <v>31</v>
      </c>
      <c r="B92" s="138">
        <f>'Assets-Liab 5-6'!C39</f>
        <v>1544668</v>
      </c>
      <c r="D92" s="2" t="str">
        <f t="shared" si="0"/>
        <v>Error?</v>
      </c>
    </row>
    <row r="93" spans="1:4" x14ac:dyDescent="0.2">
      <c r="A93" s="5">
        <v>32</v>
      </c>
      <c r="B93" s="138">
        <f>'Assets-Liab 5-6'!C41</f>
        <v>1959149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713532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713532</v>
      </c>
      <c r="C279" s="2" t="s">
        <v>594</v>
      </c>
      <c r="D279" s="2" t="str">
        <f t="shared" si="3"/>
        <v>Error?</v>
      </c>
    </row>
    <row r="280" spans="1:4" x14ac:dyDescent="0.2">
      <c r="A280" s="5">
        <v>219</v>
      </c>
      <c r="B280" s="138">
        <f>'Assets-Liab 5-6'!M40</f>
        <v>713532</v>
      </c>
      <c r="D280" s="2" t="str">
        <f t="shared" si="3"/>
        <v>Error?</v>
      </c>
    </row>
    <row r="281" spans="1:4" x14ac:dyDescent="0.2">
      <c r="A281" s="5">
        <v>220</v>
      </c>
      <c r="B281" s="138">
        <f>'Assets-Liab 5-6'!M41</f>
        <v>713532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120261</v>
      </c>
      <c r="D719" s="2" t="str">
        <f t="shared" si="10"/>
        <v>Error?</v>
      </c>
    </row>
    <row r="720" spans="1:4" x14ac:dyDescent="0.2">
      <c r="A720" s="5">
        <v>659</v>
      </c>
      <c r="B720" s="138">
        <f>'Expenditures 15-22'!C33</f>
        <v>159237</v>
      </c>
      <c r="C720" s="2" t="s">
        <v>594</v>
      </c>
      <c r="D720" s="2" t="str">
        <f t="shared" si="10"/>
        <v>Error?</v>
      </c>
    </row>
    <row r="721" spans="1:4" x14ac:dyDescent="0.2">
      <c r="A721" s="5">
        <v>660</v>
      </c>
      <c r="B721" s="138">
        <f>'Expenditures 15-22'!C36</f>
        <v>69993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98752</v>
      </c>
      <c r="D723" s="2" t="str">
        <f t="shared" si="10"/>
        <v>Error?</v>
      </c>
    </row>
    <row r="724" spans="1:4" x14ac:dyDescent="0.2">
      <c r="A724" s="5">
        <v>663</v>
      </c>
      <c r="B724" s="138">
        <f>'Expenditures 15-22'!C39</f>
        <v>726048</v>
      </c>
      <c r="D724" s="2" t="str">
        <f t="shared" si="10"/>
        <v>Error?</v>
      </c>
    </row>
    <row r="725" spans="1:4" x14ac:dyDescent="0.2">
      <c r="A725" s="5">
        <v>664</v>
      </c>
      <c r="B725" s="138">
        <f>'Expenditures 15-22'!C40</f>
        <v>10765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905558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521814</v>
      </c>
      <c r="D733" s="2" t="str">
        <f t="shared" si="10"/>
        <v>Error?</v>
      </c>
    </row>
    <row r="734" spans="1:4" x14ac:dyDescent="0.2">
      <c r="A734" s="5">
        <v>673</v>
      </c>
      <c r="B734" s="138">
        <f>'Expenditures 15-22'!C53</f>
        <v>1570689</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116643</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44900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161543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55989</v>
      </c>
      <c r="D751" s="2" t="str">
        <f t="shared" si="10"/>
        <v>Error?</v>
      </c>
    </row>
    <row r="752" spans="1:4" x14ac:dyDescent="0.2">
      <c r="A752" s="10">
        <v>691</v>
      </c>
      <c r="D752" s="2" t="str">
        <f t="shared" si="10"/>
        <v>OK</v>
      </c>
    </row>
    <row r="753" spans="1:4" x14ac:dyDescent="0.2">
      <c r="A753" s="5">
        <v>692</v>
      </c>
      <c r="B753" s="138">
        <f>'Expenditures 15-22'!C72</f>
        <v>55989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2693779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2853016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8777</v>
      </c>
      <c r="D777" s="2" t="str">
        <f t="shared" si="11"/>
        <v>Error?</v>
      </c>
    </row>
    <row r="778" spans="1:4" x14ac:dyDescent="0.2">
      <c r="A778" s="5">
        <v>717</v>
      </c>
      <c r="B778" s="138">
        <f>'Expenditures 15-22'!D33</f>
        <v>9306</v>
      </c>
      <c r="C778" s="2" t="s">
        <v>594</v>
      </c>
      <c r="D778" s="2" t="str">
        <f t="shared" si="11"/>
        <v>Error?</v>
      </c>
    </row>
    <row r="779" spans="1:4" x14ac:dyDescent="0.2">
      <c r="A779" s="5">
        <v>718</v>
      </c>
      <c r="B779" s="138">
        <f>'Expenditures 15-22'!D36</f>
        <v>2037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18653</v>
      </c>
      <c r="D781" s="2" t="str">
        <f t="shared" si="11"/>
        <v>Error?</v>
      </c>
    </row>
    <row r="782" spans="1:4" x14ac:dyDescent="0.2">
      <c r="A782" s="5">
        <v>721</v>
      </c>
      <c r="B782" s="138">
        <f>'Expenditures 15-22'!D39</f>
        <v>150361</v>
      </c>
      <c r="D782" s="2" t="str">
        <f t="shared" si="11"/>
        <v>Error?</v>
      </c>
    </row>
    <row r="783" spans="1:4" x14ac:dyDescent="0.2">
      <c r="A783" s="5">
        <v>722</v>
      </c>
      <c r="B783" s="138">
        <f>'Expenditures 15-22'!D40</f>
        <v>12932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183983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181138</v>
      </c>
      <c r="D791" s="2" t="str">
        <f t="shared" si="11"/>
        <v>Error?</v>
      </c>
    </row>
    <row r="792" spans="1:4" x14ac:dyDescent="0.2">
      <c r="A792" s="5">
        <v>731</v>
      </c>
      <c r="B792" s="138">
        <f>'Expenditures 15-22'!D53</f>
        <v>440028</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45865</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34639</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80504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18630</v>
      </c>
      <c r="D809" s="2" t="str">
        <f t="shared" si="11"/>
        <v>Error?</v>
      </c>
    </row>
    <row r="810" spans="1:4" x14ac:dyDescent="0.2">
      <c r="A810" s="10">
        <v>749</v>
      </c>
      <c r="D810" s="2" t="str">
        <f t="shared" si="11"/>
        <v>OK</v>
      </c>
    </row>
    <row r="811" spans="1:4" x14ac:dyDescent="0.2">
      <c r="A811" s="5">
        <v>750</v>
      </c>
      <c r="B811" s="138">
        <f>'Expenditures 15-22'!D72</f>
        <v>18630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723145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732451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56687</v>
      </c>
      <c r="D835" s="2" t="str">
        <f t="shared" si="12"/>
        <v>Error?</v>
      </c>
    </row>
    <row r="836" spans="1:4" x14ac:dyDescent="0.2">
      <c r="A836" s="5">
        <v>775</v>
      </c>
      <c r="B836" s="138">
        <f>'Expenditures 15-22'!E33</f>
        <v>57146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1007576</v>
      </c>
      <c r="D839" s="2" t="str">
        <f t="shared" si="12"/>
        <v>Error?</v>
      </c>
    </row>
    <row r="840" spans="1:4" x14ac:dyDescent="0.2">
      <c r="A840" s="5">
        <v>779</v>
      </c>
      <c r="B840" s="138">
        <f>'Expenditures 15-22'!E39</f>
        <v>1282</v>
      </c>
      <c r="D840" s="2" t="str">
        <f t="shared" si="12"/>
        <v>Error?</v>
      </c>
    </row>
    <row r="841" spans="1:4" x14ac:dyDescent="0.2">
      <c r="A841" s="5">
        <v>780</v>
      </c>
      <c r="B841" s="138">
        <f>'Expenditures 15-22'!E40</f>
        <v>23679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1032537</v>
      </c>
      <c r="C843" s="2" t="s">
        <v>594</v>
      </c>
      <c r="D843" s="2" t="str">
        <f t="shared" si="12"/>
        <v>Error?</v>
      </c>
    </row>
    <row r="844" spans="1:4" x14ac:dyDescent="0.2">
      <c r="A844" s="5">
        <v>783</v>
      </c>
      <c r="B844" s="138">
        <f>'Expenditures 15-22'!E44</f>
        <v>152968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152968</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93380</v>
      </c>
      <c r="D849" s="2" t="str">
        <f t="shared" si="12"/>
        <v>Error?</v>
      </c>
    </row>
    <row r="850" spans="1:4" x14ac:dyDescent="0.2">
      <c r="A850" s="5">
        <v>789</v>
      </c>
      <c r="B850" s="138">
        <f>'Expenditures 15-22'!E53</f>
        <v>135540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45000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45000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27389</v>
      </c>
      <c r="D867" s="2" t="str">
        <f t="shared" si="12"/>
        <v>Error?</v>
      </c>
    </row>
    <row r="868" spans="1:4" x14ac:dyDescent="0.2">
      <c r="A868" s="10">
        <v>807</v>
      </c>
      <c r="D868" s="2" t="str">
        <f t="shared" si="12"/>
        <v>OK</v>
      </c>
    </row>
    <row r="869" spans="1:4" x14ac:dyDescent="0.2">
      <c r="A869" s="5">
        <v>808</v>
      </c>
      <c r="B869" s="138">
        <f>'Expenditures 15-22'!E72</f>
        <v>27389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1393434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1567580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464</v>
      </c>
      <c r="D893" s="2" t="str">
        <f t="shared" si="12"/>
        <v>Error?</v>
      </c>
    </row>
    <row r="894" spans="1:4" x14ac:dyDescent="0.2">
      <c r="A894" s="5">
        <v>833</v>
      </c>
      <c r="B894" s="138">
        <f>'Expenditures 15-22'!F33</f>
        <v>729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4641</v>
      </c>
      <c r="D897" s="2" t="str">
        <f t="shared" si="13"/>
        <v>Error?</v>
      </c>
    </row>
    <row r="898" spans="1:4" x14ac:dyDescent="0.2">
      <c r="A898" s="5">
        <v>837</v>
      </c>
      <c r="B898" s="138">
        <f>'Expenditures 15-22'!F39</f>
        <v>13673</v>
      </c>
      <c r="D898" s="2" t="str">
        <f t="shared" si="13"/>
        <v>Error?</v>
      </c>
    </row>
    <row r="899" spans="1:4" x14ac:dyDescent="0.2">
      <c r="A899" s="5">
        <v>838</v>
      </c>
      <c r="B899" s="138">
        <f>'Expenditures 15-22'!F40</f>
        <v>3273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21587</v>
      </c>
      <c r="C901" s="2" t="s">
        <v>594</v>
      </c>
      <c r="D901" s="2" t="str">
        <f t="shared" si="13"/>
        <v>Error?</v>
      </c>
    </row>
    <row r="902" spans="1:4" x14ac:dyDescent="0.2">
      <c r="A902" s="5">
        <v>841</v>
      </c>
      <c r="B902" s="138">
        <f>'Expenditures 15-22'!F44</f>
        <v>326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326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2931</v>
      </c>
      <c r="D907" s="2" t="str">
        <f t="shared" si="13"/>
        <v>Error?</v>
      </c>
    </row>
    <row r="908" spans="1:4" x14ac:dyDescent="0.2">
      <c r="A908" s="5">
        <v>847</v>
      </c>
      <c r="B908" s="138">
        <f>'Expenditures 15-22'!F53</f>
        <v>2931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6175</v>
      </c>
      <c r="D925" s="2" t="str">
        <f t="shared" si="13"/>
        <v>Error?</v>
      </c>
    </row>
    <row r="926" spans="1:4" x14ac:dyDescent="0.2">
      <c r="A926" s="10">
        <v>865</v>
      </c>
      <c r="D926" s="2" t="str">
        <f t="shared" si="13"/>
        <v>OK</v>
      </c>
    </row>
    <row r="927" spans="1:4" x14ac:dyDescent="0.2">
      <c r="A927" s="5">
        <v>866</v>
      </c>
      <c r="B927" s="138">
        <f>'Expenditures 15-22'!F72</f>
        <v>6175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31019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31748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23704</v>
      </c>
      <c r="D983" s="2" t="str">
        <f t="shared" si="14"/>
        <v>Error?</v>
      </c>
    </row>
    <row r="984" spans="1:4" x14ac:dyDescent="0.2">
      <c r="A984" s="10">
        <v>923</v>
      </c>
      <c r="D984" s="2" t="str">
        <f t="shared" si="14"/>
        <v>OK</v>
      </c>
    </row>
    <row r="985" spans="1:4" x14ac:dyDescent="0.2">
      <c r="A985" s="5">
        <v>924</v>
      </c>
      <c r="B985" s="138">
        <f>'Expenditures 15-22'!G72</f>
        <v>23704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23704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23704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5099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5099</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5099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2606590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2611689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186189</v>
      </c>
      <c r="C1107" s="2" t="s">
        <v>594</v>
      </c>
      <c r="D1107" s="2" t="str">
        <f t="shared" si="16"/>
        <v>Error?</v>
      </c>
    </row>
    <row r="1108" spans="1:4" x14ac:dyDescent="0.2">
      <c r="A1108" s="5">
        <v>1047</v>
      </c>
      <c r="B1108" s="138">
        <f>'Expenditures 15-22'!K33</f>
        <v>226418</v>
      </c>
      <c r="C1108" s="2" t="s">
        <v>594</v>
      </c>
      <c r="D1108" s="2" t="str">
        <f t="shared" si="16"/>
        <v>Error?</v>
      </c>
    </row>
    <row r="1109" spans="1:4" x14ac:dyDescent="0.2">
      <c r="A1109" s="5">
        <v>1048</v>
      </c>
      <c r="B1109" s="138">
        <f>'Expenditures 15-22'!K36</f>
        <v>72030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1129622</v>
      </c>
      <c r="C1111" s="2" t="s">
        <v>594</v>
      </c>
      <c r="D1111" s="2" t="str">
        <f t="shared" si="16"/>
        <v>Error?</v>
      </c>
    </row>
    <row r="1112" spans="1:4" x14ac:dyDescent="0.2">
      <c r="A1112" s="5">
        <v>1051</v>
      </c>
      <c r="B1112" s="138">
        <f>'Expenditures 15-22'!K39</f>
        <v>891364</v>
      </c>
      <c r="C1112" s="2" t="s">
        <v>594</v>
      </c>
      <c r="D1112" s="2" t="str">
        <f t="shared" si="16"/>
        <v>Error?</v>
      </c>
    </row>
    <row r="1113" spans="1:4" x14ac:dyDescent="0.2">
      <c r="A1113" s="5">
        <v>1052</v>
      </c>
      <c r="B1113" s="138">
        <f>'Expenditures 15-22'!K40</f>
        <v>50649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2143665</v>
      </c>
      <c r="C1115" s="2" t="s">
        <v>594</v>
      </c>
      <c r="D1115" s="2" t="str">
        <f t="shared" si="16"/>
        <v>Error?</v>
      </c>
    </row>
    <row r="1116" spans="1:4" x14ac:dyDescent="0.2">
      <c r="A1116" s="5">
        <v>1055</v>
      </c>
      <c r="B1116" s="138">
        <f>'Expenditures 15-22'!K44</f>
        <v>158393</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158393</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799263</v>
      </c>
      <c r="C1121" s="2" t="s">
        <v>594</v>
      </c>
      <c r="D1121" s="2" t="str">
        <f t="shared" si="16"/>
        <v>Error?</v>
      </c>
    </row>
    <row r="1122" spans="1:4" x14ac:dyDescent="0.2">
      <c r="A1122" s="5">
        <v>1061</v>
      </c>
      <c r="B1122" s="138">
        <f>'Expenditures 15-22'!K53</f>
        <v>2149188</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162508</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45000</v>
      </c>
      <c r="C1128" s="2" t="s">
        <v>594</v>
      </c>
      <c r="D1128" s="2" t="str">
        <f t="shared" si="16"/>
        <v>Error?</v>
      </c>
    </row>
    <row r="1129" spans="1:4" x14ac:dyDescent="0.2">
      <c r="A1129" s="5">
        <v>1068</v>
      </c>
      <c r="B1129" s="138">
        <f>'Expenditures 15-22'!K62</f>
        <v>79539</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287047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141829</v>
      </c>
      <c r="C1139" s="2" t="s">
        <v>594</v>
      </c>
      <c r="D1139" s="2" t="str">
        <f t="shared" si="16"/>
        <v>Error?</v>
      </c>
    </row>
    <row r="1140" spans="1:4" x14ac:dyDescent="0.2">
      <c r="A1140" s="10">
        <v>1079</v>
      </c>
      <c r="D1140" s="2" t="str">
        <f t="shared" si="16"/>
        <v>OK</v>
      </c>
    </row>
    <row r="1141" spans="1:4" x14ac:dyDescent="0.2">
      <c r="A1141" s="5">
        <v>1080</v>
      </c>
      <c r="B1141" s="138">
        <f>'Expenditures 15-22'!K72</f>
        <v>141829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4880122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2723590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7830130</v>
      </c>
      <c r="C1152" s="2" t="s">
        <v>594</v>
      </c>
      <c r="D1152" s="2" t="str">
        <f t="shared" si="17"/>
        <v>Error?</v>
      </c>
    </row>
    <row r="1153" spans="1:4" x14ac:dyDescent="0.2">
      <c r="A1153" s="5">
        <v>1092</v>
      </c>
      <c r="B1153" s="138">
        <f>'Expenditures 15-22'!K115</f>
        <v>-136797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1681465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1544668</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689828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689828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23704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23704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713532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713532</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587730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587730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29564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29564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617294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617294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96238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96238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2606590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2723590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3695755</v>
      </c>
      <c r="C2551" s="2" t="s">
        <v>594</v>
      </c>
      <c r="D2551" s="2" t="str">
        <f t="shared" si="38"/>
        <v>Error?</v>
      </c>
    </row>
    <row r="2552" spans="1:4" x14ac:dyDescent="0.2">
      <c r="A2552" s="10">
        <v>2491</v>
      </c>
      <c r="D2552" s="2" t="str">
        <f t="shared" si="38"/>
        <v>OK</v>
      </c>
    </row>
    <row r="2553" spans="1:4" x14ac:dyDescent="0.2">
      <c r="A2553" s="5">
        <v>2492</v>
      </c>
      <c r="B2553" s="138">
        <f>'Acct Summary 7-8'!C6</f>
        <v>525090</v>
      </c>
      <c r="C2553" s="2" t="s">
        <v>594</v>
      </c>
      <c r="D2553" s="2" t="str">
        <f t="shared" si="38"/>
        <v>Error?</v>
      </c>
    </row>
    <row r="2554" spans="1:4" x14ac:dyDescent="0.2">
      <c r="A2554" s="5">
        <v>2493</v>
      </c>
      <c r="B2554" s="138">
        <f>'Acct Summary 7-8'!C7</f>
        <v>1434191</v>
      </c>
      <c r="C2554" s="2" t="s">
        <v>594</v>
      </c>
      <c r="D2554" s="2" t="str">
        <f t="shared" si="38"/>
        <v>Error?</v>
      </c>
    </row>
    <row r="2555" spans="1:4" x14ac:dyDescent="0.2">
      <c r="A2555" s="5">
        <v>2494</v>
      </c>
      <c r="B2555" s="138">
        <f>'Acct Summary 7-8'!C8</f>
        <v>7693333</v>
      </c>
      <c r="C2555" s="2" t="s">
        <v>594</v>
      </c>
      <c r="D2555" s="2" t="str">
        <f t="shared" si="38"/>
        <v>Error?</v>
      </c>
    </row>
    <row r="2556" spans="1:4" x14ac:dyDescent="0.2">
      <c r="A2556" s="5">
        <v>2495</v>
      </c>
      <c r="B2556" s="138">
        <f>'Acct Summary 7-8'!C12</f>
        <v>226418</v>
      </c>
      <c r="C2556" s="2" t="s">
        <v>594</v>
      </c>
      <c r="D2556" s="2" t="str">
        <f t="shared" si="38"/>
        <v>Error?</v>
      </c>
    </row>
    <row r="2557" spans="1:4" x14ac:dyDescent="0.2">
      <c r="A2557" s="5">
        <v>2496</v>
      </c>
      <c r="B2557" s="138">
        <f>'Acct Summary 7-8'!C13</f>
        <v>4880122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2723590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7830130</v>
      </c>
      <c r="C2561" s="2" t="s">
        <v>594</v>
      </c>
      <c r="D2561" s="2" t="str">
        <f t="shared" si="39"/>
        <v>Error?</v>
      </c>
    </row>
    <row r="2562" spans="1:4" x14ac:dyDescent="0.2">
      <c r="A2562" s="5">
        <v>2501</v>
      </c>
      <c r="B2562" s="138">
        <f>'Acct Summary 7-8'!C20</f>
        <v>-136797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1048875</v>
      </c>
      <c r="D2718" s="2" t="str">
        <f t="shared" si="41"/>
        <v>Error?</v>
      </c>
    </row>
    <row r="2719" spans="1:4" x14ac:dyDescent="0.2">
      <c r="A2719" s="5">
        <v>2658</v>
      </c>
      <c r="B2719" s="138">
        <f>'Expenditures 15-22'!D51</f>
        <v>258890</v>
      </c>
      <c r="D2719" s="2" t="str">
        <f t="shared" si="41"/>
        <v>Error?</v>
      </c>
    </row>
    <row r="2720" spans="1:4" x14ac:dyDescent="0.2">
      <c r="A2720" s="5">
        <v>2659</v>
      </c>
      <c r="B2720" s="138">
        <f>'Expenditures 15-22'!E51</f>
        <v>8107</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1315872</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117000</v>
      </c>
      <c r="C2789" s="2" t="s">
        <v>594</v>
      </c>
      <c r="D2789" s="2" t="str">
        <f t="shared" si="42"/>
        <v>Error?</v>
      </c>
    </row>
    <row r="2790" spans="1:4" x14ac:dyDescent="0.2">
      <c r="A2790" s="5">
        <v>2729</v>
      </c>
      <c r="B2790" s="138">
        <f>'Expenditures 15-22'!E102</f>
        <v>117000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162508</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107025</v>
      </c>
      <c r="D2860" s="2" t="str">
        <f t="shared" si="43"/>
        <v>Error?</v>
      </c>
    </row>
    <row r="2861" spans="1:4" x14ac:dyDescent="0.2">
      <c r="A2861" s="10">
        <v>2800</v>
      </c>
      <c r="D2861" s="2" t="str">
        <f t="shared" si="43"/>
        <v>OK</v>
      </c>
    </row>
    <row r="2862" spans="1:4" x14ac:dyDescent="0.2">
      <c r="A2862" s="5">
        <v>2801</v>
      </c>
      <c r="B2862" s="138">
        <f>'ICR Computation 30'!E9</f>
        <v>45000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117000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2425070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181520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2542070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181520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-136797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38976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40229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2038297</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345258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1386885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9080218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1386885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9217015</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1544668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67044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1095529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68880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111699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111699</v>
      </c>
      <c r="C5087" s="2" t="s">
        <v>594</v>
      </c>
      <c r="D5087" s="2" t="str">
        <f t="shared" si="78"/>
        <v>Error?</v>
      </c>
    </row>
    <row r="5088" spans="1:4" x14ac:dyDescent="0.2">
      <c r="A5088" s="5">
        <v>5027</v>
      </c>
      <c r="B5088" s="138">
        <f>'Revenues 9-14'!C65</f>
        <v>11763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11763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65000</v>
      </c>
      <c r="D5114" s="2" t="str">
        <f t="shared" si="78"/>
        <v>Error?</v>
      </c>
    </row>
    <row r="5115" spans="1:4" x14ac:dyDescent="0.2">
      <c r="A5115" s="5">
        <v>5054</v>
      </c>
      <c r="B5115" s="138">
        <f>'Revenues 9-14'!C98</f>
        <v>2300536</v>
      </c>
      <c r="D5115" s="2" t="str">
        <f t="shared" si="78"/>
        <v>Error?</v>
      </c>
    </row>
    <row r="5116" spans="1:4" x14ac:dyDescent="0.2">
      <c r="A5116" s="5">
        <v>5055</v>
      </c>
      <c r="B5116" s="138">
        <f>'Revenues 9-14'!C99</f>
        <v>2172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109056</v>
      </c>
      <c r="D5119" s="2" t="str">
        <f t="shared" ref="D5119:D5182" si="79">IF(ISBLANK(B5119),"OK",IF(A5119-B5119=0,"OK","Error?"))</f>
        <v>Error?</v>
      </c>
    </row>
    <row r="5120" spans="1:4" x14ac:dyDescent="0.2">
      <c r="A5120" s="5">
        <v>5059</v>
      </c>
      <c r="B5120" s="138">
        <f>'Revenues 9-14'!C108</f>
        <v>3572293</v>
      </c>
      <c r="C5120" s="2" t="s">
        <v>594</v>
      </c>
      <c r="D5120" s="2" t="str">
        <f t="shared" si="79"/>
        <v>Error?</v>
      </c>
    </row>
    <row r="5121" spans="1:4" x14ac:dyDescent="0.2">
      <c r="A5121" s="5">
        <v>5060</v>
      </c>
      <c r="B5121" s="138">
        <f>'Revenues 9-14'!C109</f>
        <v>3695755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2038297</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2038297</v>
      </c>
      <c r="C5125" s="2" t="s">
        <v>594</v>
      </c>
      <c r="D5125" s="2" t="str">
        <f t="shared" si="79"/>
        <v>Error?</v>
      </c>
    </row>
    <row r="5126" spans="1:4" x14ac:dyDescent="0.2">
      <c r="A5126" s="5">
        <v>5065</v>
      </c>
      <c r="B5126" s="138">
        <f>'Revenues 9-14'!C117</f>
        <v>332786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332786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83197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83197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40227</v>
      </c>
      <c r="D5177" s="2" t="str">
        <f t="shared" si="79"/>
        <v>Error?</v>
      </c>
    </row>
    <row r="5178" spans="1:4" x14ac:dyDescent="0.2">
      <c r="A5178" s="5">
        <v>5117</v>
      </c>
      <c r="B5178" s="138">
        <f>'Revenues 9-14'!C154</f>
        <v>40227</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192304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525090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52074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1315073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1367147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1434191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1434191</v>
      </c>
      <c r="C5326" s="2" t="s">
        <v>594</v>
      </c>
      <c r="D5326" s="2" t="str">
        <f t="shared" si="82"/>
        <v>Error?</v>
      </c>
    </row>
    <row r="5327" spans="1:4" x14ac:dyDescent="0.2">
      <c r="A5327" s="5">
        <v>5266</v>
      </c>
      <c r="B5327" s="138">
        <f>'Revenues 9-14'!C275</f>
        <v>7693333</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1148474</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465417</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181520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64610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-136797</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-8.8560778108952867E-2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34053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34053</v>
      </c>
      <c r="D6940" s="2" t="str">
        <f t="shared" si="107"/>
        <v>Error?</v>
      </c>
    </row>
    <row r="6941" spans="1:4" x14ac:dyDescent="0.2">
      <c r="A6941">
        <v>6880</v>
      </c>
      <c r="B6941" s="138">
        <f>'Expenditures 15-22'!L52</f>
        <v>35466</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9942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9942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9942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9942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9942</v>
      </c>
      <c r="D7624" s="2" t="str">
        <f t="shared" si="124"/>
        <v>Error?</v>
      </c>
      <c r="E7624" s="2" t="s">
        <v>19</v>
      </c>
    </row>
    <row r="7625" spans="1:5" x14ac:dyDescent="0.2">
      <c r="A7625">
        <f t="shared" si="123"/>
        <v>7564</v>
      </c>
      <c r="B7625" s="138">
        <f>'Cap Outlay Deprec 26'!I17</f>
        <v>994.2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30558.2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13428</v>
      </c>
      <c r="D7758" s="2" t="str">
        <f t="shared" si="127"/>
        <v>Error?</v>
      </c>
      <c r="E7758" s="4" t="s">
        <v>1400</v>
      </c>
    </row>
    <row r="7759" spans="1:6" x14ac:dyDescent="0.2">
      <c r="A7759">
        <v>7698</v>
      </c>
      <c r="B7759" s="138">
        <f>'Aud Quest 2'!J88</f>
        <v>123425</v>
      </c>
      <c r="D7759" s="2" t="str">
        <f t="shared" si="127"/>
        <v>Error?</v>
      </c>
      <c r="E7759" s="4" t="s">
        <v>1400</v>
      </c>
    </row>
    <row r="7760" spans="1:6" x14ac:dyDescent="0.2">
      <c r="A7760">
        <v>7699</v>
      </c>
      <c r="B7760" s="138">
        <f>'Aud Quest 2'!J90</f>
        <v>136853</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1177187</v>
      </c>
      <c r="D7797" s="2" t="str">
        <f t="shared" si="127"/>
        <v>Error?</v>
      </c>
      <c r="E7797" s="4" t="s">
        <v>2018</v>
      </c>
    </row>
    <row r="7798" spans="1:5" x14ac:dyDescent="0.2">
      <c r="A7798">
        <v>7737</v>
      </c>
      <c r="B7798" s="138">
        <f>'Contracts Paid in CY 29'!F141</f>
        <v>200000</v>
      </c>
      <c r="D7798" s="2" t="str">
        <f t="shared" si="127"/>
        <v>Error?</v>
      </c>
      <c r="E7798" s="4" t="s">
        <v>2018</v>
      </c>
    </row>
    <row r="7799" spans="1:5" x14ac:dyDescent="0.2">
      <c r="A7799">
        <v>7738</v>
      </c>
      <c r="B7799" s="138">
        <f>'Contracts Paid in CY 29'!G141</f>
        <v>977187</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0" zoomScale="110" zoomScaleNormal="110" workbookViewId="0">
      <selection activeCell="B43" sqref="B4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LEYDEN AREA SPECIAL EDUCATION COOPERATIVE</v>
      </c>
      <c r="B7" s="2421"/>
      <c r="C7" s="2421"/>
      <c r="D7" s="2422"/>
      <c r="E7" s="2423">
        <f>COVER!A13</f>
        <v>6016083061</v>
      </c>
      <c r="F7" s="2424"/>
      <c r="G7" s="2430" t="str">
        <f>COVER!T23</f>
        <v>066-005142</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EDER, CASELLA &amp; CO.</v>
      </c>
      <c r="H9" s="2436"/>
      <c r="I9" s="2436"/>
      <c r="J9" s="2436"/>
      <c r="K9" s="2436"/>
      <c r="L9" s="2437"/>
    </row>
    <row r="10" spans="1:29" ht="13.5" customHeight="1" x14ac:dyDescent="0.2">
      <c r="A10" s="2410">
        <f>COVER!A38</f>
        <v>0</v>
      </c>
      <c r="B10" s="2411"/>
      <c r="C10" s="2411"/>
      <c r="D10" s="2411"/>
      <c r="E10" s="2411"/>
      <c r="F10" s="2412"/>
      <c r="G10" s="2404" t="str">
        <f>COVER!T17</f>
        <v>5400 WEST ELM STREET, SUITE 203</v>
      </c>
      <c r="H10" s="2405"/>
      <c r="I10" s="2405"/>
      <c r="J10" s="2405"/>
      <c r="K10" s="2405"/>
      <c r="L10" s="2406"/>
    </row>
    <row r="11" spans="1:29" ht="13.5" customHeight="1" x14ac:dyDescent="0.2">
      <c r="A11" s="1185" t="s">
        <v>1599</v>
      </c>
      <c r="B11" s="1186"/>
      <c r="C11" s="1187"/>
      <c r="D11" s="1192"/>
      <c r="E11" s="1187"/>
      <c r="F11" s="1191"/>
      <c r="G11" s="2404" t="str">
        <f>COVER!T19</f>
        <v>MCHENRY</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CPAS@EDERCASELLA.COM</v>
      </c>
      <c r="J13" s="2417"/>
      <c r="K13" s="2417"/>
      <c r="L13" s="2418"/>
    </row>
    <row r="14" spans="1:29" ht="13.5" customHeight="1" x14ac:dyDescent="0.2">
      <c r="A14" s="2404" t="str">
        <f>COVER!A19</f>
        <v>10401 WEST GRAND AVENUE</v>
      </c>
      <c r="B14" s="2405"/>
      <c r="C14" s="2405"/>
      <c r="D14" s="2405"/>
      <c r="E14" s="2405"/>
      <c r="F14" s="2406"/>
      <c r="G14" s="1196" t="s">
        <v>1247</v>
      </c>
      <c r="H14" s="1194"/>
      <c r="I14" s="1194"/>
      <c r="J14" s="1194"/>
      <c r="K14" s="1194"/>
      <c r="L14" s="1195"/>
    </row>
    <row r="15" spans="1:29" ht="13.5" customHeight="1" x14ac:dyDescent="0.2">
      <c r="A15" s="2404" t="str">
        <f>COVER!A21</f>
        <v>FRANKLIN PARK</v>
      </c>
      <c r="B15" s="2405"/>
      <c r="C15" s="2405"/>
      <c r="D15" s="2405"/>
      <c r="E15" s="2405"/>
      <c r="F15" s="2406"/>
      <c r="G15" s="2401" t="str">
        <f>COVER!T15</f>
        <v>KEVIN SMITH</v>
      </c>
      <c r="H15" s="2402"/>
      <c r="I15" s="2402"/>
      <c r="J15" s="2402"/>
      <c r="K15" s="2402"/>
      <c r="L15" s="2403"/>
    </row>
    <row r="16" spans="1:29" ht="12.2" customHeight="1" x14ac:dyDescent="0.2">
      <c r="A16" s="2426">
        <f>COVER!A25</f>
        <v>0</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815-344-1300</v>
      </c>
      <c r="H18" s="2421"/>
      <c r="I18" s="2421"/>
      <c r="J18" s="2421"/>
      <c r="K18" s="2420" t="str">
        <f>COVER!X21</f>
        <v>815-344-1320</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2081</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2081</v>
      </c>
      <c r="C26" s="1203" t="s">
        <v>1801</v>
      </c>
    </row>
    <row r="27" spans="1:13" s="1199" customFormat="1" ht="9" customHeight="1" x14ac:dyDescent="0.2">
      <c r="B27" s="1204"/>
      <c r="C27" s="1203"/>
    </row>
    <row r="28" spans="1:13" s="1199" customFormat="1" ht="12.2" customHeight="1" x14ac:dyDescent="0.2">
      <c r="A28" s="1206"/>
      <c r="B28" s="1202" t="s">
        <v>2081</v>
      </c>
      <c r="C28" s="1203" t="s">
        <v>1802</v>
      </c>
    </row>
    <row r="29" spans="1:13" s="1199" customFormat="1" ht="9" customHeight="1" x14ac:dyDescent="0.2">
      <c r="A29" s="1206"/>
      <c r="B29" s="1204"/>
      <c r="C29" s="1203"/>
    </row>
    <row r="30" spans="1:13" s="1199" customFormat="1" ht="12.2" customHeight="1" x14ac:dyDescent="0.2">
      <c r="B30" s="1202" t="s">
        <v>2081</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2081</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2081</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2081</v>
      </c>
      <c r="C38" s="1203" t="s">
        <v>1647</v>
      </c>
    </row>
    <row r="39" spans="1:8" ht="9" customHeight="1" x14ac:dyDescent="0.2">
      <c r="B39" s="1204"/>
      <c r="C39" s="1207"/>
    </row>
    <row r="40" spans="1:8" s="1199" customFormat="1" ht="13.5" customHeight="1" x14ac:dyDescent="0.2">
      <c r="B40" s="1202" t="s">
        <v>2081</v>
      </c>
      <c r="C40" s="1203" t="s">
        <v>1648</v>
      </c>
    </row>
    <row r="41" spans="1:8" ht="9" customHeight="1" x14ac:dyDescent="0.2">
      <c r="A41" s="1208"/>
      <c r="B41" s="1204"/>
      <c r="C41" s="1207"/>
    </row>
    <row r="42" spans="1:8" s="1199" customFormat="1" ht="13.5" customHeight="1" x14ac:dyDescent="0.2">
      <c r="B42" s="1202" t="s">
        <v>2097</v>
      </c>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E15" sqref="E15"/>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LEYDEN AREA SPECIAL EDUCATION COOPERATIVE</v>
      </c>
      <c r="B1" s="2419"/>
      <c r="C1" s="2419"/>
      <c r="D1" s="2419"/>
    </row>
    <row r="2" spans="1:11" s="1215" customFormat="1" ht="12.75" x14ac:dyDescent="0.2">
      <c r="A2" s="2443">
        <f>'Single Audit Cover'!E7</f>
        <v>6016083061</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E15" sqref="E15"/>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LEYDEN AREA SPECIAL EDUCATION COOPERATIVE</v>
      </c>
      <c r="B1" s="2446"/>
      <c r="C1" s="2446"/>
      <c r="D1" s="2446"/>
      <c r="E1" s="2446"/>
    </row>
    <row r="2" spans="1:5" x14ac:dyDescent="0.2">
      <c r="A2" s="2447">
        <f>'Single Audit Cover'!E7</f>
        <v>6016083061</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1434191</v>
      </c>
    </row>
    <row r="11" spans="1:5" ht="18" customHeight="1" x14ac:dyDescent="0.2">
      <c r="A11" s="1261" t="s">
        <v>1302</v>
      </c>
      <c r="B11" s="1262"/>
      <c r="C11" s="1262"/>
    </row>
    <row r="12" spans="1:5" x14ac:dyDescent="0.2">
      <c r="A12" s="1261" t="s">
        <v>1301</v>
      </c>
      <c r="B12" s="1262" t="s">
        <v>1300</v>
      </c>
      <c r="C12" s="1262"/>
      <c r="D12" s="1264">
        <f>SUM('Revenues 9-14'!C112:D112,'Revenues 9-14'!F112:G112)</f>
        <v>2038297</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3472488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3472488</v>
      </c>
    </row>
    <row r="33" spans="1:4" x14ac:dyDescent="0.2">
      <c r="D33" s="1269"/>
    </row>
    <row r="34" spans="1:4" x14ac:dyDescent="0.2">
      <c r="A34" s="317" t="s">
        <v>1294</v>
      </c>
    </row>
    <row r="35" spans="1:4" x14ac:dyDescent="0.2">
      <c r="A35" s="317" t="s">
        <v>1293</v>
      </c>
      <c r="B35" s="1258" t="s">
        <v>1292</v>
      </c>
      <c r="D35" s="1954">
        <v>3472488</v>
      </c>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0"/>
    </row>
    <row r="42" spans="1:4" x14ac:dyDescent="0.2">
      <c r="A42" s="2445"/>
      <c r="B42" s="2445"/>
      <c r="D42" s="1270"/>
    </row>
    <row r="43" spans="1:4" x14ac:dyDescent="0.2">
      <c r="A43" s="2445"/>
      <c r="B43" s="2445"/>
      <c r="D43" s="1270"/>
    </row>
    <row r="44" spans="1:4" x14ac:dyDescent="0.2">
      <c r="A44" s="2445"/>
      <c r="B44" s="2445"/>
      <c r="D44" s="1270"/>
    </row>
    <row r="45" spans="1:4" x14ac:dyDescent="0.2">
      <c r="A45" s="2445"/>
      <c r="B45" s="2445"/>
      <c r="D45" s="1270"/>
    </row>
    <row r="47" spans="1:4" x14ac:dyDescent="0.2">
      <c r="B47" s="1271" t="s">
        <v>1289</v>
      </c>
      <c r="C47" s="1271"/>
      <c r="D47" s="1272">
        <f>SUM(D35:D45)</f>
        <v>3472488</v>
      </c>
    </row>
    <row r="49" spans="2:4" x14ac:dyDescent="0.2">
      <c r="B49" s="1271" t="s">
        <v>1288</v>
      </c>
      <c r="C49" s="1271"/>
      <c r="D49" s="127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0" zoomScale="120" zoomScaleNormal="120" workbookViewId="0">
      <selection activeCell="A48" sqref="A4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LEYDEN AREA SPECIAL EDUCATION COOPERATIVE</v>
      </c>
      <c r="B1" s="2459"/>
      <c r="C1" s="2459"/>
      <c r="D1" s="2459"/>
      <c r="E1" s="2459"/>
      <c r="F1" s="2459"/>
    </row>
    <row r="2" spans="1:7" ht="13.5" customHeight="1" x14ac:dyDescent="0.2">
      <c r="A2" s="2460">
        <f>'Single Audit Cover'!E7</f>
        <v>6016083061</v>
      </c>
      <c r="B2" s="2460"/>
      <c r="C2" s="2460"/>
      <c r="D2" s="2460"/>
      <c r="E2" s="2460"/>
      <c r="F2" s="2460"/>
      <c r="G2" s="1274"/>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5" t="s">
        <v>1831</v>
      </c>
      <c r="C6" s="317"/>
      <c r="D6" s="317"/>
    </row>
    <row r="7" spans="1:7" ht="60.95" customHeight="1" x14ac:dyDescent="0.2">
      <c r="A7" s="2458" t="s">
        <v>2134</v>
      </c>
      <c r="B7" s="2458"/>
      <c r="C7" s="2458"/>
      <c r="D7" s="2458"/>
      <c r="E7" s="2458"/>
      <c r="F7" s="2458"/>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2075</v>
      </c>
      <c r="F10" s="1279" t="s">
        <v>101</v>
      </c>
      <c r="G10" s="1277"/>
    </row>
    <row r="11" spans="1:7" ht="12" customHeight="1" x14ac:dyDescent="0.2">
      <c r="A11" s="1278"/>
      <c r="B11" s="1279"/>
      <c r="C11" s="1925"/>
      <c r="D11" s="1279"/>
      <c r="E11" s="1925"/>
      <c r="F11" s="1279"/>
      <c r="G11" s="1277"/>
    </row>
    <row r="12" spans="1:7" x14ac:dyDescent="0.2">
      <c r="A12" s="1275" t="s">
        <v>1669</v>
      </c>
      <c r="C12" s="1260"/>
      <c r="D12" s="1260"/>
    </row>
    <row r="13" spans="1:7" ht="15" customHeight="1" x14ac:dyDescent="0.2">
      <c r="A13" s="2458" t="s">
        <v>1833</v>
      </c>
      <c r="B13" s="2458"/>
      <c r="C13" s="2458"/>
      <c r="D13" s="2458"/>
      <c r="E13" s="2458"/>
      <c r="F13" s="2458"/>
    </row>
    <row r="14" spans="1:7" ht="9.75" customHeight="1" x14ac:dyDescent="0.2">
      <c r="C14" s="1260"/>
      <c r="D14" s="1260"/>
    </row>
    <row r="15" spans="1:7" ht="13.5" customHeight="1" x14ac:dyDescent="0.2">
      <c r="C15" s="1869" t="s">
        <v>1332</v>
      </c>
      <c r="D15" s="2456" t="s">
        <v>1331</v>
      </c>
      <c r="E15" s="2456"/>
      <c r="F15" s="2456"/>
    </row>
    <row r="16" spans="1:7" ht="13.5" customHeight="1" x14ac:dyDescent="0.2">
      <c r="A16" s="1281"/>
      <c r="B16" s="1275" t="s">
        <v>1330</v>
      </c>
      <c r="C16" s="1869" t="s">
        <v>1329</v>
      </c>
      <c r="D16" s="2457" t="s">
        <v>1670</v>
      </c>
      <c r="E16" s="2457"/>
      <c r="F16" s="2457"/>
    </row>
    <row r="17" spans="1:6" ht="20.45" customHeight="1" x14ac:dyDescent="0.2">
      <c r="A17" s="1282"/>
      <c r="B17" s="1283" t="s">
        <v>2103</v>
      </c>
      <c r="C17" s="1284">
        <v>84.027000000000001</v>
      </c>
      <c r="D17" s="2451">
        <v>1990051</v>
      </c>
      <c r="E17" s="2451"/>
      <c r="F17" s="2451"/>
    </row>
    <row r="18" spans="1:6" ht="20.65" customHeight="1" x14ac:dyDescent="0.2">
      <c r="A18" s="1282"/>
      <c r="B18" s="1283" t="s">
        <v>2104</v>
      </c>
      <c r="C18" s="1284">
        <v>84.173000000000002</v>
      </c>
      <c r="D18" s="2451">
        <v>48246</v>
      </c>
      <c r="E18" s="2451"/>
      <c r="F18" s="2451"/>
    </row>
    <row r="19" spans="1:6" ht="20.65" customHeight="1" x14ac:dyDescent="0.2">
      <c r="A19" s="1282"/>
      <c r="B19" s="1283"/>
      <c r="C19" s="1284"/>
      <c r="D19" s="2451"/>
      <c r="E19" s="2451"/>
      <c r="F19" s="2451"/>
    </row>
    <row r="20" spans="1:6" ht="20.65" customHeight="1" x14ac:dyDescent="0.2">
      <c r="A20" s="1282"/>
      <c r="B20" s="1283"/>
      <c r="C20" s="1284"/>
      <c r="D20" s="2451"/>
      <c r="E20" s="2451"/>
      <c r="F20" s="2451"/>
    </row>
    <row r="21" spans="1:6" ht="20.65" customHeight="1" x14ac:dyDescent="0.2">
      <c r="A21" s="1282"/>
      <c r="B21" s="1283"/>
      <c r="C21" s="1284"/>
      <c r="D21" s="2451"/>
      <c r="E21" s="2451"/>
      <c r="F21" s="2451"/>
    </row>
    <row r="22" spans="1:6" ht="20.65" customHeight="1" x14ac:dyDescent="0.2">
      <c r="A22" s="1282"/>
      <c r="B22" s="1283"/>
      <c r="C22" s="1284"/>
      <c r="D22" s="2451"/>
      <c r="E22" s="2451"/>
      <c r="F22" s="2451"/>
    </row>
    <row r="23" spans="1:6" ht="20.65" customHeight="1" x14ac:dyDescent="0.2">
      <c r="A23" s="1282"/>
      <c r="B23" s="1283"/>
      <c r="C23" s="1284"/>
      <c r="D23" s="2451"/>
      <c r="E23" s="2451"/>
      <c r="F23" s="2451"/>
    </row>
    <row r="24" spans="1:6" ht="20.65" customHeight="1" x14ac:dyDescent="0.2">
      <c r="A24" s="1282"/>
      <c r="B24" s="1283"/>
      <c r="C24" s="1284"/>
      <c r="D24" s="2451"/>
      <c r="E24" s="2451"/>
      <c r="F24" s="2451"/>
    </row>
    <row r="25" spans="1:6" ht="20.65" customHeight="1" x14ac:dyDescent="0.2">
      <c r="A25" s="1282"/>
      <c r="B25" s="1283"/>
      <c r="C25" s="1284"/>
      <c r="D25" s="2451"/>
      <c r="E25" s="2451"/>
      <c r="F25" s="2451"/>
    </row>
    <row r="26" spans="1:6" ht="20.65" customHeight="1" x14ac:dyDescent="0.2">
      <c r="A26" s="1282"/>
      <c r="B26" s="1283"/>
      <c r="C26" s="1284"/>
      <c r="D26" s="2451"/>
      <c r="E26" s="2451"/>
      <c r="F26" s="2451"/>
    </row>
    <row r="27" spans="1:6" ht="20.65" customHeight="1" x14ac:dyDescent="0.2">
      <c r="A27" s="1282"/>
      <c r="B27" s="1283"/>
      <c r="C27" s="1284"/>
      <c r="D27" s="2451"/>
      <c r="E27" s="2451"/>
      <c r="F27" s="2451"/>
    </row>
    <row r="28" spans="1:6" ht="20.65" customHeight="1" x14ac:dyDescent="0.2">
      <c r="A28" s="1282"/>
      <c r="B28" s="1283"/>
      <c r="C28" s="1284"/>
      <c r="D28" s="2451"/>
      <c r="E28" s="2451"/>
      <c r="F28" s="2451"/>
    </row>
    <row r="29" spans="1:6" ht="20.65" customHeight="1" x14ac:dyDescent="0.2">
      <c r="A29" s="1282"/>
      <c r="B29" s="1283"/>
      <c r="C29" s="1284"/>
      <c r="D29" s="2451"/>
      <c r="E29" s="2451"/>
      <c r="F29" s="2451"/>
    </row>
    <row r="30" spans="1:6" ht="12" customHeight="1" x14ac:dyDescent="0.2">
      <c r="A30" s="328"/>
      <c r="B30" s="328"/>
      <c r="C30" s="1477"/>
      <c r="D30" s="1926"/>
      <c r="E30" s="1285"/>
    </row>
    <row r="31" spans="1:6" ht="12" customHeight="1" x14ac:dyDescent="0.2">
      <c r="A31" s="1286" t="s">
        <v>1630</v>
      </c>
      <c r="B31" s="328"/>
      <c r="C31" s="1477"/>
      <c r="D31" s="1926"/>
      <c r="E31" s="1285"/>
    </row>
    <row r="32" spans="1:6" ht="30" customHeight="1" x14ac:dyDescent="0.2">
      <c r="A32" s="2452" t="s">
        <v>2135</v>
      </c>
      <c r="B32" s="2452"/>
      <c r="C32" s="2452"/>
      <c r="D32" s="2452"/>
      <c r="E32" s="2452"/>
      <c r="F32" s="2452"/>
    </row>
    <row r="33" spans="1:6" ht="13.5" customHeight="1" x14ac:dyDescent="0.2">
      <c r="A33" s="328" t="s">
        <v>1509</v>
      </c>
      <c r="B33" s="328"/>
      <c r="C33" s="1287">
        <v>0</v>
      </c>
      <c r="D33" s="1926"/>
      <c r="E33" s="1285"/>
    </row>
    <row r="34" spans="1:6" ht="13.5" customHeight="1" x14ac:dyDescent="0.2">
      <c r="A34" s="328" t="s">
        <v>1947</v>
      </c>
      <c r="B34" s="328"/>
      <c r="C34" s="1288">
        <v>0</v>
      </c>
      <c r="D34" s="1926" t="s">
        <v>1671</v>
      </c>
      <c r="E34" s="2453">
        <f>+C33+C34</f>
        <v>0</v>
      </c>
      <c r="F34" s="2454"/>
    </row>
    <row r="35" spans="1:6" ht="12" customHeight="1" x14ac:dyDescent="0.2">
      <c r="A35" s="328"/>
      <c r="B35" s="328"/>
      <c r="C35" s="1927"/>
      <c r="D35" s="1926"/>
      <c r="E35" s="1289"/>
      <c r="F35" s="1290"/>
    </row>
    <row r="36" spans="1:6" ht="13.5" customHeight="1" x14ac:dyDescent="0.2">
      <c r="A36" s="1286" t="s">
        <v>1631</v>
      </c>
      <c r="B36" s="328"/>
      <c r="C36" s="1477"/>
      <c r="D36" s="1926"/>
      <c r="E36" s="1285"/>
    </row>
    <row r="37" spans="1:6" ht="14.25" customHeight="1" x14ac:dyDescent="0.2">
      <c r="A37" s="328" t="s">
        <v>1563</v>
      </c>
      <c r="B37" s="328"/>
      <c r="C37" s="1928"/>
      <c r="D37" s="1926"/>
      <c r="E37" s="1285"/>
    </row>
    <row r="38" spans="1:6" ht="14.25" customHeight="1" x14ac:dyDescent="0.2">
      <c r="A38" s="328"/>
      <c r="B38" s="328" t="s">
        <v>1510</v>
      </c>
      <c r="C38" s="1291" t="s">
        <v>101</v>
      </c>
      <c r="D38" s="1926"/>
      <c r="E38" s="1285"/>
    </row>
    <row r="39" spans="1:6" ht="14.25" customHeight="1" x14ac:dyDescent="0.2">
      <c r="A39" s="328"/>
      <c r="B39" s="328" t="s">
        <v>1511</v>
      </c>
      <c r="C39" s="1291" t="s">
        <v>101</v>
      </c>
      <c r="D39" s="1926"/>
      <c r="E39" s="1285"/>
    </row>
    <row r="40" spans="1:6" ht="14.25" customHeight="1" x14ac:dyDescent="0.2">
      <c r="A40" s="328"/>
      <c r="B40" s="328" t="s">
        <v>1512</v>
      </c>
      <c r="C40" s="1291" t="s">
        <v>101</v>
      </c>
      <c r="D40" s="1926"/>
      <c r="E40" s="1285"/>
    </row>
    <row r="41" spans="1:6" ht="14.25" customHeight="1" x14ac:dyDescent="0.2">
      <c r="A41" s="328"/>
      <c r="B41" s="328" t="s">
        <v>1513</v>
      </c>
      <c r="C41" s="1291" t="s">
        <v>101</v>
      </c>
      <c r="D41" s="1926"/>
      <c r="E41" s="1285"/>
    </row>
    <row r="42" spans="1:6" ht="14.25" customHeight="1" x14ac:dyDescent="0.2">
      <c r="A42" s="328" t="s">
        <v>1514</v>
      </c>
      <c r="B42" s="328"/>
      <c r="C42" s="1924" t="s">
        <v>101</v>
      </c>
      <c r="D42" s="1926"/>
      <c r="E42" s="1285"/>
    </row>
    <row r="43" spans="1:6" ht="14.25" customHeight="1" x14ac:dyDescent="0.2">
      <c r="A43" s="328" t="s">
        <v>1515</v>
      </c>
      <c r="B43" s="328"/>
      <c r="C43" s="1292" t="s">
        <v>101</v>
      </c>
      <c r="D43" s="1926"/>
      <c r="E43" s="1285"/>
    </row>
    <row r="44" spans="1:6" ht="14.25" customHeight="1" x14ac:dyDescent="0.2">
      <c r="A44" s="328"/>
      <c r="B44" s="328"/>
      <c r="C44" s="1928" t="s">
        <v>1516</v>
      </c>
      <c r="D44" s="1926"/>
      <c r="E44" s="1285"/>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5" t="s">
        <v>1672</v>
      </c>
      <c r="C49" s="2455"/>
      <c r="D49" s="2455"/>
      <c r="E49" s="1398"/>
    </row>
    <row r="50" spans="1:5" s="1299" customFormat="1" ht="3.75" customHeight="1" x14ac:dyDescent="0.2">
      <c r="A50" s="1298"/>
      <c r="B50" s="1868"/>
      <c r="C50" s="1868"/>
      <c r="D50" s="1868"/>
      <c r="E50" s="1398"/>
    </row>
    <row r="51" spans="1:5" s="1299" customFormat="1" ht="20.25" customHeight="1" x14ac:dyDescent="0.2">
      <c r="A51" s="1300">
        <v>6</v>
      </c>
      <c r="B51" s="2450" t="s">
        <v>1632</v>
      </c>
      <c r="C51" s="2450"/>
      <c r="D51" s="2450"/>
    </row>
    <row r="52" spans="1:5" ht="14.25" customHeight="1" x14ac:dyDescent="0.2">
      <c r="A52" s="1300"/>
      <c r="B52" s="2450"/>
      <c r="C52" s="2450"/>
      <c r="D52" s="245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4" zoomScaleNormal="100" workbookViewId="0">
      <selection activeCell="E15" sqref="E15"/>
    </sheetView>
  </sheetViews>
  <sheetFormatPr defaultColWidth="33.5703125" defaultRowHeight="12.75" x14ac:dyDescent="0.2"/>
  <cols>
    <col min="1" max="1" width="0.140625" style="317" customWidth="1"/>
    <col min="2" max="2" width="34.4257812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LEYDEN AREA SPECIAL EDUCATION COOPERATIVE</v>
      </c>
      <c r="C1" s="2463"/>
      <c r="D1" s="2463"/>
      <c r="E1" s="2463"/>
      <c r="F1" s="2463"/>
      <c r="G1" s="2463"/>
      <c r="H1" s="2463"/>
      <c r="I1" s="2463"/>
      <c r="J1" s="2463"/>
      <c r="K1" s="2463"/>
      <c r="L1" s="2463"/>
      <c r="M1" s="2463"/>
    </row>
    <row r="2" spans="2:14" ht="15" x14ac:dyDescent="0.2">
      <c r="B2" s="2460">
        <f>'Single Audit Cover'!E7</f>
        <v>6016083061</v>
      </c>
      <c r="C2" s="2460"/>
      <c r="D2" s="2460"/>
      <c r="E2" s="2460"/>
      <c r="F2" s="2460"/>
      <c r="G2" s="2460"/>
      <c r="H2" s="2460"/>
      <c r="I2" s="2460"/>
      <c r="J2" s="2460"/>
      <c r="K2" s="2460"/>
      <c r="L2" s="2460"/>
      <c r="M2" s="2460"/>
      <c r="N2" s="1301"/>
    </row>
    <row r="3" spans="2:14" ht="15" x14ac:dyDescent="0.2">
      <c r="B3" s="2464" t="s">
        <v>1281</v>
      </c>
      <c r="C3" s="2464"/>
      <c r="D3" s="2464"/>
      <c r="E3" s="2464"/>
      <c r="F3" s="2464"/>
      <c r="G3" s="2464"/>
      <c r="H3" s="2464"/>
      <c r="I3" s="2464"/>
      <c r="J3" s="2464"/>
      <c r="K3" s="2464"/>
      <c r="L3" s="2464"/>
      <c r="M3" s="2464"/>
      <c r="N3" s="1301"/>
    </row>
    <row r="4" spans="2:14" ht="15" x14ac:dyDescent="0.2">
      <c r="B4" s="2465" t="str">
        <f>'Single Audit Cover'!A4</f>
        <v>Year Ending June 30, 2018</v>
      </c>
      <c r="C4" s="2465"/>
      <c r="D4" s="2465"/>
      <c r="E4" s="2465"/>
      <c r="F4" s="2465"/>
      <c r="G4" s="2465"/>
      <c r="H4" s="2465"/>
      <c r="I4" s="2465"/>
      <c r="J4" s="2465"/>
      <c r="K4" s="2465"/>
      <c r="L4" s="2465"/>
      <c r="M4" s="2465"/>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t="s">
        <v>2105</v>
      </c>
      <c r="C12" s="1340"/>
      <c r="D12" s="1341"/>
      <c r="E12" s="1342"/>
      <c r="F12" s="1342"/>
      <c r="G12" s="1342"/>
      <c r="H12" s="1342"/>
      <c r="I12" s="1342"/>
      <c r="J12" s="1342"/>
      <c r="K12" s="1342"/>
      <c r="L12" s="1339">
        <f t="shared" ref="L12:L27" si="0">+G12+I12+K12</f>
        <v>0</v>
      </c>
      <c r="M12" s="1342"/>
    </row>
    <row r="13" spans="2:14" ht="20.100000000000001" customHeight="1" x14ac:dyDescent="0.2">
      <c r="B13" s="1336" t="s">
        <v>2106</v>
      </c>
      <c r="C13" s="1340"/>
      <c r="D13" s="1341"/>
      <c r="E13" s="1342"/>
      <c r="F13" s="1342"/>
      <c r="G13" s="1342"/>
      <c r="H13" s="1342"/>
      <c r="I13" s="1342"/>
      <c r="J13" s="1342"/>
      <c r="K13" s="1342"/>
      <c r="L13" s="1339">
        <f t="shared" si="0"/>
        <v>0</v>
      </c>
      <c r="M13" s="1342"/>
    </row>
    <row r="14" spans="2:14" ht="20.100000000000001" customHeight="1" x14ac:dyDescent="0.2">
      <c r="B14" s="1336" t="s">
        <v>2107</v>
      </c>
      <c r="C14" s="1340">
        <v>84.027000000000001</v>
      </c>
      <c r="D14" s="1341" t="s">
        <v>2115</v>
      </c>
      <c r="E14" s="1342"/>
      <c r="F14" s="1342">
        <v>3305124</v>
      </c>
      <c r="G14" s="1342"/>
      <c r="H14" s="1342"/>
      <c r="I14" s="1342">
        <v>3305124</v>
      </c>
      <c r="J14" s="1342">
        <v>1990051</v>
      </c>
      <c r="K14" s="1342"/>
      <c r="L14" s="1339">
        <f t="shared" si="0"/>
        <v>3305124</v>
      </c>
      <c r="M14" s="1342">
        <v>3381707</v>
      </c>
    </row>
    <row r="15" spans="2:14" ht="20.100000000000001" customHeight="1" x14ac:dyDescent="0.2">
      <c r="B15" s="1336" t="s">
        <v>2108</v>
      </c>
      <c r="C15" s="1340">
        <v>84.173000000000002</v>
      </c>
      <c r="D15" s="1341" t="s">
        <v>2116</v>
      </c>
      <c r="E15" s="1342"/>
      <c r="F15" s="1342">
        <v>100320</v>
      </c>
      <c r="G15" s="1342"/>
      <c r="H15" s="1342"/>
      <c r="I15" s="1342">
        <v>100320</v>
      </c>
      <c r="J15" s="1342">
        <v>48246</v>
      </c>
      <c r="K15" s="1342"/>
      <c r="L15" s="1339">
        <f t="shared" si="0"/>
        <v>100320</v>
      </c>
      <c r="M15" s="1342">
        <v>102001</v>
      </c>
    </row>
    <row r="16" spans="2:14" ht="20.100000000000001" customHeight="1" x14ac:dyDescent="0.2">
      <c r="B16" s="1336" t="s">
        <v>2109</v>
      </c>
      <c r="C16" s="1340"/>
      <c r="D16" s="1341"/>
      <c r="E16" s="1342"/>
      <c r="F16" s="1342">
        <v>3405444</v>
      </c>
      <c r="G16" s="1342"/>
      <c r="H16" s="1342"/>
      <c r="I16" s="1342">
        <v>3405444</v>
      </c>
      <c r="J16" s="1342">
        <v>2038297</v>
      </c>
      <c r="K16" s="1342"/>
      <c r="L16" s="1339">
        <f t="shared" si="0"/>
        <v>3405444</v>
      </c>
      <c r="M16" s="1342">
        <v>3483708</v>
      </c>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t="s">
        <v>2110</v>
      </c>
      <c r="C18" s="1340"/>
      <c r="D18" s="1341"/>
      <c r="E18" s="1342"/>
      <c r="F18" s="1342"/>
      <c r="G18" s="1342"/>
      <c r="H18" s="1342"/>
      <c r="I18" s="1342"/>
      <c r="J18" s="1342"/>
      <c r="K18" s="1342"/>
      <c r="L18" s="1339">
        <f t="shared" si="0"/>
        <v>0</v>
      </c>
      <c r="M18" s="1342"/>
    </row>
    <row r="19" spans="2:14" ht="20.100000000000001" customHeight="1" x14ac:dyDescent="0.2">
      <c r="B19" s="1336" t="s">
        <v>2111</v>
      </c>
      <c r="C19" s="1340"/>
      <c r="D19" s="1341"/>
      <c r="E19" s="1342"/>
      <c r="F19" s="1342"/>
      <c r="G19" s="1342"/>
      <c r="H19" s="1342"/>
      <c r="I19" s="1342"/>
      <c r="J19" s="1342"/>
      <c r="K19" s="1342"/>
      <c r="L19" s="1339">
        <f t="shared" si="0"/>
        <v>0</v>
      </c>
      <c r="M19" s="1342"/>
    </row>
    <row r="20" spans="2:14" ht="20.100000000000001" customHeight="1" x14ac:dyDescent="0.2">
      <c r="B20" s="1336" t="s">
        <v>2112</v>
      </c>
      <c r="C20" s="1340"/>
      <c r="D20" s="1341"/>
      <c r="E20" s="1342"/>
      <c r="F20" s="1342"/>
      <c r="G20" s="1342"/>
      <c r="H20" s="1342"/>
      <c r="I20" s="1342"/>
      <c r="J20" s="1342"/>
      <c r="K20" s="1342"/>
      <c r="L20" s="1339">
        <f t="shared" si="0"/>
        <v>0</v>
      </c>
      <c r="M20" s="1342"/>
    </row>
    <row r="21" spans="2:14" ht="20.100000000000001" customHeight="1" x14ac:dyDescent="0.2">
      <c r="B21" s="1336" t="s">
        <v>2113</v>
      </c>
      <c r="C21" s="1340">
        <v>93.778000000000006</v>
      </c>
      <c r="D21" s="1341" t="s">
        <v>2117</v>
      </c>
      <c r="E21" s="1342"/>
      <c r="F21" s="1342">
        <v>67044</v>
      </c>
      <c r="G21" s="1342"/>
      <c r="H21" s="1342"/>
      <c r="I21" s="1342">
        <v>67044</v>
      </c>
      <c r="J21" s="1342">
        <v>0</v>
      </c>
      <c r="K21" s="1342"/>
      <c r="L21" s="1339">
        <f t="shared" si="0"/>
        <v>67044</v>
      </c>
      <c r="M21" s="1342" t="s">
        <v>2097</v>
      </c>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t="s">
        <v>2114</v>
      </c>
      <c r="C23" s="1340"/>
      <c r="D23" s="1341"/>
      <c r="E23" s="1342"/>
      <c r="F23" s="1342">
        <v>3472488</v>
      </c>
      <c r="G23" s="1342"/>
      <c r="H23" s="1342"/>
      <c r="I23" s="1342">
        <v>3472488</v>
      </c>
      <c r="J23" s="1342">
        <v>2038297</v>
      </c>
      <c r="K23" s="1342"/>
      <c r="L23" s="1339">
        <f t="shared" si="0"/>
        <v>3472488</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1" t="s">
        <v>1838</v>
      </c>
      <c r="C30" s="1348"/>
      <c r="D30" s="1349"/>
      <c r="E30" s="1257"/>
      <c r="F30" s="1257"/>
      <c r="G30" s="1250"/>
      <c r="H30" s="1250"/>
      <c r="I30" s="1250"/>
      <c r="J30" s="1250"/>
      <c r="K30" s="1250"/>
      <c r="L30" s="1250"/>
      <c r="M30" s="1257"/>
      <c r="N30" s="1343"/>
    </row>
    <row r="31" spans="2:14" ht="8.25" customHeight="1" x14ac:dyDescent="0.2">
      <c r="B31" s="1281"/>
      <c r="C31" s="1348"/>
      <c r="D31" s="1349"/>
      <c r="E31" s="1257"/>
      <c r="F31" s="1257"/>
      <c r="G31" s="1250"/>
      <c r="H31" s="1250"/>
      <c r="I31" s="1250"/>
      <c r="J31" s="1250"/>
      <c r="K31" s="1250"/>
      <c r="L31" s="1250"/>
      <c r="M31" s="1257"/>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4" zoomScale="110" zoomScaleNormal="110" workbookViewId="0">
      <selection activeCell="M45" sqref="M45"/>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LEYDEN AREA SPECIAL EDUCATION COOPERATIVE</v>
      </c>
      <c r="C1" s="2478"/>
      <c r="D1" s="2478"/>
      <c r="E1" s="2478"/>
      <c r="F1" s="2478"/>
      <c r="G1" s="2478"/>
      <c r="H1" s="2478"/>
      <c r="I1" s="2478"/>
      <c r="J1" s="1421"/>
    </row>
    <row r="2" spans="2:10" s="317" customFormat="1" ht="12.75" customHeight="1" x14ac:dyDescent="0.2">
      <c r="B2" s="2479">
        <f>'Single Audit Cover'!E7</f>
        <v>6016083061</v>
      </c>
      <c r="C2" s="2480"/>
      <c r="D2" s="2480"/>
      <c r="E2" s="2480"/>
      <c r="F2" s="2480"/>
      <c r="G2" s="2480"/>
      <c r="H2" s="2480"/>
      <c r="I2" s="2480"/>
      <c r="J2" s="1421"/>
    </row>
    <row r="3" spans="2:10" s="317" customFormat="1" ht="12.75" customHeight="1" x14ac:dyDescent="0.2">
      <c r="B3" s="2481" t="s">
        <v>1347</v>
      </c>
      <c r="C3" s="2482"/>
      <c r="D3" s="2482"/>
      <c r="E3" s="2482"/>
      <c r="F3" s="2482"/>
      <c r="G3" s="2482"/>
      <c r="H3" s="2482"/>
      <c r="I3" s="2482"/>
      <c r="J3" s="1422"/>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1" t="s">
        <v>1346</v>
      </c>
      <c r="C7" s="2482"/>
      <c r="D7" s="2482"/>
      <c r="E7" s="2482"/>
      <c r="F7" s="2482"/>
      <c r="G7" s="2482"/>
      <c r="H7" s="2482"/>
      <c r="I7" s="248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8"/>
    </row>
    <row r="11" spans="2:10" s="317" customFormat="1" ht="13.5" customHeight="1" x14ac:dyDescent="0.2">
      <c r="B11" s="1348" t="s">
        <v>1344</v>
      </c>
      <c r="C11" s="2483" t="s">
        <v>2094</v>
      </c>
      <c r="D11" s="2483"/>
      <c r="E11" s="1431"/>
      <c r="F11" s="1431"/>
      <c r="G11" s="1431"/>
    </row>
    <row r="12" spans="2:10" s="317" customFormat="1" ht="11.45" customHeight="1" x14ac:dyDescent="0.2">
      <c r="B12" s="1356"/>
      <c r="C12" s="1432" t="s">
        <v>1517</v>
      </c>
      <c r="D12" s="1433"/>
      <c r="E12" s="1258"/>
    </row>
    <row r="13" spans="2:10" s="317" customFormat="1" ht="12.75" customHeight="1" x14ac:dyDescent="0.2">
      <c r="B13" s="1434"/>
      <c r="C13" s="1386"/>
      <c r="D13" s="1386"/>
      <c r="E13" s="1258"/>
    </row>
    <row r="14" spans="2:10" s="317" customFormat="1" ht="12.75" customHeight="1" x14ac:dyDescent="0.2">
      <c r="B14" s="1367" t="s">
        <v>1343</v>
      </c>
      <c r="C14" s="1281"/>
      <c r="E14" s="1258"/>
    </row>
    <row r="15" spans="2:10" s="317" customFormat="1" ht="13.5" customHeight="1" x14ac:dyDescent="0.2">
      <c r="B15" s="1435" t="s">
        <v>1340</v>
      </c>
      <c r="C15" s="1436"/>
      <c r="D15" s="1397"/>
      <c r="E15" s="1437"/>
      <c r="F15" s="1299" t="s">
        <v>940</v>
      </c>
      <c r="G15" s="1437" t="s">
        <v>2081</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7"/>
      <c r="G17" s="1438"/>
      <c r="H17" s="1299"/>
      <c r="I17" s="1299"/>
    </row>
    <row r="18" spans="2:9" s="317" customFormat="1" ht="12.75" customHeight="1" x14ac:dyDescent="0.2">
      <c r="B18" s="1435" t="s">
        <v>1518</v>
      </c>
      <c r="C18" s="1436"/>
      <c r="D18" s="1397"/>
      <c r="E18" s="1437"/>
      <c r="F18" s="1299" t="s">
        <v>940</v>
      </c>
      <c r="G18" s="1437" t="s">
        <v>2081</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2081</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2081</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7"/>
      <c r="G26" s="1438"/>
      <c r="H26" s="1299"/>
      <c r="I26" s="1299"/>
    </row>
    <row r="27" spans="2:9" s="317" customFormat="1" ht="12.75" customHeight="1" x14ac:dyDescent="0.2">
      <c r="B27" s="1435" t="s">
        <v>1518</v>
      </c>
      <c r="C27" s="1436"/>
      <c r="D27" s="1397"/>
      <c r="E27" s="1437"/>
      <c r="F27" s="1299" t="s">
        <v>940</v>
      </c>
      <c r="G27" s="1437" t="s">
        <v>2081</v>
      </c>
      <c r="H27" s="1299" t="s">
        <v>1338</v>
      </c>
      <c r="I27" s="1299"/>
    </row>
    <row r="28" spans="2:9" s="317" customFormat="1" ht="12.75" customHeight="1" x14ac:dyDescent="0.2">
      <c r="B28" s="1367"/>
      <c r="C28" s="1281"/>
      <c r="E28" s="1258"/>
    </row>
    <row r="29" spans="2:9" s="317" customFormat="1" ht="12.75" customHeight="1" x14ac:dyDescent="0.2">
      <c r="B29" s="1367" t="s">
        <v>1337</v>
      </c>
      <c r="C29" s="1281"/>
      <c r="D29" s="2484"/>
      <c r="E29" s="2484"/>
      <c r="F29" s="2484"/>
      <c r="G29" s="2484"/>
      <c r="H29" s="2484"/>
      <c r="I29" s="2484"/>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8"/>
    </row>
    <row r="32" spans="2:9" s="317" customFormat="1" x14ac:dyDescent="0.2">
      <c r="B32" s="1367" t="s">
        <v>1336</v>
      </c>
      <c r="C32" s="1281"/>
      <c r="E32" s="1258"/>
    </row>
    <row r="33" spans="2:9" ht="13.5" customHeight="1" x14ac:dyDescent="0.2">
      <c r="B33" s="1367" t="s">
        <v>1633</v>
      </c>
      <c r="C33" s="1281"/>
      <c r="E33" s="1437"/>
      <c r="F33" s="1299" t="s">
        <v>940</v>
      </c>
      <c r="G33" s="1437" t="s">
        <v>2081</v>
      </c>
      <c r="H33" s="1299" t="s">
        <v>101</v>
      </c>
    </row>
    <row r="35" spans="2:9" x14ac:dyDescent="0.2">
      <c r="B35" s="1440" t="s">
        <v>1850</v>
      </c>
      <c r="C35" s="1441"/>
      <c r="D35" s="1267"/>
    </row>
    <row r="36" spans="2:9" ht="6" customHeight="1" x14ac:dyDescent="0.2">
      <c r="B36" s="1440"/>
      <c r="C36" s="1441"/>
      <c r="D36" s="1267"/>
    </row>
    <row r="37" spans="2:9" ht="17.25" customHeight="1" x14ac:dyDescent="0.2">
      <c r="B37" s="1442" t="s">
        <v>1851</v>
      </c>
      <c r="C37" s="2485" t="s">
        <v>1852</v>
      </c>
      <c r="D37" s="2486"/>
      <c r="E37" s="2486"/>
      <c r="F37" s="2487"/>
      <c r="G37" s="2485" t="s">
        <v>1674</v>
      </c>
      <c r="H37" s="2486"/>
      <c r="I37" s="2487"/>
    </row>
    <row r="38" spans="2:9" ht="16.5" customHeight="1" x14ac:dyDescent="0.2">
      <c r="B38" s="1443">
        <v>84.027000000000001</v>
      </c>
      <c r="C38" s="2473" t="s">
        <v>2095</v>
      </c>
      <c r="D38" s="2474"/>
      <c r="E38" s="2474"/>
      <c r="F38" s="2475"/>
      <c r="G38" s="2488">
        <v>3305124</v>
      </c>
      <c r="H38" s="2489"/>
      <c r="I38" s="2490"/>
    </row>
    <row r="39" spans="2:9" ht="16.5" customHeight="1" x14ac:dyDescent="0.2">
      <c r="B39" s="1443">
        <v>84.173000000000002</v>
      </c>
      <c r="C39" s="2473" t="s">
        <v>2096</v>
      </c>
      <c r="D39" s="2474"/>
      <c r="E39" s="2474"/>
      <c r="F39" s="2475"/>
      <c r="G39" s="2476">
        <v>100320</v>
      </c>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66" t="s">
        <v>1675</v>
      </c>
      <c r="D43" s="2467"/>
      <c r="E43" s="2467"/>
      <c r="F43" s="2468"/>
      <c r="G43" s="2469">
        <f>SUM(G38:I42)</f>
        <v>3405444</v>
      </c>
      <c r="H43" s="2469"/>
      <c r="I43" s="2469"/>
    </row>
    <row r="44" spans="2:9" ht="12.75" customHeight="1" x14ac:dyDescent="0.2"/>
    <row r="45" spans="2:9" ht="12.75" customHeight="1" x14ac:dyDescent="0.2">
      <c r="B45" s="1434" t="s">
        <v>1950</v>
      </c>
      <c r="D45" s="2470">
        <f>+' SEFA'!I23</f>
        <v>3472488</v>
      </c>
      <c r="E45" s="2471"/>
    </row>
    <row r="46" spans="2:9" ht="5.25" customHeight="1" x14ac:dyDescent="0.2">
      <c r="B46" s="1444"/>
      <c r="D46" s="1445"/>
      <c r="E46" s="1446"/>
    </row>
    <row r="47" spans="2:9" ht="12.75" customHeight="1" x14ac:dyDescent="0.2">
      <c r="B47" s="1299" t="s">
        <v>1676</v>
      </c>
      <c r="C47" s="1299"/>
      <c r="D47" s="1447">
        <f>+G43/D45</f>
        <v>0.98069280584986906</v>
      </c>
      <c r="E47" s="1448"/>
      <c r="F47" s="1449"/>
      <c r="I47" s="1450"/>
    </row>
    <row r="48" spans="2:9" ht="9.9499999999999993" customHeight="1" x14ac:dyDescent="0.2"/>
    <row r="49" spans="1:9" x14ac:dyDescent="0.2">
      <c r="B49" s="1367" t="s">
        <v>1335</v>
      </c>
      <c r="C49" s="1281"/>
      <c r="D49" s="1281"/>
      <c r="E49" s="2472">
        <v>750000</v>
      </c>
      <c r="F49" s="2472"/>
      <c r="G49" s="2472"/>
      <c r="H49" s="322"/>
    </row>
    <row r="51" spans="1:9" ht="13.5" customHeight="1" x14ac:dyDescent="0.2">
      <c r="B51" s="1367" t="s">
        <v>1334</v>
      </c>
      <c r="C51" s="1281"/>
      <c r="E51" s="1437" t="s">
        <v>2081</v>
      </c>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1679</v>
      </c>
      <c r="C63" s="1457"/>
      <c r="D63" s="145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E15" sqref="E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LEYDEN AREA SPECIAL EDUCATION COOPERATIVE</v>
      </c>
      <c r="C1" s="2477"/>
      <c r="D1" s="2477"/>
      <c r="E1" s="2477"/>
      <c r="F1" s="2477"/>
      <c r="G1" s="2477"/>
      <c r="H1" s="2477"/>
      <c r="I1" s="2477"/>
      <c r="J1" s="2477"/>
      <c r="K1" s="2477"/>
      <c r="L1" s="1373"/>
      <c r="M1" s="1373"/>
    </row>
    <row r="2" spans="1:13" ht="12" customHeight="1" x14ac:dyDescent="0.2">
      <c r="B2" s="2479">
        <f>'Single Audit Cover'!E7</f>
        <v>6016083061</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376"/>
      <c r="M3" s="137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1"/>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t="s">
        <v>2097</v>
      </c>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2"/>
      <c r="C14" s="2492"/>
      <c r="D14" s="2492"/>
      <c r="E14" s="2492"/>
      <c r="F14" s="2492"/>
      <c r="G14" s="2492"/>
      <c r="H14" s="2492"/>
      <c r="I14" s="2492"/>
      <c r="J14" s="2492"/>
      <c r="K14" s="249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2"/>
      <c r="C17" s="2492"/>
      <c r="D17" s="2492"/>
      <c r="E17" s="2492"/>
      <c r="F17" s="2492"/>
      <c r="G17" s="2492"/>
      <c r="H17" s="2492"/>
      <c r="I17" s="2492"/>
      <c r="J17" s="2492"/>
      <c r="K17" s="2492"/>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496"/>
      <c r="C20" s="2496"/>
      <c r="D20" s="2492"/>
      <c r="E20" s="2492"/>
      <c r="F20" s="2492"/>
      <c r="G20" s="2492"/>
      <c r="H20" s="2492"/>
      <c r="I20" s="2492"/>
      <c r="J20" s="2492"/>
      <c r="K20" s="249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c r="C29" s="2491"/>
      <c r="D29" s="2492"/>
      <c r="E29" s="2492"/>
      <c r="F29" s="2492"/>
      <c r="G29" s="2492"/>
      <c r="H29" s="2492"/>
      <c r="I29" s="2492"/>
      <c r="J29" s="2492"/>
      <c r="K29" s="249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1"/>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E15" sqref="E1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LEYDEN AREA SPECIAL EDUCATION COOPERATIVE</v>
      </c>
      <c r="C1" s="2500"/>
      <c r="D1" s="2500"/>
      <c r="E1" s="2500"/>
      <c r="F1" s="2500"/>
      <c r="G1" s="2500"/>
      <c r="H1" s="2500"/>
      <c r="I1" s="2500"/>
      <c r="J1" s="2500"/>
      <c r="K1" s="2500"/>
      <c r="L1" s="1464"/>
    </row>
    <row r="2" spans="1:12" ht="12.75" customHeight="1" x14ac:dyDescent="0.2">
      <c r="B2" s="2501">
        <f>'Single Audit Cover'!E7</f>
        <v>6016083061</v>
      </c>
      <c r="C2" s="2501"/>
      <c r="D2" s="2501"/>
      <c r="E2" s="2501"/>
      <c r="F2" s="2501"/>
      <c r="G2" s="2501"/>
      <c r="H2" s="2501"/>
      <c r="I2" s="2501"/>
      <c r="J2" s="2501"/>
      <c r="K2" s="2501"/>
      <c r="L2" s="1465"/>
    </row>
    <row r="3" spans="1:12" ht="12.75" customHeight="1" x14ac:dyDescent="0.2">
      <c r="B3" s="2493" t="s">
        <v>1347</v>
      </c>
      <c r="C3" s="2493"/>
      <c r="D3" s="2493"/>
      <c r="E3" s="2493"/>
      <c r="F3" s="2493"/>
      <c r="G3" s="2493"/>
      <c r="H3" s="2493"/>
      <c r="I3" s="2493"/>
      <c r="J3" s="2493"/>
      <c r="K3" s="2493"/>
      <c r="L3" s="1376"/>
    </row>
    <row r="4" spans="1:12" ht="12.75" customHeight="1" x14ac:dyDescent="0.2">
      <c r="B4" s="2493" t="str">
        <f>'Single Audit Cover'!A4</f>
        <v>Year Ending June 30, 2018</v>
      </c>
      <c r="C4" s="2493"/>
      <c r="D4" s="2493"/>
      <c r="E4" s="2493"/>
      <c r="F4" s="2493"/>
      <c r="G4" s="2493"/>
      <c r="H4" s="2493"/>
      <c r="I4" s="2493"/>
      <c r="J4" s="2493"/>
      <c r="K4" s="2493"/>
      <c r="L4" s="1376"/>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6" t="s">
        <v>1951</v>
      </c>
      <c r="D8" s="1467" t="s">
        <v>2097</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4"/>
      <c r="G12" s="2484"/>
      <c r="H12" s="2484"/>
      <c r="I12" s="2484"/>
      <c r="J12" s="2484"/>
      <c r="K12" s="2484"/>
      <c r="L12" s="322"/>
    </row>
    <row r="13" spans="1:12" ht="9.6" customHeight="1" x14ac:dyDescent="0.2">
      <c r="B13" s="1257"/>
      <c r="C13" s="1257"/>
      <c r="D13" s="304"/>
      <c r="E13" s="322"/>
      <c r="F13" s="322"/>
      <c r="G13" s="1382"/>
      <c r="H13" s="322"/>
      <c r="I13" s="1382"/>
      <c r="J13" s="322"/>
      <c r="K13" s="1431"/>
      <c r="L13" s="322"/>
    </row>
    <row r="14" spans="1:12" ht="13.5" customHeight="1" x14ac:dyDescent="0.2">
      <c r="B14" s="1386" t="s">
        <v>1371</v>
      </c>
      <c r="C14" s="1386"/>
      <c r="D14" s="2497"/>
      <c r="E14" s="2497"/>
      <c r="F14" s="2497"/>
      <c r="H14" s="1474" t="s">
        <v>1370</v>
      </c>
      <c r="I14" s="2498"/>
      <c r="J14" s="2498"/>
      <c r="K14" s="2498"/>
      <c r="L14" s="322"/>
    </row>
    <row r="15" spans="1:12" ht="9.4" customHeight="1" x14ac:dyDescent="0.2">
      <c r="B15" s="1386"/>
      <c r="C15" s="1386"/>
      <c r="D15" s="1372"/>
      <c r="E15" s="1260"/>
      <c r="F15" s="1260"/>
      <c r="G15" s="1285"/>
      <c r="H15" s="1260"/>
      <c r="I15" s="1475"/>
      <c r="J15" s="1293"/>
      <c r="K15" s="1290"/>
      <c r="L15" s="322"/>
    </row>
    <row r="16" spans="1:12" ht="13.5" customHeight="1" x14ac:dyDescent="0.2">
      <c r="B16" s="1386" t="s">
        <v>1369</v>
      </c>
      <c r="C16" s="1386"/>
      <c r="D16" s="2498"/>
      <c r="E16" s="2498"/>
      <c r="F16" s="2498"/>
      <c r="G16" s="2498"/>
      <c r="H16" s="2498"/>
      <c r="I16" s="2498"/>
      <c r="J16" s="2498"/>
      <c r="K16" s="2498"/>
      <c r="L16" s="322"/>
    </row>
    <row r="17" spans="2:12" ht="13.5" customHeight="1" x14ac:dyDescent="0.2">
      <c r="B17" s="1386" t="s">
        <v>1368</v>
      </c>
      <c r="C17" s="1386"/>
      <c r="D17" s="2499"/>
      <c r="E17" s="2499"/>
      <c r="F17" s="2499"/>
      <c r="G17" s="2499"/>
      <c r="H17" s="2499"/>
      <c r="I17" s="2499"/>
      <c r="J17" s="2499"/>
      <c r="K17" s="249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2"/>
      <c r="C20" s="2492"/>
      <c r="D20" s="2492"/>
      <c r="E20" s="2492"/>
      <c r="F20" s="2492"/>
      <c r="G20" s="2492"/>
      <c r="H20" s="2492"/>
      <c r="I20" s="2492"/>
      <c r="J20" s="2492"/>
      <c r="K20" s="249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2"/>
      <c r="E22" s="322"/>
      <c r="F22" s="322"/>
      <c r="G22" s="1382"/>
      <c r="H22" s="322"/>
      <c r="I22" s="1382"/>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1859</v>
      </c>
      <c r="C25" s="1476"/>
      <c r="D25" s="322"/>
      <c r="E25" s="322"/>
      <c r="F25" s="322"/>
      <c r="G25" s="1382"/>
      <c r="H25" s="322"/>
      <c r="I25" s="1382"/>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1860</v>
      </c>
      <c r="C28" s="1476"/>
      <c r="D28" s="322"/>
      <c r="E28" s="322"/>
      <c r="F28" s="322"/>
      <c r="G28" s="1382"/>
      <c r="H28" s="322"/>
      <c r="I28" s="1382"/>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E15" sqref="E1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7" t="str">
        <f>'Single Audit Cover'!A7</f>
        <v>LEYDEN AREA SPECIAL EDUCATION COOPERATIVE</v>
      </c>
      <c r="C1" s="2477"/>
      <c r="D1" s="2477"/>
      <c r="E1" s="1490"/>
    </row>
    <row r="2" spans="2:5" s="1281" customFormat="1" ht="12.75" customHeight="1" x14ac:dyDescent="0.2">
      <c r="B2" s="2479">
        <f>'Single Audit Cover'!E7</f>
        <v>6016083061</v>
      </c>
      <c r="C2" s="2479"/>
      <c r="D2" s="2479"/>
      <c r="E2" s="1491"/>
    </row>
    <row r="3" spans="2:5" ht="12.75" customHeight="1" x14ac:dyDescent="0.2">
      <c r="B3" s="2493" t="s">
        <v>1867</v>
      </c>
      <c r="C3" s="2493"/>
      <c r="D3" s="2493"/>
      <c r="E3" s="1273"/>
    </row>
    <row r="4" spans="2:5" s="1281" customFormat="1" ht="12.75" customHeight="1" x14ac:dyDescent="0.2">
      <c r="B4" s="2503" t="str">
        <f>'Single Audit Cover'!A4</f>
        <v>Year Ending June 30, 2018</v>
      </c>
      <c r="C4" s="2503"/>
      <c r="D4" s="2503"/>
      <c r="E4" s="1492"/>
    </row>
    <row r="5" spans="2:5" s="1281" customFormat="1" ht="40.15" customHeight="1" x14ac:dyDescent="0.2">
      <c r="B5" s="1493" t="s">
        <v>1868</v>
      </c>
      <c r="C5" s="328"/>
      <c r="D5" s="328"/>
      <c r="E5" s="328"/>
    </row>
    <row r="6" spans="2:5" s="1281" customFormat="1" ht="13.5" customHeight="1" x14ac:dyDescent="0.2">
      <c r="B6" s="1494" t="s">
        <v>1382</v>
      </c>
      <c r="C6" s="1494" t="s">
        <v>1381</v>
      </c>
      <c r="D6" s="1494" t="s">
        <v>1869</v>
      </c>
    </row>
    <row r="7" spans="2:5" ht="13.5" customHeight="1" x14ac:dyDescent="0.2">
      <c r="B7" s="1495" t="s">
        <v>2097</v>
      </c>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1870</v>
      </c>
    </row>
    <row r="46" spans="2:5" ht="12.2" customHeight="1" x14ac:dyDescent="0.2">
      <c r="B46" s="1504" t="s">
        <v>1871</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purl.org/dc/terms/"/>
    <ds:schemaRef ds:uri="http://www.w3.org/XML/1998/namespace"/>
    <ds:schemaRef ds:uri="http://schemas.microsoft.com/office/2006/documentManagement/types"/>
    <ds:schemaRef ds:uri="4d435f69-8686-490b-bd6d-b153bf22ab50"/>
    <ds:schemaRef ds:uri="http://purl.org/dc/elements/1.1/"/>
    <ds:schemaRef ds:uri="http://schemas.openxmlformats.org/package/2006/metadata/core-properties"/>
    <ds:schemaRef ds:uri="http://purl.org/dc/dcmitype/"/>
    <ds:schemaRef ds:uri="6ce3111e-7420-4802-b50a-75d4e9a0b980"/>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'ICR Computation 30'!Print_Area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2018-12-04T15:35:12Z</cp:lastPrinted>
  <dcterms:created xsi:type="dcterms:W3CDTF">2003-10-29T19:06:34Z</dcterms:created>
  <dcterms:modified xsi:type="dcterms:W3CDTF">2019-01-08T19:04:50Z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