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74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1" i="34"/>
  <c r="F130" i="34"/>
  <c r="F128" i="34"/>
  <c r="F127" i="34"/>
  <c r="F111" i="34"/>
  <c r="B5847" i="106"/>
  <c r="D5847" i="106" s="1"/>
  <c r="B5752" i="106"/>
  <c r="D5752" i="106" s="1"/>
  <c r="B5599" i="106"/>
  <c r="D5599" i="106" s="1"/>
  <c r="K274" i="5"/>
  <c r="H173" i="5"/>
  <c r="B5906" i="106" s="1"/>
  <c r="D5906" i="106" s="1"/>
  <c r="H109" i="5"/>
  <c r="B6025" i="106" s="1"/>
  <c r="D6025" i="106" s="1"/>
  <c r="D109" i="5"/>
  <c r="B5356" i="106" s="1"/>
  <c r="D5356" i="106" s="1"/>
  <c r="D7" i="7"/>
  <c r="B1763" i="106" s="1"/>
  <c r="D1763" i="106" s="1"/>
  <c r="H4" i="4"/>
  <c r="D4" i="4"/>
  <c r="B2564" i="106" s="1"/>
  <c r="D2564" i="106" s="1"/>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D7245" i="106" l="1"/>
  <c r="I342" i="29"/>
  <c r="B7222" i="106" s="1"/>
  <c r="D7222" i="106" s="1"/>
  <c r="I173" i="5"/>
  <c r="B4216" i="106" s="1"/>
  <c r="D4216" i="106" s="1"/>
  <c r="F172" i="5"/>
  <c r="B5644" i="106" s="1"/>
  <c r="D5644" i="106" s="1"/>
  <c r="G109" i="5"/>
  <c r="C109" i="5"/>
  <c r="B5121" i="106" s="1"/>
  <c r="D5121" i="106" s="1"/>
  <c r="L342" i="29"/>
  <c r="L312" i="29"/>
  <c r="B6191" i="106"/>
  <c r="D6191" i="106" s="1"/>
  <c r="J41" i="3"/>
  <c r="B3649" i="106"/>
  <c r="D3649" i="106" s="1"/>
  <c r="G367" i="29"/>
  <c r="B3621" i="106"/>
  <c r="D3621" i="106" s="1"/>
  <c r="C367" i="29"/>
  <c r="K41" i="3"/>
  <c r="L15" i="11"/>
  <c r="B3459" i="106" s="1"/>
  <c r="D3459" i="106" s="1"/>
  <c r="K285" i="29"/>
  <c r="B1410" i="106"/>
  <c r="D1410" i="106" s="1"/>
  <c r="G210" i="29"/>
  <c r="B1329" i="106"/>
  <c r="D1329" i="106" s="1"/>
  <c r="F61" i="34"/>
  <c r="F136" i="34"/>
  <c r="K24" i="12"/>
  <c r="D6103" i="106"/>
  <c r="K76" i="4"/>
  <c r="B3586" i="106" s="1"/>
  <c r="D3586" i="106" s="1"/>
  <c r="C172" i="5"/>
  <c r="F106"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H367" i="29" l="1"/>
  <c r="B3660" i="106" s="1"/>
  <c r="D3660" i="106" s="1"/>
  <c r="B7733" i="106"/>
  <c r="D7733" i="106" s="1"/>
  <c r="K26" i="12"/>
  <c r="B7743" i="106" s="1"/>
  <c r="D7743" i="106" s="1"/>
  <c r="B1365" i="106"/>
  <c r="D1365" i="106" s="1"/>
  <c r="F65" i="34"/>
  <c r="F73" i="34"/>
  <c r="G15" i="4"/>
  <c r="B6032" i="106" s="1"/>
  <c r="D6032" i="106" s="1"/>
  <c r="B3568" i="106"/>
  <c r="D3568" i="106" s="1"/>
  <c r="D52" i="36"/>
  <c r="B6024" i="106"/>
  <c r="D6024" i="106" s="1"/>
  <c r="G4" i="4"/>
  <c r="B2603" i="106" s="1"/>
  <c r="D2603" i="106" s="1"/>
  <c r="L16" i="11"/>
  <c r="B2061" i="106" s="1"/>
  <c r="D2061" i="106" s="1"/>
  <c r="C114" i="29"/>
  <c r="B757" i="106" s="1"/>
  <c r="D757"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G41" i="108" l="1"/>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<sst xmlns="http://schemas.openxmlformats.org/spreadsheetml/2006/main" count="5017" uniqueCount="2095">
  <si>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</si>
  <si>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</si>
  <si>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</si>
  <si>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</si>
  <si>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</si>
  <si>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</si>
  <si>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</si>
  <si>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</si>
  <si>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</si>
  <si>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</si>
  <si>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</si>
  <si>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</si>
  <si>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</si>
  <si>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</si>
  <si>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</si>
  <si>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</si>
  <si>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</si>
  <si>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</si>
  <si>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</si>
  <si>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</si>
  <si>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</si>
  <si>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</si>
  <si>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</si>
  <si>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</si>
  <si>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</si>
  <si>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</si>
  <si>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</si>
  <si>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</si>
  <si>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</si>
  <si>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</si>
  <si>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</si>
  <si>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</si>
  <si>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</si>
  <si>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</si>
  <si>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</si>
  <si>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</si>
  <si>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</si>
  <si>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</si>
  <si>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</si>
  <si>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</si>
  <si>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</si>
  <si>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</si>
  <si>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</si>
  <si>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</si>
  <si>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</si>
  <si>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</si>
  <si>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</si>
  <si>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</si>
  <si>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</si>
  <si>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</si>
  <si>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</si>
  <si>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</si>
  <si>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</si>
  <si>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</si>
  <si>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</si>
  <si>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</si>
  <si>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</si>
  <si>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</si>
  <si>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</si>
  <si>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</si>
  <si>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</si>
  <si>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</si>
  <si>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</si>
  <si>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</si>
  <si>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</si>
  <si>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</si>
  <si>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</si>
  <si>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</si>
  <si>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</si>
  <si>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</si>
  <si>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</si>
  <si>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</si>
  <si>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</si>
  <si>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</si>
  <si>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</si>
  <si>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</si>
  <si>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</si>
  <si>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</si>
  <si>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</si>
  <si>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</si>
  <si>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</si>
  <si>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</si>
  <si>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</si>
  <si>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</si>
  <si>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</si>
  <si>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</si>
  <si>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</si>
  <si>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</si>
  <si>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</si>
  <si>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</si>
  <si>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</si>
  <si>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</si>
  <si>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</si>
  <si>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</si>
  <si>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</si>
  <si>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</si>
  <si>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</si>
  <si>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</si>
  <si>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</si>
  <si>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</si>
  <si>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</si>
  <si>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</si>
  <si>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</si>
  <si>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</si>
  <si>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</si>
  <si>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</si>
  <si>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</si>
  <si>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</si>
  <si>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</si>
  <si>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</si>
  <si>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</si>
  <si>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</si>
  <si>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</si>
  <si>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</si>
  <si>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</si>
  <si>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</si>
  <si>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</si>
  <si>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</si>
  <si>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</si>
  <si>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</si>
  <si>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</si>
  <si>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</si>
  <si>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</si>
  <si>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</si>
  <si>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</si>
  <si>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</si>
  <si>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</si>
  <si>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</si>
  <si>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</si>
  <si>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</si>
  <si>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</si>
  <si>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</si>
  <si>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</si>
  <si>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</si>
  <si>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</si>
  <si>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</si>
  <si>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</si>
  <si>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</si>
  <si>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</si>
  <si>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</si>
  <si>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</si>
  <si>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</si>
  <si>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</si>
  <si>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</si>
  <si>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</si>
  <si>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</si>
  <si>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</si>
  <si>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</si>
  <si>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</si>
  <si>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</si>
  <si>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</si>
  <si>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</si>
  <si>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</si>
  <si>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</si>
  <si>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</si>
  <si>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</si>
  <si>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</si>
  <si>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</si>
  <si>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</si>
  <si>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</si>
  <si>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</si>
  <si>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</si>
  <si>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</si>
  <si>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</si>
  <si>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</si>
  <si>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</si>
  <si>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</si>
  <si>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</si>
  <si>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</si>
  <si>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</si>
  <si>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</si>
  <si>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</si>
  <si>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</si>
  <si>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</si>
  <si>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</si>
  <si>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</si>
  <si>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</si>
  <si>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</si>
  <si>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</si>
  <si>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</si>
  <si>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</si>
  <si>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</si>
  <si>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</si>
  <si>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</si>
  <si>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</si>
  <si>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</si>
  <si>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</si>
  <si>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</si>
  <si>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</si>
  <si>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</si>
  <si>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</si>
  <si>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</si>
  <si>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</si>
  <si>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</si>
  <si>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</si>
  <si>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</si>
  <si>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</si>
  <si>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</si>
  <si>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</si>
  <si>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</si>
  <si>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</si>
  <si>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</si>
  <si>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</si>
  <si>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</si>
  <si>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</si>
  <si>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</si>
  <si>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</si>
  <si>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</si>
  <si>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</si>
  <si>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</si>
  <si>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</si>
  <si>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</si>
  <si>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</si>
  <si>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</si>
  <si>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</si>
  <si>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</si>
  <si>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</si>
  <si>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</si>
  <si>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</si>
  <si>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</si>
  <si>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</si>
  <si>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</si>
  <si>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</si>
  <si>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</si>
  <si>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</si>
  <si>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</si>
  <si>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</si>
  <si>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</si>
  <si>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</si>
  <si>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</si>
  <si>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</si>
  <si>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</si>
  <si>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</si>
  <si>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</si>
  <si>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</si>
  <si>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</si>
  <si>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</si>
  <si>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</si>
  <si>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</si>
  <si>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</si>
  <si>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</si>
  <si>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</si>
  <si>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</si>
  <si>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</si>
  <si>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</si>
  <si>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</si>
  <si>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</si>
  <si>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</si>
  <si>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</si>
  <si>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</si>
  <si>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</si>
  <si>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</si>
  <si>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</si>
  <si>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</si>
  <si>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</si>
  <si>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</si>
  <si>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</si>
  <si>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</si>
  <si>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</si>
  <si>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</si>
  <si>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</si>
  <si>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</si>
  <si>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</si>
  <si>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</si>
  <si>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</si>
  <si>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</si>
  <si>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</si>
  <si>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</si>
  <si>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</si>
  <si>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</si>
  <si>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</si>
  <si>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</si>
  <si>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</si>
  <si>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</si>
  <si>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</si>
  <si>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</si>
  <si>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</si>
  <si>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</si>
  <si>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</si>
  <si>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</si>
  <si>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</si>
  <si>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</si>
  <si>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</si>
  <si>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</si>
  <si>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</si>
  <si>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</si>
  <si>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</si>
  <si>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</si>
  <si>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</si>
  <si>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</si>
  <si>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</si>
  <si>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</si>
  <si>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</si>
  <si>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</si>
  <si>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</si>
  <si>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</si>
  <si>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</si>
  <si>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</si>
  <si>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</si>
  <si>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</si>
  <si>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</si>
  <si>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</si>
  <si>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</si>
  <si>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</si>
  <si>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</si>
  <si>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</si>
  <si>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</si>
  <si>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</si>
  <si>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</si>
  <si>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</si>
  <si>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</si>
  <si>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</si>
  <si>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</si>
  <si>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</si>
  <si>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</si>
  <si>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</si>
  <si>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</si>
  <si>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</si>
  <si>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</si>
  <si>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</si>
  <si>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</si>
  <si>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</si>
  <si>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</si>
  <si>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</si>
  <si>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</si>
  <si>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</si>
  <si>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</si>
  <si>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</si>
  <si>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</si>
  <si>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</si>
  <si>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</si>
  <si>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</si>
  <si>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</si>
  <si>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</si>
  <si>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</si>
  <si>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</si>
  <si>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</si>
  <si>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</si>
  <si>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</si>
  <si>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</si>
  <si>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</si>
  <si>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</si>
  <si>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</si>
  <si>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</si>
  <si>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</si>
  <si>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</si>
  <si>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</si>
  <si>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</si>
  <si>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</si>
  <si>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</si>
  <si>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</si>
  <si>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</si>
  <si>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</si>
  <si>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</si>
  <si>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</si>
  <si>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</si>
  <si>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</si>
  <si>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</si>
  <si>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</si>
  <si>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</si>
  <si>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</si>
  <si>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</si>
  <si>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</si>
  <si>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</si>
  <si>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</si>
  <si>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</si>
  <si>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</si>
  <si>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</si>
  <si>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</si>
  <si>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</si>
  <si>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</si>
  <si>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</si>
  <si>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</si>
  <si>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</si>
  <si>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</si>
  <si>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</si>
  <si>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</si>
  <si>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</si>
  <si>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</si>
  <si>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</si>
  <si>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</si>
  <si>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</si>
  <si>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</si>
  <si>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</si>
  <si>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</si>
  <si>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</si>
  <si>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</si>
  <si>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</si>
  <si>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</si>
  <si>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</si>
  <si>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</si>
  <si>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</si>
  <si>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</si>
  <si>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</si>
  <si>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</si>
  <si>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</si>
  <si>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</si>
  <si>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</si>
  <si>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</si>
  <si>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</si>
  <si>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</si>
  <si>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</si>
  <si>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</si>
  <si>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</si>
  <si>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</si>
  <si>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</si>
  <si>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</si>
  <si>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</si>
  <si>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</si>
  <si>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</si>
  <si>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</si>
  <si>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</si>
  <si>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</si>
  <si>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</si>
  <si>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</si>
  <si>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</si>
  <si>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</si>
  <si>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</si>
  <si>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</si>
  <si>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</si>
  <si>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</si>
  <si>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</si>
  <si>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</si>
  <si>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</si>
  <si>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</si>
  <si>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</si>
  <si>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</si>
  <si>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</si>
  <si>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</si>
  <si>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</si>
  <si>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</si>
  <si>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</si>
  <si>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</si>
  <si>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</si>
  <si>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</si>
  <si>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</si>
  <si>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</si>
  <si>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</si>
  <si>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</si>
  <si>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</si>
  <si>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</si>
  <si>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</si>
  <si>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</si>
  <si>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</si>
  <si>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</si>
  <si>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</si>
  <si>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</si>
  <si>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</si>
  <si>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</si>
  <si>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</si>
  <si>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</si>
  <si>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</si>
  <si>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</si>
  <si>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</si>
  <si>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</si>
  <si>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</si>
  <si>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</si>
  <si>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</si>
  <si>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</si>
  <si>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</si>
  <si>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</si>
  <si>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</si>
  <si>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</si>
  <si>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</si>
  <si>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</si>
  <si>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</si>
  <si>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</si>
  <si>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</si>
  <si>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</si>
  <si>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</si>
  <si>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</si>
  <si>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</si>
  <si>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</si>
  <si>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</si>
  <si>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</si>
  <si>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</si>
  <si>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</si>
  <si>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</si>
  <si>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</si>
  <si>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</si>
  <si>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</si>
  <si>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</si>
  <si>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</si>
  <si>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</si>
  <si>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</si>
  <si>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</si>
  <si>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</si>
  <si>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</si>
  <si>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</si>
  <si>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</si>
  <si>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</si>
  <si>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</si>
  <si>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</si>
  <si>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</si>
  <si>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</si>
  <si>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</si>
  <si>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</si>
  <si>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</si>
  <si>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</si>
  <si>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</si>
  <si>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</si>
  <si>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</si>
  <si>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</si>
  <si>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</si>
  <si>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</si>
  <si>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</si>
  <si>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</si>
  <si>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</si>
  <si>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</si>
  <si>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</si>
  <si>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</si>
  <si>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</si>
  <si>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</si>
  <si>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</si>
  <si>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</si>
  <si>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</si>
  <si>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</si>
  <si>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</si>
  <si>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</si>
  <si>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</si>
  <si>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</si>
  <si>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</si>
  <si>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</si>
  <si>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</si>
  <si>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</si>
  <si>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</si>
  <si>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</si>
  <si>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</si>
  <si>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</si>
  <si>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</si>
  <si>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</si>
  <si>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</si>
  <si>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</si>
  <si>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</si>
  <si>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</si>
  <si>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</si>
  <si>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</si>
  <si>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</si>
  <si>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</si>
  <si>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</si>
  <si>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</si>
  <si>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</si>
  <si>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</si>
  <si>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</si>
  <si>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</si>
  <si>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</si>
  <si>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</si>
  <si>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</si>
  <si>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</si>
  <si>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</si>
  <si>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</si>
  <si>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</si>
  <si>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</si>
  <si>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</si>
  <si>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</si>
  <si>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</si>
  <si>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</si>
  <si>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</si>
  <si>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</si>
  <si>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</si>
  <si>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</si>
  <si>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</si>
  <si>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</si>
  <si>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</si>
  <si>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</si>
  <si>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</si>
  <si>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</si>
  <si>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</si>
  <si>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</si>
  <si>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</si>
  <si>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</si>
  <si>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</si>
  <si>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</si>
  <si>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</si>
  <si>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</si>
  <si>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</si>
  <si>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</si>
  <si>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</si>
  <si>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</si>
  <si>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</si>
  <si>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</si>
  <si>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</si>
  <si>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</si>
  <si>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</si>
  <si>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</si>
  <si>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</si>
  <si>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</si>
  <si>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</si>
  <si>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</si>
  <si>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</si>
  <si>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</si>
  <si>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</si>
  <si>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</si>
  <si>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</si>
  <si>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</si>
  <si>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</si>
  <si>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</si>
  <si>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</si>
  <si>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</si>
  <si>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</si>
  <si>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</si>
  <si>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</si>
  <si>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</si>
  <si>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</si>
  <si>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</si>
  <si>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</si>
  <si>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</si>
  <si>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</si>
  <si>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</si>
  <si>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</si>
  <si>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</si>
  <si>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</si>
  <si>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</si>
  <si>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</si>
  <si>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</si>
  <si>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</si>
  <si>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</si>
  <si>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</si>
  <si>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</si>
  <si>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</si>
  <si>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</si>
  <si>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</si>
  <si>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</si>
  <si>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</si>
  <si>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</si>
  <si>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</si>
  <si>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</si>
  <si>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</si>
  <si>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</si>
  <si>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</si>
  <si>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</si>
  <si>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</si>
  <si>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</si>
  <si>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</si>
  <si>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</si>
  <si>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</si>
  <si>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</si>
  <si>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</si>
  <si>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</si>
  <si>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</si>
  <si>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</si>
  <si>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</si>
  <si>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</si>
  <si>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</si>
  <si>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</si>
  <si>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</si>
  <si>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</si>
  <si>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</si>
  <si>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</si>
  <si>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</si>
  <si>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</si>
  <si>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</si>
  <si>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</si>
  <si>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</si>
  <si>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</si>
  <si>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</si>
  <si>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</si>
  <si>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</si>
  <si>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</si>
  <si>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</si>
  <si>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</si>
  <si>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</si>
  <si>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</si>
  <si>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</si>
  <si>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</si>
  <si>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</si>
  <si>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</si>
  <si>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</si>
  <si>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</si>
  <si>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</si>
  <si>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</si>
  <si>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</si>
  <si>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</si>
  <si>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</si>
  <si>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</si>
  <si>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</si>
  <si>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</si>
  <si>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</si>
  <si>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</si>
  <si>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</si>
  <si>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</si>
  <si>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</si>
  <si>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</si>
  <si>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</si>
  <si>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</si>
  <si>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</si>
  <si>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</si>
  <si>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</si>
  <si>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</si>
  <si>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</si>
  <si>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</si>
  <si>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</si>
  <si>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</si>
  <si>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</si>
  <si>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</si>
  <si>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</si>
  <si>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</si>
  <si>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</si>
  <si>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</si>
  <si>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</si>
  <si>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</si>
  <si>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</si>
  <si>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</si>
  <si>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</si>
  <si>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</si>
  <si>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</si>
  <si>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</si>
  <si>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</si>
  <si>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</si>
  <si>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</si>
  <si>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</si>
  <si>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</si>
  <si>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</si>
  <si>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</si>
  <si>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</si>
  <si>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</si>
  <si>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</si>
  <si>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</si>
  <si>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</si>
  <si>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</si>
  <si>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</si>
  <si>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</si>
  <si>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</si>
  <si>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</si>
  <si>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</si>
  <si>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</si>
  <si>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</si>
  <si>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</si>
  <si>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</si>
  <si>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</si>
  <si>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</si>
  <si>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</si>
  <si>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</si>
  <si>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</si>
  <si>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</si>
  <si>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</si>
  <si>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</si>
  <si>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</si>
  <si>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</si>
  <si>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</si>
  <si>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</si>
  <si>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</si>
  <si>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</si>
  <si>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</si>
  <si>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</si>
  <si>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</si>
  <si>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</si>
  <si>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</si>
  <si>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</si>
  <si>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</si>
  <si>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</si>
  <si>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</si>
  <si>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</si>
  <si>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</si>
  <si>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</si>
  <si>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</si>
  <si>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</si>
  <si>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</si>
  <si>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</si>
  <si>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</si>
  <si>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</si>
  <si>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</si>
  <si>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</si>
  <si>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</si>
  <si>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</si>
  <si>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</si>
  <si>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</si>
  <si>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</si>
  <si>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</si>
  <si>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</si>
  <si>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</si>
  <si>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</si>
  <si>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</si>
  <si>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</si>
  <si>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</si>
  <si>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</si>
  <si>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</si>
  <si>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</si>
  <si>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</si>
  <si>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</si>
  <si>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</si>
  <si>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</si>
  <si>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</si>
  <si>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</si>
  <si>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</si>
  <si>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</si>
  <si>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</si>
  <si>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</si>
  <si>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</si>
  <si>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</si>
  <si>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</si>
  <si>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</si>
  <si>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</si>
  <si>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</si>
  <si>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</si>
  <si>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</si>
  <si>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</si>
  <si>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</si>
  <si>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</si>
  <si>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</si>
  <si>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</si>
  <si>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</si>
  <si>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</si>
  <si>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</si>
  <si>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</si>
  <si>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</si>
  <si>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</si>
  <si>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</si>
  <si>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</si>
  <si>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</si>
  <si>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</si>
  <si>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</si>
  <si>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</si>
  <si>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</si>
  <si>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</si>
  <si>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</si>
  <si>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</si>
  <si>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</si>
  <si>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</si>
  <si>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</si>
  <si>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</si>
  <si>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</si>
  <si>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</si>
  <si>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</si>
  <si>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</si>
  <si>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</si>
  <si>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</si>
  <si>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</si>
  <si>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</si>
  <si>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</si>
  <si>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</si>
  <si>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</si>
  <si>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</si>
  <si>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</si>
  <si>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</si>
  <si>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</si>
  <si>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</si>
  <si>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</si>
  <si>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</si>
  <si>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</si>
  <si>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</si>
  <si>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</si>
  <si>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</si>
  <si>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</si>
  <si>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</si>
  <si>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</si>
  <si>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</si>
  <si>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</si>
  <si>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</si>
  <si>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</si>
  <si>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</si>
  <si>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</si>
  <si>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</si>
  <si>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</si>
  <si>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</si>
  <si>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</si>
  <si>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</si>
  <si>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</si>
  <si>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</si>
  <si>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</si>
  <si>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</si>
  <si>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</si>
  <si>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</si>
  <si>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</si>
  <si>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</si>
  <si>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</si>
  <si>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</si>
  <si>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</si>
  <si>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</si>
  <si>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</si>
  <si>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</si>
  <si>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</si>
  <si>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</si>
  <si>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</si>
  <si>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</si>
  <si>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</si>
  <si>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</si>
  <si>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</si>
  <si>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</si>
  <si>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</si>
  <si>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</si>
  <si>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</si>
  <si>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</si>
  <si>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</si>
  <si>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</si>
  <si>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</si>
  <si>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</si>
  <si>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</si>
  <si>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</si>
  <si>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</si>
  <si>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</si>
  <si>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</si>
  <si>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</si>
  <si>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</si>
  <si>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</si>
  <si>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</si>
  <si>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</si>
  <si>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</si>
  <si>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</si>
  <si>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</si>
  <si>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</si>
  <si>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</si>
  <si>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</si>
  <si>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</si>
  <si>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</si>
  <si>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</si>
  <si>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</si>
  <si>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</si>
  <si>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</si>
  <si>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</si>
  <si>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</si>
  <si>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</si>
  <si>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</si>
  <si>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</si>
  <si>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</si>
  <si>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</si>
  <si>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</si>
  <si>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</si>
  <si>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</si>
  <si>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</si>
  <si>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</si>
  <si>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</si>
  <si>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</si>
  <si>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</si>
  <si>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</si>
  <si>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</si>
  <si>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</si>
  <si>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</si>
  <si>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</si>
  <si>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</si>
  <si>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</si>
  <si>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</si>
  <si>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</si>
  <si>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</si>
  <si>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</si>
  <si>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</si>
  <si>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</si>
  <si>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</si>
  <si>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</si>
  <si>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</si>
  <si>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</si>
  <si>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</si>
  <si>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</si>
  <si>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</si>
  <si>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</si>
  <si>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</si>
  <si>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</si>
  <si>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</si>
  <si>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</si>
  <si>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</si>
  <si>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</si>
  <si>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</si>
  <si>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</si>
  <si>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</si>
  <si>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</si>
  <si>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</si>
  <si>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</si>
  <si>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</si>
  <si>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</si>
  <si>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</si>
  <si>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</si>
  <si>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</si>
  <si>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</si>
  <si>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</si>
  <si>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</si>
  <si>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</si>
  <si>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</si>
  <si>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</si>
  <si>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</si>
  <si>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</si>
  <si>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</si>
  <si>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</si>
  <si>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</si>
  <si>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</si>
  <si>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</si>
  <si>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</si>
  <si>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</si>
  <si>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</si>
  <si>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</si>
  <si>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</si>
  <si>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</si>
  <si>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</si>
  <si>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</si>
  <si>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</si>
  <si>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</si>
  <si>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</si>
  <si>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</si>
  <si>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</si>
  <si>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</si>
  <si>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</si>
  <si>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</si>
  <si>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</si>
  <si>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</si>
  <si>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</si>
  <si>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</si>
  <si>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</si>
  <si>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</si>
  <si>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</si>
  <si>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</si>
  <si>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</si>
  <si>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</si>
  <si>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</si>
  <si>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</si>
  <si>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</si>
  <si>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</si>
  <si>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</si>
  <si>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</si>
  <si>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</si>
  <si>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</si>
  <si>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</si>
  <si>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</si>
  <si>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</si>
  <si>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</si>
  <si>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</si>
  <si>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</si>
  <si>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</si>
  <si>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</si>
  <si>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</si>
  <si>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</si>
  <si>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</si>
  <si>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</si>
  <si>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</si>
  <si>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</si>
  <si>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</si>
  <si>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</si>
  <si>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</si>
  <si>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</si>
  <si>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</si>
  <si>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</si>
  <si>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</si>
  <si>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</si>
  <si>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</si>
  <si>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</si>
  <si>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</si>
  <si>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</si>
  <si>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</si>
  <si>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</si>
  <si>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</si>
  <si>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</si>
  <si>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</si>
  <si>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</si>
  <si>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</si>
  <si>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</si>
  <si>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</si>
  <si>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</si>
  <si>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</si>
  <si>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</si>
  <si>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</si>
  <si>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</si>
  <si>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</si>
  <si>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</si>
  <si>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</si>
  <si>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</si>
  <si>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</si>
  <si>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</si>
  <si>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</si>
  <si>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</si>
  <si>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</si>
  <si>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</si>
  <si>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</si>
  <si>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</si>
  <si>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</si>
  <si>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</si>
  <si>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</si>
  <si>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</si>
  <si>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</si>
  <si>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</si>
  <si>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</si>
  <si>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</si>
  <si>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</si>
  <si>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</si>
  <si>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</si>
  <si>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</si>
  <si>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</si>
  <si>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</si>
  <si>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</si>
  <si>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</si>
  <si>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</si>
  <si>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</si>
  <si>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</si>
  <si>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</si>
  <si>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</si>
  <si>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</si>
  <si>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</si>
  <si>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</si>
  <si>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</si>
  <si>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</si>
  <si>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</si>
  <si>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</si>
  <si>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</si>
  <si>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</si>
  <si>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</si>
  <si>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</si>
  <si>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</si>
  <si>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</si>
  <si>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</si>
  <si>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</si>
  <si>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</si>
  <si>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</si>
  <si>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</si>
  <si>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</si>
  <si>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</si>
  <si>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</si>
  <si>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</si>
  <si>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</si>
  <si>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</si>
  <si>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</si>
  <si>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</si>
  <si>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</si>
  <si>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</si>
  <si>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</si>
  <si>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</si>
  <si>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</si>
  <si>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</si>
  <si>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</si>
  <si>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</si>
  <si>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</si>
  <si>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</si>
  <si>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</si>
  <si>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</si>
  <si>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</si>
  <si>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</si>
  <si>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</si>
  <si>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</si>
  <si>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</si>
  <si>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</si>
  <si>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</si>
  <si>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</si>
  <si>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</si>
  <si>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</si>
  <si>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</si>
  <si>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</si>
  <si>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</si>
  <si>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</si>
  <si>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</si>
  <si>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</si>
  <si>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</si>
  <si>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</si>
  <si>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</si>
  <si>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</si>
  <si>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</si>
  <si>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</si>
  <si>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</si>
  <si>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</si>
  <si>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</si>
  <si>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</si>
  <si>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</si>
  <si>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</si>
  <si>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</si>
  <si>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</si>
  <si>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</si>
  <si>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</si>
  <si>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</si>
  <si>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</si>
  <si>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</si>
  <si>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</si>
  <si>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</si>
  <si>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</si>
  <si>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</si>
  <si>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</si>
  <si>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</si>
  <si>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</si>
  <si>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</si>
  <si>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</si>
  <si>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</si>
  <si>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</si>
  <si>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</si>
  <si>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</si>
  <si>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</si>
  <si>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</si>
  <si>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</si>
  <si>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</si>
  <si>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</si>
  <si>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</si>
  <si>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</si>
  <si>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</si>
  <si>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</si>
  <si>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</si>
  <si>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</si>
  <si>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</si>
  <si>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</si>
  <si>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</si>
  <si>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</si>
  <si>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</si>
  <si>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</si>
  <si>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</si>
  <si>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</si>
  <si>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</si>
  <si>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</si>
  <si>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</si>
  <si>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</si>
  <si>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</si>
  <si>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</si>
  <si>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</si>
  <si>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</si>
  <si>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</si>
  <si>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</si>
  <si>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</si>
  <si>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</si>
  <si>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</si>
  <si>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</si>
  <si>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</si>
  <si>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</si>
  <si>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</si>
  <si>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</si>
  <si>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</si>
  <si>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</si>
  <si>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</si>
  <si>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</si>
  <si>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</si>
  <si>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</si>
  <si>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</si>
  <si>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</si>
  <si>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</si>
  <si>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</si>
  <si>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</si>
  <si>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</si>
  <si>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</si>
  <si>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</si>
  <si>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</si>
  <si>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</si>
  <si>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</si>
  <si>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</si>
  <si>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</si>
  <si>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</si>
  <si>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</si>
  <si>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</si>
  <si>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</si>
  <si>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</si>
  <si>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</si>
  <si>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</si>
  <si>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</si>
  <si>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</si>
  <si>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</si>
  <si>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</si>
  <si>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</si>
  <si>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</si>
  <si>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</si>
  <si>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</si>
  <si>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</si>
  <si>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</si>
  <si>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</si>
  <si>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</si>
  <si>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</si>
  <si>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</si>
  <si>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</si>
  <si>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</si>
  <si>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</si>
  <si>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</si>
  <si>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</si>
  <si>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</si>
  <si>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</si>
  <si>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</si>
  <si>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</si>
  <si>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</si>
  <si>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</si>
  <si>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</si>
  <si>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</si>
  <si>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</si>
  <si>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</si>
  <si>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</si>
  <si>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</si>
  <si>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</si>
  <si>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</si>
  <si>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</si>
  <si>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</si>
  <si>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</si>
  <si>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</si>
  <si>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</si>
  <si>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</si>
  <si>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</si>
  <si>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</si>
  <si>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</si>
  <si>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</si>
  <si>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</si>
  <si>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</si>
  <si>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</si>
  <si>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</si>
  <si>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</si>
  <si>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</si>
  <si>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</si>
  <si>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</si>
  <si>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</si>
  <si>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</si>
  <si>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</si>
  <si>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</si>
  <si>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</si>
  <si>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</si>
  <si>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</si>
  <si>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</si>
  <si>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</si>
  <si>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</si>
  <si>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</si>
  <si>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</si>
  <si>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</si>
  <si>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</si>
  <si>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</si>
  <si>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</si>
  <si>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</si>
  <si>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</si>
  <si>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</si>
  <si>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</si>
  <si>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</si>
  <si>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</si>
  <si>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</si>
  <si>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</si>
  <si>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</si>
  <si>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</si>
  <si>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</si>
  <si>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</si>
  <si>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</si>
  <si>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</si>
  <si>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</si>
  <si>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</si>
  <si>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</si>
  <si>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</si>
  <si>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</si>
  <si>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</si>
  <si>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</si>
  <si>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</si>
  <si>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</si>
  <si>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</si>
  <si>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</si>
  <si>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</si>
  <si>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</si>
  <si>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</si>
  <si>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</si>
  <si>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</si>
  <si>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</si>
  <si>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</si>
  <si>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</si>
  <si>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</si>
  <si>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</si>
  <si>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</si>
  <si>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</si>
  <si>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</si>
  <si>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</si>
  <si>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</si>
  <si>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</si>
  <si>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</si>
  <si>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</si>
  <si>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</si>
  <si>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</si>
  <si>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</si>
  <si>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</si>
  <si>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</si>
  <si>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</si>
  <si>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</si>
  <si>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</si>
  <si>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</si>
  <si>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</si>
  <si>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</si>
  <si>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</si>
  <si>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</si>
  <si>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</si>
  <si>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</si>
  <si>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</si>
  <si>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</si>
  <si>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</si>
  <si>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</si>
  <si>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</si>
  <si>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</si>
  <si>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</si>
  <si>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</si>
  <si>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</si>
  <si>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</si>
  <si>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</si>
  <si>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</si>
  <si>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</si>
  <si>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</si>
  <si>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</si>
  <si>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</si>
  <si>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</si>
  <si>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</si>
  <si>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</si>
  <si>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</si>
  <si>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</si>
  <si>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</si>
  <si>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</si>
  <si>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</si>
  <si>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</si>
  <si>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</si>
  <si>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</si>
  <si>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</si>
  <si>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</si>
  <si>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</si>
  <si>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</si>
  <si>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</si>
  <si>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</si>
  <si>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</si>
  <si>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</si>
  <si>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</si>
  <si>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</si>
  <si>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</si>
  <si>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</si>
  <si>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</si>
  <si>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</si>
  <si>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</si>
  <si>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</si>
  <si>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</si>
  <si>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</si>
  <si>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</si>
  <si>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</si>
  <si>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</si>
  <si>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</si>
  <si>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</si>
  <si>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</si>
  <si>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</si>
  <si>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</si>
  <si>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</si>
  <si>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</si>
  <si>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</si>
  <si>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</si>
  <si>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</si>
  <si>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</si>
  <si>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</si>
  <si>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</si>
  <si>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</si>
  <si>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</si>
  <si>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</si>
  <si>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</si>
  <si>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</si>
  <si>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</si>
  <si>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</si>
  <si>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</si>
  <si>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</si>
  <si>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</si>
  <si>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</si>
  <si>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</si>
  <si>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</si>
  <si>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</si>
  <si>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</si>
  <si>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</si>
  <si>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</si>
  <si>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</si>
  <si>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</si>
  <si>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</si>
  <si>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</si>
  <si>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</si>
  <si>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</si>
  <si>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</si>
  <si>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</si>
  <si>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</si>
  <si>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</si>
  <si>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</si>
  <si>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</si>
  <si>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</si>
  <si>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</si>
  <si>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</si>
  <si>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</si>
  <si>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</si>
  <si>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</si>
  <si>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</si>
  <si>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</si>
  <si>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</si>
  <si>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</si>
  <si>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</si>
  <si>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</si>
  <si>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</si>
  <si>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</si>
  <si>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</si>
  <si>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</si>
  <si>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</si>
  <si>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</si>
  <si>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</si>
  <si>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</si>
  <si>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</si>
  <si>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</si>
  <si>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</si>
  <si>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</si>
  <si>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</si>
  <si>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</si>
  <si>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</si>
  <si>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</si>
  <si>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</si>
  <si>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</si>
  <si>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</si>
  <si>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</si>
  <si>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</si>
  <si>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</si>
  <si>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</si>
  <si>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</si>
  <si>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</si>
  <si>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</si>
  <si>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</si>
  <si>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</si>
  <si>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</si>
  <si>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</si>
  <si>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</si>
  <si>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</si>
  <si>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</si>
  <si>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</si>
  <si>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</si>
  <si>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</si>
  <si>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</si>
  <si>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</si>
  <si>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</si>
  <si>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</si>
  <si>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</si>
  <si>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</si>
  <si>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</si>
  <si>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</si>
  <si>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</si>
  <si>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</si>
  <si>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</si>
  <si>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</si>
  <si>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</si>
  <si>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</si>
  <si>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</si>
  <si>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</si>
  <si>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</si>
  <si>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</si>
  <si>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</si>
  <si>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</si>
  <si>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</si>
  <si>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</si>
  <si>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</si>
  <si>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</si>
  <si>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</si>
  <si>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</si>
  <si>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</si>
  <si>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</si>
  <si>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</si>
  <si>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</si>
  <si>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</si>
  <si>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</si>
  <si>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</si>
  <si>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</si>
  <si>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</si>
  <si>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</si>
  <si>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</si>
  <si>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</si>
  <si>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</si>
  <si>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</si>
  <si>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</si>
  <si>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</si>
  <si>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</si>
  <si>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</si>
  <si>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</si>
  <si>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</si>
  <si>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</si>
  <si>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</si>
  <si>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</si>
  <si>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</si>
  <si>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</si>
  <si>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</si>
  <si>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</si>
  <si>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</si>
  <si>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</si>
  <si>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</si>
  <si>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</si>
  <si>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</si>
  <si>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</si>
  <si>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</si>
  <si>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</si>
  <si>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</si>
  <si>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</si>
  <si>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</si>
  <si>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</si>
  <si>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</si>
  <si>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</si>
  <si>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</si>
  <si>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</si>
  <si>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</si>
  <si>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</si>
  <si>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</si>
  <si>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</si>
  <si>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</si>
  <si>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</si>
  <si>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</si>
  <si>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</si>
  <si>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</si>
  <si>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</si>
  <si>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</si>
  <si>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</si>
  <si>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</si>
  <si>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</si>
  <si>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</si>
  <si>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</si>
  <si>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</si>
  <si>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</si>
  <si>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</si>
  <si>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</si>
  <si>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</si>
  <si>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</si>
  <si>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</si>
  <si>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</si>
  <si>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</si>
  <si>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</si>
  <si>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</si>
  <si>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</si>
  <si>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</si>
  <si>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</si>
  <si>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</si>
  <si>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</si>
  <si>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</si>
  <si>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</si>
  <si>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</si>
  <si>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</si>
  <si>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</si>
  <si>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</si>
  <si>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</si>
  <si>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</si>
  <si>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</si>
  <si>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</si>
  <si>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</si>
  <si>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</si>
  <si>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</si>
  <si>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</si>
  <si>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</si>
  <si>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</si>
  <si>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</si>
  <si>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</si>
  <si>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</si>
  <si>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</si>
  <si>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</si>
  <si>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</si>
  <si>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</si>
  <si>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</si>
  <si>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</si>
  <si>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</si>
  <si>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</si>
  <si>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</si>
  <si>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</si>
  <si>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</si>
  <si>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</si>
  <si>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</si>
  <si>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</si>
  <si>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</si>
  <si>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</si>
  <si>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</si>
  <si>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</si>
  <si>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</si>
  <si>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</si>
  <si>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</si>
  <si>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</si>
  <si>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</si>
  <si>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</si>
  <si>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</si>
  <si>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</si>
  <si>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</si>
  <si>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</si>
  <si>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</si>
  <si>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</si>
  <si>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</si>
  <si>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</si>
  <si>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</si>
  <si>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</si>
  <si>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</si>
  <si>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</si>
  <si>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</si>
  <si>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</si>
  <si>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</si>
  <si>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</si>
  <si>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</si>
  <si>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</si>
  <si>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</si>
  <si>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</si>
  <si>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</si>
  <si>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</si>
  <si>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</si>
  <si>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</si>
  <si>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</si>
  <si>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</si>
  <si>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</si>
  <si>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</si>
  <si>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</si>
  <si>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</si>
  <si>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</si>
  <si>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</si>
  <si>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</si>
  <si>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</si>
  <si>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</si>
  <si>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</si>
  <si>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</si>
  <si>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</si>
  <si>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</si>
  <si>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</si>
  <si>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</si>
  <si>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</si>
  <si>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</si>
  <si>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</si>
  <si>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</si>
  <si>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</si>
  <si>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</si>
  <si>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</si>
  <si>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</si>
  <si>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</si>
  <si>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</si>
  <si>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</si>
  <si>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</si>
  <si>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</si>
  <si>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</si>
  <si>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</si>
  <si>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</si>
  <si>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</si>
  <si>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</si>
  <si>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</si>
  <si>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</si>
  <si>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</si>
  <si>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</si>
  <si>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</si>
  <si>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</si>
  <si>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</si>
  <si>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</si>
  <si>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</si>
  <si>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</si>
  <si>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</si>
  <si>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</si>
  <si>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</si>
  <si>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</si>
  <si>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</si>
  <si>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</si>
  <si>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</si>
  <si>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</si>
  <si>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</si>
  <si>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</si>
  <si>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</si>
  <si>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</si>
  <si>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</si>
  <si>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</si>
  <si>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</si>
  <si>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</si>
  <si>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</si>
  <si>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</si>
  <si>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</si>
  <si>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</si>
  <si>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</si>
  <si>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</si>
  <si>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</si>
  <si>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</si>
  <si>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</si>
  <si>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</si>
  <si>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</si>
  <si>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</si>
  <si>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</si>
  <si>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</si>
  <si>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</si>
  <si>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</si>
  <si>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</si>
  <si>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</si>
  <si>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</si>
  <si>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</si>
  <si>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</si>
  <si>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</si>
  <si>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</si>
  <si>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</si>
  <si>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</si>
  <si>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</si>
  <si>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</si>
  <si>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</si>
  <si>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</si>
  <si>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</si>
  <si>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</si>
  <si>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</si>
  <si>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</si>
  <si>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</si>
  <si>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</si>
  <si>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</si>
  <si>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</si>
  <si>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</si>
  <si>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</si>
  <si>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</si>
  <si>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</si>
  <si>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</si>
  <si>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</si>
  <si>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</si>
  <si>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</si>
  <si>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</si>
  <si>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</si>
  <si>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</si>
  <si>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</si>
  <si>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</si>
  <si>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</si>
  <si>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</si>
  <si>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</si>
  <si>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</si>
  <si>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</si>
  <si>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</si>
  <si>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</si>
  <si>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</si>
  <si>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</si>
  <si>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</si>
  <si>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</si>
  <si>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</si>
  <si>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</si>
  <si>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</si>
  <si>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</si>
  <si>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</si>
  <si>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</si>
  <si>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</si>
  <si>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</si>
  <si>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</si>
  <si>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</si>
  <si>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</si>
  <si>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</si>
  <si>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</si>
  <si>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</si>
  <si>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</si>
  <si>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</si>
  <si>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</si>
  <si>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</si>
  <si>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</si>
  <si>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</si>
  <si>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</si>
  <si>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</si>
  <si>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</si>
  <si>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</si>
  <si>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</si>
  <si>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</si>
  <si>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</si>
  <si>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</si>
  <si>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</si>
  <si>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</si>
  <si>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</si>
  <si>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</si>
  <si>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</si>
  <si>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</si>
  <si>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</si>
  <si>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</si>
  <si>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</si>
  <si>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</si>
  <si>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</si>
  <si>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</si>
  <si>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</si>
  <si>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</si>
  <si>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</si>
  <si>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</si>
  <si>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</si>
  <si>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</si>
  <si>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</si>
  <si>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</si>
  <si>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</si>
  <si>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</si>
  <si>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</si>
  <si>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</si>
  <si>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</si>
  <si>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</si>
  <si>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</si>
  <si>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</si>
  <si>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</si>
  <si>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</si>
  <si>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</si>
  <si>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</si>
  <si>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</si>
  <si>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</si>
  <si>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</si>
  <si>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</si>
  <si>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</si>
  <si>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</si>
  <si>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</si>
  <si>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</si>
  <si>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</si>
  <si>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</si>
  <si>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</si>
  <si>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</si>
  <si>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</si>
  <si>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</si>
  <si>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</si>
  <si>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</si>
  <si>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</si>
  <si>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</si>
  <si>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</si>
  <si>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</si>
  <si>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</si>
  <si>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</si>
  <si>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</si>
  <si>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</si>
  <si>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</si>
  <si>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</si>
  <si>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</si>
  <si>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</si>
  <si>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</si>
  <si>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</si>
  <si>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</si>
  <si>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</si>
  <si>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</si>
  <si>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</si>
  <si>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</si>
  <si>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</si>
  <si>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</si>
  <si>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</si>
  <si>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</si>
  <si>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</si>
  <si>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</si>
  <si>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</si>
  <si>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</si>
  <si>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</si>
  <si>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</si>
  <si>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</si>
  <si>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</si>
  <si>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</si>
  <si>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</si>
  <si>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</si>
  <si>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</si>
  <si>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</si>
  <si>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</si>
  <si>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</si>
  <si>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</si>
  <si>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</si>
  <si>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</si>
  <si>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</si>
  <si>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</si>
  <si>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</si>
  <si>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</si>
  <si>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</si>
  <si>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</si>
  <si>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</si>
  <si>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</si>
  <si>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</si>
  <si>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</si>
  <si>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</si>
  <si>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</si>
  <si>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</si>
  <si>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</si>
  <si>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</si>
  <si>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</si>
  <si>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</si>
  <si>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</si>
  <si>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</si>
  <si>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</si>
  <si>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</si>
  <si>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</si>
  <si>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</si>
  <si>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</si>
  <si>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</si>
  <si>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</si>
  <si>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</si>
  <si>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</si>
  <si>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</si>
  <si>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</si>
  <si>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</si>
  <si>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</si>
  <si>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</si>
  <si>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</si>
  <si>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</si>
  <si>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</si>
  <si>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</si>
  <si>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</si>
  <si>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</si>
  <si>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</si>
  <si>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</si>
  <si>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</si>
  <si>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</si>
  <si>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</si>
  <si>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</si>
  <si>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</si>
  <si>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</si>
  <si>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</si>
  <si>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</si>
  <si>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</si>
  <si>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</si>
  <si>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</si>
  <si>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</si>
  <si>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</si>
  <si>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</si>
  <si>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</si>
  <si>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</si>
  <si>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</si>
  <si>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</si>
  <si>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</si>
  <si>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</si>
  <si>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</si>
  <si>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</si>
  <si>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</si>
  <si>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</si>
  <si>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</si>
  <si>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</si>
  <si>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</si>
  <si>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</si>
  <si>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</si>
  <si>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</si>
  <si>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</si>
  <si>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</si>
  <si>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</si>
  <si>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</si>
  <si>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</si>
  <si>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</si>
  <si>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</si>
  <si>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</si>
  <si>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</si>
  <si>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</si>
  <si>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</si>
  <si>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</si>
  <si>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</si>
  <si>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</si>
  <si>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</si>
  <si>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</si>
  <si>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</si>
  <si>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</si>
  <si>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</si>
  <si>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</si>
  <si>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</si>
  <si>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</si>
  <si>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</si>
  <si>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</si>
  <si>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</si>
  <si>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</si>
  <si>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</si>
  <si>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</si>
  <si>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</si>
  <si>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</si>
  <si>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</si>
  <si>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</si>
  <si>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</si>
  <si>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</si>
  <si>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</si>
  <si>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</si>
  <si>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</si>
  <si>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</si>
  <si>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</si>
  <si>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</si>
  <si>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</si>
  <si>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</si>
  <si>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</si>
  <si>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</si>
  <si>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</si>
  <si>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</si>
  <si>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</si>
  <si>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</si>
  <si>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</si>
  <si>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</si>
  <si>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</si>
  <si>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</si>
  <si>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</si>
  <si>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</si>
  <si>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</si>
  <si>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</si>
  <si>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</si>
  <si>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</si>
  <si>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</si>
  <si>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</si>
  <si>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</si>
  <si>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</si>
  <si>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</si>
  <si>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</si>
  <si>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</si>
  <si>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</si>
  <si>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</si>
  <si>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</si>
  <si>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</si>
  <si>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</si>
  <si>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</si>
  <si>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</si>
  <si>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</si>
  <si>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</si>
  <si>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</si>
  <si>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</si>
  <si>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</si>
  <si>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</si>
  <si>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</si>
  <si>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</si>
  <si>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</si>
  <si>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</si>
  <si>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</si>
  <si>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</si>
  <si>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</si>
  <si>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</si>
  <si>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</si>
  <si>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</si>
  <si>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</si>
  <si>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</si>
  <si>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</si>
  <si>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</si>
  <si>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</si>
  <si>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</si>
  <si>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</si>
  <si>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</si>
  <si>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</si>
  <si>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</si>
  <si>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</si>
  <si>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</si>
  <si>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</si>
  <si>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</si>
  <si>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</si>
  <si>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</si>
  <si>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</si>
  <si>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</si>
  <si>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</si>
  <si>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2121 SOUTH GOEBBERT ROAD</t>
  </si>
  <si>
    <t>ARLINGTON HEIGHTS</t>
  </si>
  <si>
    <t>KENYA.AYERS@D214.ORG</t>
  </si>
  <si>
    <t>EVANS, MARSHALL AND PEASE, P.C.</t>
  </si>
  <si>
    <t>1875 HICKS ROAD</t>
  </si>
  <si>
    <t>ROLLING MEADOWS</t>
  </si>
  <si>
    <t>ILLINOIS</t>
  </si>
  <si>
    <t>847-221-5700</t>
  </si>
  <si>
    <t>847-221-5701</t>
  </si>
  <si>
    <t>060-003973</t>
  </si>
  <si>
    <t>JEFF@EMPCPA.COM</t>
  </si>
  <si>
    <t>EVANS, MARSHALL &amp; PEASE, P.C.</t>
  </si>
  <si>
    <t>HARPER COLLEGE</t>
  </si>
  <si>
    <t>NA</t>
  </si>
  <si>
    <t>CHRISTOPHER M. SCALET, C.P.A.</t>
  </si>
  <si>
    <t>Northwest Ed Council for Student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</si>
</sst>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304800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304800</xdr:colOff>
          <xdr:row>9</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c r="C5" s="26" t="s">
        <v>966</v>
      </c>
      <c r="D5" s="84"/>
      <c r="E5" s="84"/>
      <c r="H5" s="38"/>
      <c r="I5" s="2041" t="s">
        <v>701</v>
      </c>
      <c r="J5" s="1986"/>
      <c r="K5" s="1986"/>
      <c r="L5" s="1986"/>
      <c r="M5" s="1986"/>
      <c r="N5" s="1986"/>
      <c r="O5" s="1986"/>
      <c r="P5" s="1986"/>
      <c r="Q5" s="1986"/>
      <c r="R5" s="1986"/>
      <c r="S5" s="1986"/>
    </row>
    <row r="6" spans="1:28" ht="14.1" customHeight="1" x14ac:dyDescent="0.2">
      <c r="B6" s="104" t="s">
        <v>2078</v>
      </c>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2078</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5016214046</v>
      </c>
      <c r="B13" s="2003"/>
      <c r="C13" s="2003"/>
      <c r="D13" s="2003"/>
      <c r="E13" s="2003"/>
      <c r="F13" s="2003"/>
      <c r="G13" s="2003"/>
      <c r="H13" s="2004"/>
      <c r="I13" s="31"/>
      <c r="J13" s="30"/>
      <c r="K13" s="28"/>
      <c r="L13" s="30"/>
      <c r="M13" s="30"/>
      <c r="N13" s="30"/>
      <c r="O13" s="30"/>
      <c r="P13" s="30"/>
      <c r="Q13" s="30"/>
      <c r="R13" s="30"/>
      <c r="S13" s="30"/>
      <c r="T13" s="2007" t="s">
        <v>2082</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2077</v>
      </c>
      <c r="B15" s="2005"/>
      <c r="C15" s="2005"/>
      <c r="D15" s="2005"/>
      <c r="E15" s="2005"/>
      <c r="F15" s="2005"/>
      <c r="G15" s="2005"/>
      <c r="H15" s="2006"/>
      <c r="T15" s="1968" t="s">
        <v>2093</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2094</v>
      </c>
      <c r="B17" s="2030"/>
      <c r="C17" s="2030"/>
      <c r="D17" s="2030"/>
      <c r="E17" s="2030"/>
      <c r="F17" s="2030"/>
      <c r="G17" s="2030"/>
      <c r="H17" s="2031"/>
      <c r="T17" s="2017" t="s">
        <v>2083</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2079</v>
      </c>
      <c r="B19" s="2001"/>
      <c r="C19" s="2001"/>
      <c r="D19" s="2001"/>
      <c r="E19" s="2001"/>
      <c r="F19" s="2001"/>
      <c r="G19" s="2001"/>
      <c r="H19" s="1999"/>
      <c r="I19" s="30"/>
      <c r="J19" s="99"/>
      <c r="K19" s="40"/>
      <c r="L19" s="38"/>
      <c r="M19" s="112" t="s">
        <v>333</v>
      </c>
      <c r="P19" s="27"/>
      <c r="Q19" s="27"/>
      <c r="R19" s="27"/>
      <c r="S19" s="31"/>
      <c r="T19" s="2000" t="s">
        <v>2084</v>
      </c>
      <c r="U19" s="1998"/>
      <c r="V19" s="1998"/>
      <c r="W19" s="1999"/>
      <c r="X19" s="2015" t="s">
        <v>2085</v>
      </c>
      <c r="Y19" s="2016"/>
      <c r="Z19" s="2013">
        <v>60008</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2080</v>
      </c>
      <c r="B21" s="1998"/>
      <c r="C21" s="1998"/>
      <c r="D21" s="1998"/>
      <c r="E21" s="1998"/>
      <c r="F21" s="1998"/>
      <c r="G21" s="1998"/>
      <c r="H21" s="1999"/>
      <c r="I21" s="2023" t="s">
        <v>699</v>
      </c>
      <c r="J21" s="1986"/>
      <c r="K21" s="1986"/>
      <c r="L21" s="1986"/>
      <c r="M21" s="1986"/>
      <c r="N21" s="1986"/>
      <c r="O21" s="1986"/>
      <c r="P21" s="1986"/>
      <c r="Q21" s="1986"/>
      <c r="R21" s="1986"/>
      <c r="S21" s="1987"/>
      <c r="T21" s="1965" t="s">
        <v>2086</v>
      </c>
      <c r="U21" s="1966"/>
      <c r="V21" s="1966"/>
      <c r="W21" s="1966"/>
      <c r="X21" s="1979" t="s">
        <v>2087</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2081</v>
      </c>
      <c r="B23" s="2021"/>
      <c r="C23" s="2021"/>
      <c r="D23" s="2021"/>
      <c r="E23" s="2021"/>
      <c r="F23" s="2021"/>
      <c r="G23" s="2021"/>
      <c r="H23" s="2022"/>
      <c r="T23" s="1960" t="s">
        <v>2088</v>
      </c>
      <c r="U23" s="1961"/>
      <c r="V23" s="1961"/>
      <c r="W23" s="1961"/>
      <c r="X23" s="1976">
        <v>43466</v>
      </c>
      <c r="Y23" s="1977"/>
      <c r="Z23" s="1977"/>
      <c r="AA23" s="1978"/>
    </row>
    <row r="24" spans="1:27" ht="14.1" customHeight="1" x14ac:dyDescent="0.2">
      <c r="A24" s="88" t="s">
        <v>698</v>
      </c>
      <c r="B24" s="49"/>
      <c r="C24" s="49"/>
      <c r="D24" s="49"/>
      <c r="E24" s="49"/>
      <c r="F24" s="49"/>
      <c r="G24" s="49"/>
      <c r="H24" s="61"/>
      <c r="J24" s="2062" t="str">
        <f>IF(B5="x",IF(AUDITCHECK!D29="AFR form Incomplete.","",IF(AUDITCHECK!D29="Deficit reduction plan is required.","School District must complete a deficit reduction plan in the 2018-2019 Budget",)),"")</f>
        <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60005</v>
      </c>
      <c r="B25" s="1998"/>
      <c r="C25" s="1998"/>
      <c r="D25" s="1998"/>
      <c r="E25" s="1998"/>
      <c r="F25" s="1998"/>
      <c r="G25" s="1998"/>
      <c r="H25" s="1999"/>
      <c r="I25" s="113"/>
      <c r="J25" s="2064"/>
      <c r="K25" s="2064"/>
      <c r="L25" s="2064"/>
      <c r="M25" s="2064"/>
      <c r="N25" s="2064"/>
      <c r="O25" s="2064"/>
      <c r="P25" s="2064"/>
      <c r="Q25" s="2064"/>
      <c r="R25" s="2064"/>
      <c r="S25" s="2065"/>
      <c r="T25" s="1957" t="s">
        <v>2089</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2078</v>
      </c>
      <c r="F29" s="141" t="s">
        <v>1383</v>
      </c>
      <c r="G29" s="114"/>
      <c r="I29" s="54"/>
      <c r="J29" s="102"/>
      <c r="K29" s="28" t="s">
        <v>597</v>
      </c>
      <c r="L29" s="148" t="s">
        <v>2078</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9" zoomScale="110" zoomScaleNormal="110" workbookViewId="0">
      <selection activeCell="T15" sqref="T15:AA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2090</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2599841</v>
      </c>
      <c r="E16" s="356"/>
      <c r="F16" s="1755">
        <f>SUM('Acct Summary 7-8'!C17,'Acct Summary 7-8'!D17,'Acct Summary 7-8'!F17)</f>
        <v>2262434</v>
      </c>
      <c r="G16" s="356"/>
      <c r="H16" s="1755">
        <f>SUM(D16-F16)</f>
        <v>337407</v>
      </c>
      <c r="I16" s="222"/>
      <c r="J16" s="1755">
        <f>SUM('Acct Summary 7-8'!C81,'Acct Summary 7-8'!D81,'Acct Summary 7-8'!F81,'Acct Summary 7-8'!I81)</f>
        <v>597915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15" sqref="T15:AA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Northwest Ed Council for Student Success</v>
      </c>
      <c r="E7" s="391"/>
      <c r="G7" s="252"/>
      <c r="H7" s="387"/>
      <c r="I7" s="387"/>
      <c r="J7" s="387"/>
      <c r="K7" s="387"/>
      <c r="L7" s="329"/>
      <c r="M7" s="329"/>
      <c r="N7" s="329"/>
      <c r="O7" s="329"/>
      <c r="P7" s="329"/>
    </row>
    <row r="8" spans="1:18" ht="12.75" x14ac:dyDescent="0.2">
      <c r="A8" s="329"/>
      <c r="B8" s="329"/>
      <c r="C8" s="389" t="s">
        <v>1187</v>
      </c>
      <c r="D8" s="392">
        <f>COVER!A13</f>
        <v>5016214046</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597915</v>
      </c>
      <c r="I12" s="404"/>
      <c r="J12" s="404"/>
      <c r="K12" s="405">
        <f>TRUNC((H12/H13*100000),5)/100000</f>
        <v>0.22998137190000001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2599841</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2262434</v>
      </c>
      <c r="I17" s="404"/>
      <c r="J17" s="416"/>
      <c r="K17" s="405">
        <f>TRUNC((H17/H18*100000),5)/100000</f>
        <v>0.87022014030000006</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2599841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597915</v>
      </c>
      <c r="I24" s="422"/>
      <c r="J24" s="422"/>
      <c r="K24" s="423">
        <f>TRUNC(((H24/H25*100000)/100000),2)</f>
        <v>95.14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6284.5388899999998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7" activePane="bottomLeft" state="frozen"/>
      <selection activeCell="T15" sqref="T15:AA15"/>
      <selection pane="bottomLeft" activeCell="T15" sqref="T15:AA1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597915</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597915</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104056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104056</v>
      </c>
      <c r="N23" s="1710">
        <f>SUM(N21:N22)</f>
        <v>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597915</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104056</v>
      </c>
      <c r="N40" s="497"/>
    </row>
    <row r="41" spans="1:14" ht="13.5" customHeight="1" thickBot="1" x14ac:dyDescent="0.25">
      <c r="A41" s="1758" t="s">
        <v>676</v>
      </c>
      <c r="B41" s="1728"/>
      <c r="C41" s="1710">
        <f>(SUM(C34,C37,C38,C39))</f>
        <v>597915</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104056</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T15" sqref="T15:AA15"/>
      <selection pane="bottomLeft" activeCell="T15" sqref="T15:AA1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93356</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1718945</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787540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2599841</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8993</v>
      </c>
      <c r="D9" s="516"/>
      <c r="E9" s="481"/>
      <c r="F9" s="481"/>
      <c r="G9" s="517"/>
      <c r="H9" s="481"/>
      <c r="I9" s="509" t="s">
        <v>1231</v>
      </c>
      <c r="J9" s="478"/>
      <c r="K9" s="481"/>
      <c r="L9" s="347"/>
    </row>
    <row r="10" spans="1:13" s="519" customFormat="1" ht="13.5" thickBot="1" x14ac:dyDescent="0.25">
      <c r="A10" s="1758" t="s">
        <v>1235</v>
      </c>
      <c r="B10" s="1731"/>
      <c r="C10" s="1710">
        <f>SUM(C8:C9)</f>
        <v>2608834</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1629424</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633010</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2262434</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8993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2271427</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2" t="s">
        <v>1754</v>
      </c>
      <c r="B20" s="2143"/>
      <c r="C20" s="1768">
        <f>C8-C17</f>
        <v>337407</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337407</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2071</v>
      </c>
      <c r="B79" s="534"/>
      <c r="C79" s="478">
        <v>260508</v>
      </c>
      <c r="D79" s="535"/>
      <c r="E79" s="535"/>
      <c r="F79" s="535"/>
      <c r="G79" s="535"/>
      <c r="H79" s="535"/>
      <c r="I79" s="535"/>
      <c r="J79" s="535"/>
      <c r="K79" s="535"/>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2072</v>
      </c>
      <c r="B81" s="2137"/>
      <c r="C81" s="1710">
        <f>(SUM(C78:C80))</f>
        <v>597915</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337407</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0.56430596322219717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T15" sqref="T15:AA15"/>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1606</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1606</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88000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3750</v>
      </c>
      <c r="D107" s="466"/>
      <c r="E107" s="466"/>
      <c r="F107" s="466"/>
      <c r="G107" s="466"/>
      <c r="H107" s="466"/>
      <c r="I107" s="466"/>
      <c r="J107" s="467"/>
      <c r="K107" s="466"/>
    </row>
    <row r="108" spans="1:12" ht="12.75" customHeight="1" thickBot="1" x14ac:dyDescent="0.25">
      <c r="A108" s="1730" t="s">
        <v>508</v>
      </c>
      <c r="B108" s="1734"/>
      <c r="C108" s="1729">
        <f>SUM(C95:C107)</f>
        <v>91750</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93356</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1718945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1718945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1718945</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1718945</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787540</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787540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787540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787540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2599841</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0" activePane="bottomLeft" state="frozen"/>
      <selection activeCell="T15" sqref="T15:AA15"/>
      <selection pane="bottomLeft" activeCell="T15" sqref="T15:AA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v>100</v>
      </c>
    </row>
    <row r="13" spans="1:14" x14ac:dyDescent="0.2">
      <c r="A13" s="1526" t="s">
        <v>747</v>
      </c>
      <c r="B13" s="615">
        <v>1400</v>
      </c>
      <c r="C13" s="466">
        <v>95859</v>
      </c>
      <c r="D13" s="466"/>
      <c r="E13" s="466">
        <v>316154</v>
      </c>
      <c r="F13" s="466">
        <v>436858</v>
      </c>
      <c r="G13" s="466">
        <v>780553</v>
      </c>
      <c r="H13" s="466"/>
      <c r="I13" s="467"/>
      <c r="J13" s="467"/>
      <c r="K13" s="1693">
        <f t="shared" si="0"/>
        <v>1629424</v>
      </c>
      <c r="L13" s="466">
        <v>1628552</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95859</v>
      </c>
      <c r="D33" s="1692">
        <f t="shared" ref="D33:L33" si="1">SUM(D5:D32)</f>
        <v>0</v>
      </c>
      <c r="E33" s="1692">
        <f t="shared" si="1"/>
        <v>316154</v>
      </c>
      <c r="F33" s="1692">
        <f t="shared" si="1"/>
        <v>436858</v>
      </c>
      <c r="G33" s="1692">
        <f t="shared" si="1"/>
        <v>780553</v>
      </c>
      <c r="H33" s="1692">
        <f t="shared" si="1"/>
        <v>0</v>
      </c>
      <c r="I33" s="1692">
        <f t="shared" si="1"/>
        <v>0</v>
      </c>
      <c r="J33" s="1692">
        <f t="shared" si="1"/>
        <v>0</v>
      </c>
      <c r="K33" s="1692">
        <f t="shared" si="1"/>
        <v>1629424</v>
      </c>
      <c r="L33" s="1692">
        <f t="shared" si="1"/>
        <v>1628652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33585</v>
      </c>
      <c r="D37" s="466">
        <v>6638</v>
      </c>
      <c r="E37" s="466">
        <v>170179</v>
      </c>
      <c r="F37" s="466"/>
      <c r="G37" s="466"/>
      <c r="H37" s="466"/>
      <c r="I37" s="467"/>
      <c r="J37" s="467"/>
      <c r="K37" s="1693">
        <f t="shared" si="2"/>
        <v>210402</v>
      </c>
      <c r="L37" s="466">
        <v>209829</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33585</v>
      </c>
      <c r="D42" s="1692">
        <f t="shared" ref="D42:L42" si="3">SUM(D36:D41)</f>
        <v>6638</v>
      </c>
      <c r="E42" s="1692">
        <f t="shared" si="3"/>
        <v>170179</v>
      </c>
      <c r="F42" s="1692">
        <f t="shared" si="3"/>
        <v>0</v>
      </c>
      <c r="G42" s="1692">
        <f t="shared" si="3"/>
        <v>0</v>
      </c>
      <c r="H42" s="1692">
        <f t="shared" si="3"/>
        <v>0</v>
      </c>
      <c r="I42" s="1692">
        <f t="shared" si="3"/>
        <v>0</v>
      </c>
      <c r="J42" s="1692">
        <f t="shared" si="3"/>
        <v>0</v>
      </c>
      <c r="K42" s="1692">
        <f t="shared" si="3"/>
        <v>210402</v>
      </c>
      <c r="L42" s="1692">
        <f t="shared" si="3"/>
        <v>209829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67281</v>
      </c>
      <c r="D44" s="481">
        <v>11641</v>
      </c>
      <c r="E44" s="481">
        <v>120866</v>
      </c>
      <c r="F44" s="481">
        <v>4566</v>
      </c>
      <c r="G44" s="481"/>
      <c r="H44" s="481"/>
      <c r="I44" s="467"/>
      <c r="J44" s="467"/>
      <c r="K44" s="1694">
        <f>SUM(C44:J44)</f>
        <v>204354</v>
      </c>
      <c r="L44" s="481">
        <v>204893</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67281</v>
      </c>
      <c r="D47" s="1692">
        <f t="shared" ref="D47:K47" si="4">SUM(D44:D46)</f>
        <v>11641</v>
      </c>
      <c r="E47" s="1692">
        <f t="shared" si="4"/>
        <v>120866</v>
      </c>
      <c r="F47" s="1692">
        <f t="shared" si="4"/>
        <v>4566</v>
      </c>
      <c r="G47" s="1692">
        <f t="shared" si="4"/>
        <v>0</v>
      </c>
      <c r="H47" s="1692">
        <f t="shared" si="4"/>
        <v>0</v>
      </c>
      <c r="I47" s="1692">
        <f t="shared" si="4"/>
        <v>0</v>
      </c>
      <c r="J47" s="1692">
        <f t="shared" si="4"/>
        <v>0</v>
      </c>
      <c r="K47" s="1692">
        <f t="shared" si="4"/>
        <v>204354</v>
      </c>
      <c r="L47" s="1692">
        <f>SUM(L44:L46)</f>
        <v>204893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166330</v>
      </c>
      <c r="D49" s="481">
        <v>45590</v>
      </c>
      <c r="E49" s="481">
        <v>4742</v>
      </c>
      <c r="F49" s="481">
        <v>87</v>
      </c>
      <c r="G49" s="481"/>
      <c r="H49" s="481">
        <v>250</v>
      </c>
      <c r="I49" s="467">
        <v>1255</v>
      </c>
      <c r="J49" s="467"/>
      <c r="K49" s="1694">
        <f>SUM(C49:J49)</f>
        <v>218254</v>
      </c>
      <c r="L49" s="481">
        <v>223616</v>
      </c>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166330</v>
      </c>
      <c r="D53" s="1692">
        <f t="shared" ref="D53:L53" si="5">SUM(D49:D52)</f>
        <v>45590</v>
      </c>
      <c r="E53" s="1692">
        <f t="shared" si="5"/>
        <v>4742</v>
      </c>
      <c r="F53" s="1692">
        <f t="shared" si="5"/>
        <v>87</v>
      </c>
      <c r="G53" s="1692">
        <f t="shared" si="5"/>
        <v>0</v>
      </c>
      <c r="H53" s="1692">
        <f t="shared" si="5"/>
        <v>250</v>
      </c>
      <c r="I53" s="1692">
        <f t="shared" si="5"/>
        <v>1255</v>
      </c>
      <c r="J53" s="1692">
        <f t="shared" si="5"/>
        <v>0</v>
      </c>
      <c r="K53" s="1692">
        <f t="shared" si="5"/>
        <v>218254</v>
      </c>
      <c r="L53" s="1692">
        <f t="shared" si="5"/>
        <v>223616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0</v>
      </c>
      <c r="F65" s="1692">
        <f t="shared" si="8"/>
        <v>0</v>
      </c>
      <c r="G65" s="1692">
        <f t="shared" si="8"/>
        <v>0</v>
      </c>
      <c r="H65" s="1692">
        <f t="shared" si="8"/>
        <v>0</v>
      </c>
      <c r="I65" s="1692">
        <f t="shared" si="8"/>
        <v>0</v>
      </c>
      <c r="J65" s="1692">
        <f t="shared" si="8"/>
        <v>0</v>
      </c>
      <c r="K65" s="1692">
        <f t="shared" si="8"/>
        <v>0</v>
      </c>
      <c r="L65" s="1692">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267196</v>
      </c>
      <c r="D74" s="1699">
        <f t="shared" ref="D74:K74" si="10">SUM(D42,D47,D53,D57,D65,D72,D73)</f>
        <v>63869</v>
      </c>
      <c r="E74" s="1699">
        <f t="shared" si="10"/>
        <v>295787</v>
      </c>
      <c r="F74" s="1699">
        <f t="shared" si="10"/>
        <v>4653</v>
      </c>
      <c r="G74" s="1699">
        <f t="shared" si="10"/>
        <v>0</v>
      </c>
      <c r="H74" s="1699">
        <f t="shared" si="10"/>
        <v>250</v>
      </c>
      <c r="I74" s="1699">
        <f t="shared" si="10"/>
        <v>1255</v>
      </c>
      <c r="J74" s="1699">
        <f t="shared" si="10"/>
        <v>0</v>
      </c>
      <c r="K74" s="1699">
        <f t="shared" si="10"/>
        <v>633010</v>
      </c>
      <c r="L74" s="1699">
        <f>SUM(L42,L47,L53,L57,L65,L72,L73)</f>
        <v>638338</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363055</v>
      </c>
      <c r="D114" s="1692">
        <f t="shared" ref="D114:K114" si="13">SUM(D33,D74,D75,D102,D112,D113)</f>
        <v>63869</v>
      </c>
      <c r="E114" s="1692">
        <f t="shared" si="13"/>
        <v>611941</v>
      </c>
      <c r="F114" s="1692">
        <f t="shared" si="13"/>
        <v>441511</v>
      </c>
      <c r="G114" s="1692">
        <f t="shared" si="13"/>
        <v>780553</v>
      </c>
      <c r="H114" s="1692">
        <f>SUM(H33,H74,H75,H102,H112,H113)</f>
        <v>250</v>
      </c>
      <c r="I114" s="1692">
        <f t="shared" si="13"/>
        <v>1255</v>
      </c>
      <c r="J114" s="1692">
        <f t="shared" si="13"/>
        <v>0</v>
      </c>
      <c r="K114" s="1692">
        <f t="shared" si="13"/>
        <v>2262434</v>
      </c>
      <c r="L114" s="1692">
        <f>SUM(L33,L74,L75,L102,L112,L113)</f>
        <v>2266990</v>
      </c>
    </row>
    <row r="115" spans="1:14" ht="13.5" thickTop="1" x14ac:dyDescent="0.2">
      <c r="A115" s="2197" t="s">
        <v>1053</v>
      </c>
      <c r="B115" s="2198"/>
      <c r="C115" s="619"/>
      <c r="D115" s="619"/>
      <c r="E115" s="619"/>
      <c r="F115" s="619"/>
      <c r="G115" s="619"/>
      <c r="H115" s="619"/>
      <c r="I115" s="619"/>
      <c r="J115" s="619"/>
      <c r="K115" s="1706">
        <f>'Revenues 9-14'!C275-'Expenditures 15-22'!K114</f>
        <v>337407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0" t="s">
        <v>1240</v>
      </c>
      <c r="B152" s="2191"/>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97" t="s">
        <v>1053</v>
      </c>
      <c r="B175" s="2198"/>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97" t="s">
        <v>1053</v>
      </c>
      <c r="B211" s="2198"/>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97" t="s">
        <v>1053</v>
      </c>
      <c r="B296" s="2198"/>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3" t="s">
        <v>1053</v>
      </c>
      <c r="B343" s="2184"/>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7" t="s">
        <v>1053</v>
      </c>
      <c r="B368" s="2198"/>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15" sqref="T15:AA1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2035</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T15" sqref="T15:AA1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2036</v>
      </c>
      <c r="D2" s="724" t="s">
        <v>2043</v>
      </c>
      <c r="E2" s="724" t="s">
        <v>2044</v>
      </c>
      <c r="F2" s="1909" t="s">
        <v>2037</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T15" sqref="T15:AA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0</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0</v>
      </c>
      <c r="I23" s="1780">
        <f>SUM(I14:I16,I21,I22)</f>
        <v>0</v>
      </c>
      <c r="J23" s="1780">
        <f>SUM(J14:J16,J21,J22)</f>
        <v>0</v>
      </c>
      <c r="K23" s="1780">
        <f>SUM(K14:K16,K21,K22)</f>
        <v>0</v>
      </c>
    </row>
    <row r="24" spans="1:11" ht="14.25" thickTop="1" thickBot="1" x14ac:dyDescent="0.25">
      <c r="A24" s="2251" t="s">
        <v>2024</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15" sqref="T15:AA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c r="D12" s="845"/>
      <c r="E12" s="845"/>
      <c r="F12" s="1782">
        <f>(C12+D12)-E12</f>
        <v>0</v>
      </c>
      <c r="G12" s="844">
        <v>10</v>
      </c>
      <c r="H12" s="766"/>
      <c r="I12" s="766"/>
      <c r="J12" s="766"/>
      <c r="K12" s="1791">
        <f>(H12+I12)-J12</f>
        <v>0</v>
      </c>
      <c r="L12" s="1791">
        <f>F12-K12</f>
        <v>0</v>
      </c>
    </row>
    <row r="13" spans="1:14" ht="14.25" thickTop="1" thickBot="1" x14ac:dyDescent="0.25">
      <c r="A13" s="849" t="s">
        <v>1184</v>
      </c>
      <c r="B13" s="841">
        <v>252</v>
      </c>
      <c r="C13" s="845">
        <v>104056</v>
      </c>
      <c r="D13" s="845"/>
      <c r="E13" s="845"/>
      <c r="F13" s="1782">
        <f>(C13+D13)-E13</f>
        <v>104056</v>
      </c>
      <c r="G13" s="844">
        <v>5</v>
      </c>
      <c r="H13" s="766">
        <v>100369</v>
      </c>
      <c r="I13" s="766">
        <v>900</v>
      </c>
      <c r="J13" s="766"/>
      <c r="K13" s="1791">
        <f>(H13+I13)-J13</f>
        <v>101269</v>
      </c>
      <c r="L13" s="1791">
        <f>F13-K13</f>
        <v>2787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104056</v>
      </c>
      <c r="D16" s="1782">
        <f>SUM(D3,D5:D6,D8:D10,D12:D15)</f>
        <v>0</v>
      </c>
      <c r="E16" s="1782">
        <f>SUM(E3,E5:E6,E8:E10,E12:E15)</f>
        <v>0</v>
      </c>
      <c r="F16" s="1782">
        <f>SUM(F3,F5:F6,F8:F10,F12:F15)</f>
        <v>104056</v>
      </c>
      <c r="G16" s="844"/>
      <c r="H16" s="1782">
        <f>SUM(H3,H6,H8:H10,H12:H14,)</f>
        <v>100369</v>
      </c>
      <c r="I16" s="1782">
        <f>SUM(I3,I6,I8:I10,I12:I14,)</f>
        <v>900</v>
      </c>
      <c r="J16" s="1782">
        <f>SUM(J3,J6,J8:J10,J12:J14,)</f>
        <v>0</v>
      </c>
      <c r="K16" s="1782">
        <f>(H16+I16)-J16</f>
        <v>101269</v>
      </c>
      <c r="L16" s="1782">
        <f>F16-K16</f>
        <v>2787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1255</v>
      </c>
      <c r="G17" s="838">
        <v>10</v>
      </c>
      <c r="H17" s="770"/>
      <c r="I17" s="1791">
        <f>F17/G17</f>
        <v>125.5</v>
      </c>
      <c r="J17" s="770"/>
      <c r="K17" s="796"/>
      <c r="L17" s="796"/>
    </row>
    <row r="18" spans="1:12" ht="14.25" thickTop="1" thickBot="1" x14ac:dyDescent="0.25">
      <c r="A18" s="1789" t="s">
        <v>706</v>
      </c>
      <c r="B18" s="1790"/>
      <c r="C18" s="772"/>
      <c r="D18" s="772"/>
      <c r="E18" s="772"/>
      <c r="F18" s="851"/>
      <c r="G18" s="852"/>
      <c r="H18" s="774"/>
      <c r="I18" s="1782">
        <f>SUM(I16,I17)</f>
        <v>1025.5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T15" sqref="T15:AA15"/>
      <selection pane="bottomLeft" activeCell="T15" sqref="T15:AA1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2262434</v>
      </c>
      <c r="G8" s="866"/>
    </row>
    <row r="9" spans="1:7" x14ac:dyDescent="0.2">
      <c r="A9" s="870" t="s">
        <v>480</v>
      </c>
      <c r="B9" s="871" t="s">
        <v>1988</v>
      </c>
      <c r="C9" s="872"/>
      <c r="D9" s="870" t="s">
        <v>522</v>
      </c>
      <c r="E9" s="869"/>
      <c r="F9" s="1935">
        <f>'Expenditures 15-22'!K151</f>
        <v>0</v>
      </c>
      <c r="G9" s="873"/>
    </row>
    <row r="10" spans="1:7" x14ac:dyDescent="0.2">
      <c r="A10" s="870" t="s">
        <v>520</v>
      </c>
      <c r="B10" s="871" t="s">
        <v>1989</v>
      </c>
      <c r="C10" s="872"/>
      <c r="D10" s="870" t="s">
        <v>522</v>
      </c>
      <c r="E10" s="869"/>
      <c r="F10" s="1935">
        <f>'Expenditures 15-22'!K174</f>
        <v>0</v>
      </c>
      <c r="G10" s="873"/>
    </row>
    <row r="11" spans="1:7" x14ac:dyDescent="0.2">
      <c r="A11" s="870" t="s">
        <v>481</v>
      </c>
      <c r="B11" s="871" t="s">
        <v>1990</v>
      </c>
      <c r="C11" s="872"/>
      <c r="D11" s="870" t="s">
        <v>522</v>
      </c>
      <c r="E11" s="869"/>
      <c r="F11" s="1935">
        <f>'Expenditures 15-22'!K210</f>
        <v>0</v>
      </c>
      <c r="G11" s="873"/>
    </row>
    <row r="12" spans="1:7" x14ac:dyDescent="0.2">
      <c r="A12" s="870" t="s">
        <v>482</v>
      </c>
      <c r="B12" s="871" t="s">
        <v>1991</v>
      </c>
      <c r="C12" s="872"/>
      <c r="D12" s="870" t="s">
        <v>522</v>
      </c>
      <c r="E12" s="869"/>
      <c r="F12" s="1935">
        <f>'Expenditures 15-22'!K295</f>
        <v>0</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2262434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780553</v>
      </c>
      <c r="G54" s="866"/>
    </row>
    <row r="55" spans="1:7" x14ac:dyDescent="0.2">
      <c r="A55" s="870" t="s">
        <v>479</v>
      </c>
      <c r="B55" s="870" t="s">
        <v>1553</v>
      </c>
      <c r="C55" s="890" t="s">
        <v>1039</v>
      </c>
      <c r="D55" s="886" t="s">
        <v>309</v>
      </c>
      <c r="E55" s="869"/>
      <c r="F55" s="1939">
        <f>'Expenditures 15-22'!I114</f>
        <v>1255</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781808</v>
      </c>
      <c r="G76" s="866"/>
    </row>
    <row r="77" spans="1:8" s="894" customFormat="1" ht="12" customHeight="1" thickTop="1" thickBot="1" x14ac:dyDescent="0.25">
      <c r="A77" s="1801"/>
      <c r="B77" s="1798"/>
      <c r="C77" s="1794"/>
      <c r="D77" s="1799" t="s">
        <v>2011</v>
      </c>
      <c r="E77" s="1796"/>
      <c r="F77" s="1802">
        <f>(F14-F76)</f>
        <v>1480626</v>
      </c>
      <c r="G77" s="870"/>
    </row>
    <row r="78" spans="1:8" s="894" customFormat="1" ht="12" customHeight="1" thickTop="1" x14ac:dyDescent="0.2">
      <c r="A78" s="1803"/>
      <c r="B78" s="1798"/>
      <c r="C78" s="1794"/>
      <c r="D78" s="1799" t="s">
        <v>2057</v>
      </c>
      <c r="E78" s="1796"/>
      <c r="F78" s="899">
        <v>0</v>
      </c>
      <c r="G78" s="900"/>
      <c r="H78" s="870"/>
    </row>
    <row r="79" spans="1:8" s="894" customFormat="1" ht="12" customHeight="1" thickBot="1" x14ac:dyDescent="0.25">
      <c r="A79" s="1804"/>
      <c r="B79" s="1798"/>
      <c r="C79" s="1794"/>
      <c r="D79" s="1799" t="s">
        <v>2012</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88000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1718945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787540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2594485</v>
      </c>
    </row>
    <row r="179" spans="1:7" ht="12" customHeight="1" x14ac:dyDescent="0.2">
      <c r="A179" s="1792"/>
      <c r="B179" s="1806"/>
      <c r="C179" s="1807"/>
      <c r="D179" s="1808" t="s">
        <v>2014</v>
      </c>
      <c r="E179" s="1809"/>
      <c r="F179" s="1811">
        <f>'PCTC-OEPP 27-28'!F77-F178</f>
        <v>-1113859</v>
      </c>
    </row>
    <row r="180" spans="1:7" ht="12" customHeight="1" x14ac:dyDescent="0.2">
      <c r="A180" s="1792"/>
      <c r="B180" s="1806"/>
      <c r="C180" s="1807"/>
      <c r="D180" s="1808" t="s">
        <v>1924</v>
      </c>
      <c r="E180" s="1809"/>
      <c r="F180" s="1811">
        <f>'Cap Outlay Deprec 26'!I18</f>
        <v>1025.5</v>
      </c>
    </row>
    <row r="181" spans="1:7" ht="12" customHeight="1" x14ac:dyDescent="0.2">
      <c r="A181" s="1792"/>
      <c r="B181" s="1806"/>
      <c r="C181" s="1807"/>
      <c r="D181" s="1808" t="s">
        <v>2015</v>
      </c>
      <c r="E181" s="1809"/>
      <c r="F181" s="1811">
        <f>F179+F180</f>
        <v>-1112833.5</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2016</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T15" sqref="T15:AA15"/>
      <selection pane="bottomLeft" activeCell="T15" sqref="T15:AA1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2076</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2075</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2092</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T15" sqref="T15:AA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3" t="s">
        <v>1944</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848871</v>
      </c>
      <c r="F19" s="1822"/>
      <c r="G19" s="1824">
        <f>'Expenditures 15-22'!K33-SUM('Expenditures 15-22'!G33,'Expenditures 15-22'!I33)+'Expenditures 15-22'!D229</f>
        <v>848871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210402</v>
      </c>
      <c r="F21" s="1825"/>
      <c r="G21" s="1828">
        <f>'Expenditures 15-22'!K42-SUM('Expenditures 15-22'!G42,'Expenditures 15-22'!I42)+'Expenditures 15-22'!K120-SUM('Expenditures 15-22'!G120,'Expenditures 15-22'!I120)+'Expenditures 15-22'!K180-SUM('Expenditures 15-22'!G180,'Expenditures 15-22'!I180)+'Expenditures 15-22'!D238</f>
        <v>210402</v>
      </c>
      <c r="H21" s="988"/>
      <c r="I21" s="162"/>
    </row>
    <row r="22" spans="1:9" s="669" customFormat="1" ht="12" customHeight="1" x14ac:dyDescent="0.2">
      <c r="A22" s="995" t="s">
        <v>585</v>
      </c>
      <c r="B22" s="996"/>
      <c r="C22" s="994">
        <v>2200</v>
      </c>
      <c r="D22" s="1825"/>
      <c r="E22" s="1827">
        <f>'Expenditures 15-22'!K47-SUM('Expenditures 15-22'!G47,'Expenditures 15-22'!I47)+'Expenditures 15-22'!D243</f>
        <v>204354</v>
      </c>
      <c r="F22" s="1825"/>
      <c r="G22" s="1828">
        <f>'Expenditures 15-22'!K47-SUM('Expenditures 15-22'!G47,'Expenditures 15-22'!I47)+'Expenditures 15-22'!D243</f>
        <v>204354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216999</v>
      </c>
      <c r="F23" s="1825"/>
      <c r="G23" s="1827">
        <f>'Expenditures 15-22'!K53-SUM('Expenditures 15-22'!G53,'Expenditures 15-22'!I53)+'Expenditures 15-22'!D257+'Expenditures 15-22'!K330-SUM('Expenditures 15-22'!G330,'Expenditures 15-22'!I330)</f>
        <v>216999</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0</v>
      </c>
      <c r="F28" s="1829">
        <f>'Expenditures 15-22'!K61-SUM('Expenditures 15-22'!G61,'Expenditures 15-22'!I61)+'Expenditures 15-22'!K124-SUM('Expenditures 15-22'!G124,'Expenditures 15-22'!I124)+'Expenditures 15-22'!D266-E9</f>
        <v>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1480626</v>
      </c>
      <c r="F41" s="1829">
        <f>SUM(F19:F39)</f>
        <v>0</v>
      </c>
      <c r="G41" s="1829">
        <f>SUM(G19:G40)</f>
        <v>1480626</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0</v>
      </c>
      <c r="F43" s="1830" t="s">
        <v>495</v>
      </c>
      <c r="G43" s="1831">
        <f>F41</f>
        <v>0</v>
      </c>
    </row>
    <row r="44" spans="1:7" ht="12" customHeight="1" x14ac:dyDescent="0.2">
      <c r="A44" s="988"/>
      <c r="B44" s="162"/>
      <c r="C44" s="1002"/>
      <c r="D44" s="1830" t="s">
        <v>494</v>
      </c>
      <c r="E44" s="1831">
        <f>E41</f>
        <v>1480626</v>
      </c>
      <c r="F44" s="1830" t="s">
        <v>494</v>
      </c>
      <c r="G44" s="1831">
        <f>G41</f>
        <v>1480626</v>
      </c>
    </row>
    <row r="45" spans="1:7" ht="12" customHeight="1" x14ac:dyDescent="0.2">
      <c r="A45" s="988"/>
      <c r="B45" s="162"/>
      <c r="C45" s="162"/>
      <c r="D45" s="1832" t="s">
        <v>1063</v>
      </c>
      <c r="E45" s="1833">
        <f>(E43/E44)</f>
        <v>0</v>
      </c>
      <c r="F45" s="1832" t="s">
        <v>1063</v>
      </c>
      <c r="G45" s="1833">
        <f>(G43/G44)</f>
        <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T15" sqref="T15:AA15"/>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Northwest Ed Council for Student Success</v>
      </c>
      <c r="D6" s="2313"/>
      <c r="E6" s="2313"/>
      <c r="F6" s="1877"/>
    </row>
    <row r="7" spans="1:10" ht="11.25" customHeight="1" thickBot="1" x14ac:dyDescent="0.3">
      <c r="A7" s="1875"/>
      <c r="B7" s="1876"/>
      <c r="C7" s="2314">
        <f>COVER!A13</f>
        <v>5016214046</v>
      </c>
      <c r="D7" s="2314"/>
      <c r="E7" s="2314"/>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2078</v>
      </c>
      <c r="D14" s="1890" t="s">
        <v>2078</v>
      </c>
      <c r="E14" s="1893" t="s">
        <v>2078</v>
      </c>
      <c r="F14" s="1892" t="s">
        <v>2091</v>
      </c>
      <c r="H14" s="1903">
        <f t="shared" si="0"/>
        <v>5</v>
      </c>
      <c r="I14" s="1903">
        <f t="shared" si="1"/>
        <v>5</v>
      </c>
      <c r="J14" s="1903">
        <f t="shared" si="2"/>
        <v>5</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15" sqref="T15:AA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Northwest Ed Council for Student Success</v>
      </c>
      <c r="J6" s="2334"/>
      <c r="Q6" s="1686"/>
    </row>
    <row r="7" spans="1:17" x14ac:dyDescent="0.2">
      <c r="A7" s="2335" t="s">
        <v>924</v>
      </c>
      <c r="B7" s="2336"/>
      <c r="C7" s="2336"/>
      <c r="D7" s="2336"/>
      <c r="E7" s="2337"/>
      <c r="F7" s="1018"/>
      <c r="G7" s="1010"/>
      <c r="H7" s="1017" t="s">
        <v>390</v>
      </c>
      <c r="I7" s="2338">
        <f>COVER!A13</f>
        <v>5016214046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0</v>
      </c>
      <c r="F19" s="1836">
        <f t="shared" si="2"/>
        <v>0</v>
      </c>
      <c r="G19" s="1836">
        <f t="shared" si="2"/>
        <v>0</v>
      </c>
      <c r="H19" s="1836">
        <f t="shared" si="2"/>
        <v>0</v>
      </c>
      <c r="I19" s="1836">
        <f t="shared" si="2"/>
        <v>0</v>
      </c>
      <c r="J19" s="1836">
        <f t="shared" si="2"/>
        <v>0</v>
      </c>
    </row>
    <row r="20" spans="1:10" ht="13.5" thickTop="1" x14ac:dyDescent="0.2">
      <c r="A20" s="1036">
        <v>9</v>
      </c>
      <c r="B20" s="2345" t="s">
        <v>1703</v>
      </c>
      <c r="C20" s="2345"/>
      <c r="D20" s="2346"/>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15" sqref="T15:AA1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Northwest Ed Council for Student Success</v>
      </c>
    </row>
    <row r="65" spans="2:2" x14ac:dyDescent="0.2">
      <c r="B65" s="1071">
        <f>COVER!A13</f>
        <v>5016214046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3</xdr:row>
                <xdr:rowOff>0</xdr:rowOff>
              </from>
              <to>
                <xdr:col>3</xdr:col>
                <xdr:colOff>304800</xdr:colOff>
                <xdr:row>7</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4</xdr:col>
                <xdr:colOff>0</xdr:colOff>
                <xdr:row>5</xdr:row>
                <xdr:rowOff>0</xdr:rowOff>
              </from>
              <to>
                <xdr:col>5</xdr:col>
                <xdr:colOff>304800</xdr:colOff>
                <xdr:row>9</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2599841</v>
      </c>
      <c r="C8" s="1838">
        <f>'Acct Summary 7-8'!D8</f>
        <v>0</v>
      </c>
      <c r="D8" s="1838">
        <f>'Acct Summary 7-8'!F8</f>
        <v>0</v>
      </c>
      <c r="E8" s="1838">
        <f>'Acct Summary 7-8'!I8</f>
        <v>0</v>
      </c>
      <c r="F8" s="1838">
        <f>SUM(B8:E8)</f>
        <v>2599841</v>
      </c>
    </row>
    <row r="9" spans="1:8" s="1080" customFormat="1" ht="14.25" customHeight="1" thickBot="1" x14ac:dyDescent="0.25">
      <c r="A9" s="1079" t="s">
        <v>1436</v>
      </c>
      <c r="B9" s="1839">
        <f>'Acct Summary 7-8'!C17</f>
        <v>2262434</v>
      </c>
      <c r="C9" s="1839">
        <f>'Acct Summary 7-8'!D17</f>
        <v>0</v>
      </c>
      <c r="D9" s="1839">
        <f>'Acct Summary 7-8'!F17</f>
        <v>0</v>
      </c>
      <c r="E9" s="1838"/>
      <c r="F9" s="1838">
        <f>SUM(B9:E9)</f>
        <v>2262434</v>
      </c>
    </row>
    <row r="10" spans="1:8" s="1080" customFormat="1" ht="14.25" thickTop="1" thickBot="1" x14ac:dyDescent="0.25">
      <c r="A10" s="1081" t="s">
        <v>1437</v>
      </c>
      <c r="B10" s="1840">
        <f>(B8-B9)</f>
        <v>337407</v>
      </c>
      <c r="C10" s="1840">
        <f>(C8-C9)</f>
        <v>0</v>
      </c>
      <c r="D10" s="1840">
        <f>(D8-D9)</f>
        <v>0</v>
      </c>
      <c r="E10" s="1839">
        <f>(E8-E9)</f>
        <v>0</v>
      </c>
      <c r="F10" s="1841">
        <f>SUM(F8-F9)</f>
        <v>337407</v>
      </c>
    </row>
    <row r="11" spans="1:8" s="1080" customFormat="1" ht="14.25" thickTop="1" thickBot="1" x14ac:dyDescent="0.25">
      <c r="A11" s="1082" t="s">
        <v>1785</v>
      </c>
      <c r="B11" s="1842">
        <f>'Acct Summary 7-8'!C81</f>
        <v>597915</v>
      </c>
      <c r="C11" s="1842">
        <f>'Acct Summary 7-8'!D81</f>
        <v>0</v>
      </c>
      <c r="D11" s="1842">
        <f>'Acct Summary 7-8'!F81</f>
        <v>0</v>
      </c>
      <c r="E11" s="1842">
        <f>'Acct Summary 7-8'!I81</f>
        <v>0</v>
      </c>
      <c r="F11" s="1843">
        <f>SUM(B11:E11)</f>
        <v>597915</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5016214046</v>
      </c>
    </row>
    <row r="3" spans="1:2" x14ac:dyDescent="0.2">
      <c r="A3" t="s">
        <v>1013</v>
      </c>
      <c r="B3" s="138" t="str">
        <f>COVER!A15</f>
        <v>COOK</v>
      </c>
    </row>
    <row r="4" spans="1:2" x14ac:dyDescent="0.2">
      <c r="A4" t="s">
        <v>1064</v>
      </c>
      <c r="B4" s="138" t="str">
        <f>COVER!A17</f>
        <v>Northwest Ed Council for Student Success</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060-003973</v>
      </c>
    </row>
    <row r="16" spans="1:2" x14ac:dyDescent="0.2">
      <c r="A16" t="s">
        <v>442</v>
      </c>
      <c r="B16" s="138" t="str">
        <f>COVER!T13</f>
        <v>EVANS, MARSHALL AND PEASE, P.C.</v>
      </c>
    </row>
    <row r="17" spans="1:2" x14ac:dyDescent="0.2">
      <c r="A17" t="s">
        <v>939</v>
      </c>
      <c r="B17" s="138" t="str">
        <f>COVER!T15</f>
        <v>CHRISTOPHER M. SCALET, C.P.A.</v>
      </c>
    </row>
    <row r="18" spans="1:2" x14ac:dyDescent="0.2">
      <c r="A18" t="s">
        <v>1212</v>
      </c>
      <c r="B18" s="138" t="str">
        <f>COVER!T17</f>
        <v>1875 HICKS ROAD</v>
      </c>
    </row>
    <row r="19" spans="1:2" x14ac:dyDescent="0.2">
      <c r="A19" t="s">
        <v>941</v>
      </c>
      <c r="B19" s="138" t="str">
        <f>COVER!T25</f>
        <v>JEFF@EMPCPA.COM</v>
      </c>
    </row>
    <row r="20" spans="1:2" x14ac:dyDescent="0.2">
      <c r="A20" t="s">
        <v>942</v>
      </c>
      <c r="B20" s="138" t="str">
        <f>COVER!T19</f>
        <v>ROLLING MEADOWS</v>
      </c>
    </row>
    <row r="21" spans="1:2" x14ac:dyDescent="0.2">
      <c r="A21" t="s">
        <v>500</v>
      </c>
      <c r="B21" s="138" t="str">
        <f>COVER!X19</f>
        <v>ILLINOIS</v>
      </c>
    </row>
    <row r="22" spans="1:2" x14ac:dyDescent="0.2">
      <c r="A22" t="s">
        <v>943</v>
      </c>
      <c r="B22" s="138">
        <f>COVER!Z19</f>
        <v>60008</v>
      </c>
    </row>
    <row r="23" spans="1:2" x14ac:dyDescent="0.2">
      <c r="A23" t="s">
        <v>1214</v>
      </c>
      <c r="B23" s="138" t="str">
        <f>COVER!T21</f>
        <v>847-221-5700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597915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597915</v>
      </c>
      <c r="D92" s="2" t="str">
        <f t="shared" si="0"/>
        <v>Error?</v>
      </c>
    </row>
    <row r="93" spans="1:4" x14ac:dyDescent="0.2">
      <c r="A93" s="5">
        <v>32</v>
      </c>
      <c r="B93" s="138">
        <f>'Assets-Liab 5-6'!C41</f>
        <v>597915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104056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104056</v>
      </c>
      <c r="C279" s="2" t="s">
        <v>594</v>
      </c>
      <c r="D279" s="2" t="str">
        <f t="shared" si="3"/>
        <v>Error?</v>
      </c>
    </row>
    <row r="280" spans="1:4" x14ac:dyDescent="0.2">
      <c r="A280" s="5">
        <v>219</v>
      </c>
      <c r="B280" s="138">
        <f>'Assets-Liab 5-6'!M40</f>
        <v>104056</v>
      </c>
      <c r="D280" s="2" t="str">
        <f t="shared" si="3"/>
        <v>Error?</v>
      </c>
    </row>
    <row r="281" spans="1:4" x14ac:dyDescent="0.2">
      <c r="A281" s="5">
        <v>220</v>
      </c>
      <c r="B281" s="138">
        <f>'Assets-Liab 5-6'!M41</f>
        <v>104056</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95859</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95859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33585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33585</v>
      </c>
      <c r="C727" s="2" t="s">
        <v>594</v>
      </c>
      <c r="D727" s="2" t="str">
        <f t="shared" si="10"/>
        <v>Error?</v>
      </c>
    </row>
    <row r="728" spans="1:4" x14ac:dyDescent="0.2">
      <c r="A728" s="5">
        <v>667</v>
      </c>
      <c r="B728" s="138">
        <f>'Expenditures 15-22'!C44</f>
        <v>67281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67281</v>
      </c>
      <c r="C731" s="2" t="s">
        <v>594</v>
      </c>
      <c r="D731" s="2" t="str">
        <f t="shared" si="10"/>
        <v>Error?</v>
      </c>
    </row>
    <row r="732" spans="1:4" x14ac:dyDescent="0.2">
      <c r="A732" s="5">
        <v>671</v>
      </c>
      <c r="B732" s="138">
        <f>'Expenditures 15-22'!C49</f>
        <v>166330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166330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267196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363055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6638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6638</v>
      </c>
      <c r="C785" s="2" t="s">
        <v>594</v>
      </c>
      <c r="D785" s="2" t="str">
        <f t="shared" si="11"/>
        <v>Error?</v>
      </c>
    </row>
    <row r="786" spans="1:4" x14ac:dyDescent="0.2">
      <c r="A786" s="5">
        <v>725</v>
      </c>
      <c r="B786" s="138">
        <f>'Expenditures 15-22'!D44</f>
        <v>11641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11641</v>
      </c>
      <c r="C789" s="2" t="s">
        <v>594</v>
      </c>
      <c r="D789" s="2" t="str">
        <f t="shared" si="11"/>
        <v>Error?</v>
      </c>
    </row>
    <row r="790" spans="1:4" x14ac:dyDescent="0.2">
      <c r="A790" s="5">
        <v>729</v>
      </c>
      <c r="B790" s="138">
        <f>'Expenditures 15-22'!D49</f>
        <v>45590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45590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63869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63869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316154</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316154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170179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170179</v>
      </c>
      <c r="C843" s="2" t="s">
        <v>594</v>
      </c>
      <c r="D843" s="2" t="str">
        <f t="shared" si="12"/>
        <v>Error?</v>
      </c>
    </row>
    <row r="844" spans="1:4" x14ac:dyDescent="0.2">
      <c r="A844" s="5">
        <v>783</v>
      </c>
      <c r="B844" s="138">
        <f>'Expenditures 15-22'!E44</f>
        <v>120866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120866</v>
      </c>
      <c r="C847" s="2" t="s">
        <v>594</v>
      </c>
      <c r="D847" s="2" t="str">
        <f t="shared" si="12"/>
        <v>Error?</v>
      </c>
    </row>
    <row r="848" spans="1:4" x14ac:dyDescent="0.2">
      <c r="A848" s="5">
        <v>787</v>
      </c>
      <c r="B848" s="138">
        <f>'Expenditures 15-22'!E49</f>
        <v>4742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4742</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295787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611941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436858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436858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4566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4566</v>
      </c>
      <c r="C905" s="2" t="s">
        <v>594</v>
      </c>
      <c r="D905" s="2" t="str">
        <f t="shared" si="13"/>
        <v>Error?</v>
      </c>
    </row>
    <row r="906" spans="1:4" x14ac:dyDescent="0.2">
      <c r="A906" s="5">
        <v>845</v>
      </c>
      <c r="B906" s="138">
        <f>'Expenditures 15-22'!F49</f>
        <v>87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87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4653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441511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780553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780553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780553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250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250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1629424</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1629424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210402</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210402</v>
      </c>
      <c r="C1115" s="2" t="s">
        <v>594</v>
      </c>
      <c r="D1115" s="2" t="str">
        <f t="shared" si="16"/>
        <v>Error?</v>
      </c>
    </row>
    <row r="1116" spans="1:4" x14ac:dyDescent="0.2">
      <c r="A1116" s="5">
        <v>1055</v>
      </c>
      <c r="B1116" s="138">
        <f>'Expenditures 15-22'!K44</f>
        <v>204354</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204354</v>
      </c>
      <c r="C1119" s="2" t="s">
        <v>594</v>
      </c>
      <c r="D1119" s="2" t="str">
        <f t="shared" si="16"/>
        <v>Error?</v>
      </c>
    </row>
    <row r="1120" spans="1:4" x14ac:dyDescent="0.2">
      <c r="A1120" s="5">
        <v>1059</v>
      </c>
      <c r="B1120" s="138">
        <f>'Expenditures 15-22'!K49</f>
        <v>218254</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218254</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633010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2262434</v>
      </c>
      <c r="C1152" s="2" t="s">
        <v>594</v>
      </c>
      <c r="D1152" s="2" t="str">
        <f t="shared" si="17"/>
        <v>Error?</v>
      </c>
    </row>
    <row r="1153" spans="1:4" x14ac:dyDescent="0.2">
      <c r="A1153" s="5">
        <v>1092</v>
      </c>
      <c r="B1153" s="138">
        <f>'Expenditures 15-22'!K115</f>
        <v>337407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260508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597915</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104056</v>
      </c>
      <c r="D2012" s="2" t="str">
        <f t="shared" si="30"/>
        <v>Error?</v>
      </c>
    </row>
    <row r="2013" spans="1:4" x14ac:dyDescent="0.2">
      <c r="A2013" s="5">
        <v>1952</v>
      </c>
      <c r="B2013" s="138">
        <f>'Cap Outlay Deprec 26'!C16</f>
        <v>104056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104056</v>
      </c>
      <c r="C2030" s="2" t="s">
        <v>594</v>
      </c>
      <c r="D2030" s="2" t="str">
        <f t="shared" si="30"/>
        <v>Error?</v>
      </c>
    </row>
    <row r="2031" spans="1:4" x14ac:dyDescent="0.2">
      <c r="A2031" s="5">
        <v>1970</v>
      </c>
      <c r="B2031" s="138">
        <f>'Cap Outlay Deprec 26'!F16</f>
        <v>104056</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100369</v>
      </c>
      <c r="D2036" s="2" t="str">
        <f t="shared" si="30"/>
        <v>Error?</v>
      </c>
    </row>
    <row r="2037" spans="1:4" x14ac:dyDescent="0.2">
      <c r="A2037" s="5">
        <v>1976</v>
      </c>
      <c r="B2037" s="138">
        <f>'Cap Outlay Deprec 26'!H16</f>
        <v>100369</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900</v>
      </c>
      <c r="D2042" s="2" t="str">
        <f t="shared" si="30"/>
        <v>Error?</v>
      </c>
    </row>
    <row r="2043" spans="1:4" x14ac:dyDescent="0.2">
      <c r="A2043" s="5">
        <v>1982</v>
      </c>
      <c r="B2043" s="138">
        <f>'Cap Outlay Deprec 26'!I16</f>
        <v>900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101269</v>
      </c>
      <c r="C2054" s="2" t="s">
        <v>594</v>
      </c>
      <c r="D2054" s="2" t="str">
        <f t="shared" si="31"/>
        <v>Error?</v>
      </c>
    </row>
    <row r="2055" spans="1:4" x14ac:dyDescent="0.2">
      <c r="A2055" s="5">
        <v>1994</v>
      </c>
      <c r="B2055" s="138">
        <f>'Cap Outlay Deprec 26'!K16</f>
        <v>101269</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2787</v>
      </c>
      <c r="C2060" s="2" t="s">
        <v>594</v>
      </c>
      <c r="D2060" s="2" t="str">
        <f t="shared" si="31"/>
        <v>Error?</v>
      </c>
    </row>
    <row r="2061" spans="1:4" x14ac:dyDescent="0.2">
      <c r="A2061" s="5">
        <v>2000</v>
      </c>
      <c r="B2061" s="138">
        <f>'Cap Outlay Deprec 26'!L16</f>
        <v>2787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93356</v>
      </c>
      <c r="C2551" s="2" t="s">
        <v>594</v>
      </c>
      <c r="D2551" s="2" t="str">
        <f t="shared" si="38"/>
        <v>Error?</v>
      </c>
    </row>
    <row r="2552" spans="1:4" x14ac:dyDescent="0.2">
      <c r="A2552" s="10">
        <v>2491</v>
      </c>
      <c r="D2552" s="2" t="str">
        <f t="shared" si="38"/>
        <v>OK</v>
      </c>
    </row>
    <row r="2553" spans="1:4" x14ac:dyDescent="0.2">
      <c r="A2553" s="5">
        <v>2492</v>
      </c>
      <c r="B2553" s="138">
        <f>'Acct Summary 7-8'!C6</f>
        <v>1718945</v>
      </c>
      <c r="C2553" s="2" t="s">
        <v>594</v>
      </c>
      <c r="D2553" s="2" t="str">
        <f t="shared" si="38"/>
        <v>Error?</v>
      </c>
    </row>
    <row r="2554" spans="1:4" x14ac:dyDescent="0.2">
      <c r="A2554" s="5">
        <v>2493</v>
      </c>
      <c r="B2554" s="138">
        <f>'Acct Summary 7-8'!C7</f>
        <v>787540</v>
      </c>
      <c r="C2554" s="2" t="s">
        <v>594</v>
      </c>
      <c r="D2554" s="2" t="str">
        <f t="shared" si="38"/>
        <v>Error?</v>
      </c>
    </row>
    <row r="2555" spans="1:4" x14ac:dyDescent="0.2">
      <c r="A2555" s="5">
        <v>2494</v>
      </c>
      <c r="B2555" s="138">
        <f>'Acct Summary 7-8'!C8</f>
        <v>2599841</v>
      </c>
      <c r="C2555" s="2" t="s">
        <v>594</v>
      </c>
      <c r="D2555" s="2" t="str">
        <f t="shared" si="38"/>
        <v>Error?</v>
      </c>
    </row>
    <row r="2556" spans="1:4" x14ac:dyDescent="0.2">
      <c r="A2556" s="5">
        <v>2495</v>
      </c>
      <c r="B2556" s="138">
        <f>'Acct Summary 7-8'!C12</f>
        <v>1629424</v>
      </c>
      <c r="C2556" s="2" t="s">
        <v>594</v>
      </c>
      <c r="D2556" s="2" t="str">
        <f t="shared" si="38"/>
        <v>Error?</v>
      </c>
    </row>
    <row r="2557" spans="1:4" x14ac:dyDescent="0.2">
      <c r="A2557" s="5">
        <v>2496</v>
      </c>
      <c r="B2557" s="138">
        <f>'Acct Summary 7-8'!C13</f>
        <v>633010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2262434</v>
      </c>
      <c r="C2561" s="2" t="s">
        <v>594</v>
      </c>
      <c r="D2561" s="2" t="str">
        <f t="shared" si="39"/>
        <v>Error?</v>
      </c>
    </row>
    <row r="2562" spans="1:4" x14ac:dyDescent="0.2">
      <c r="A2562" s="5">
        <v>2501</v>
      </c>
      <c r="B2562" s="138">
        <f>'Acct Summary 7-8'!C20</f>
        <v>337407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337407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597915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8993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2608834</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8993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2271427</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597915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88000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1606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3750</v>
      </c>
      <c r="D5119" s="2" t="str">
        <f t="shared" ref="D5119:D5182" si="79">IF(ISBLANK(B5119),"OK",IF(A5119-B5119=0,"OK","Error?"))</f>
        <v>Error?</v>
      </c>
    </row>
    <row r="5120" spans="1:4" x14ac:dyDescent="0.2">
      <c r="A5120" s="5">
        <v>5059</v>
      </c>
      <c r="B5120" s="138">
        <f>'Revenues 9-14'!C108</f>
        <v>91750</v>
      </c>
      <c r="C5120" s="2" t="s">
        <v>594</v>
      </c>
      <c r="D5120" s="2" t="str">
        <f t="shared" si="79"/>
        <v>Error?</v>
      </c>
    </row>
    <row r="5121" spans="1:4" x14ac:dyDescent="0.2">
      <c r="A5121" s="5">
        <v>5060</v>
      </c>
      <c r="B5121" s="138">
        <f>'Revenues 9-14'!C109</f>
        <v>93356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1718945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1718945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1718945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1718945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787540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787540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787540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787540</v>
      </c>
      <c r="C5326" s="2" t="s">
        <v>594</v>
      </c>
      <c r="D5326" s="2" t="str">
        <f t="shared" si="82"/>
        <v>Error?</v>
      </c>
    </row>
    <row r="5327" spans="1:4" x14ac:dyDescent="0.2">
      <c r="A5327" s="5">
        <v>5266</v>
      </c>
      <c r="B5327" s="138">
        <f>'Revenues 9-14'!C275</f>
        <v>2599841</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337407</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0.56430596322219717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1255</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1255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1255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1255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1255</v>
      </c>
      <c r="D7624" s="2" t="str">
        <f t="shared" si="124"/>
        <v>Error?</v>
      </c>
      <c r="E7624" s="2" t="s">
        <v>19</v>
      </c>
    </row>
    <row r="7625" spans="1:5" x14ac:dyDescent="0.2">
      <c r="A7625">
        <f t="shared" si="123"/>
        <v>7564</v>
      </c>
      <c r="B7625" s="138">
        <f>'Cap Outlay Deprec 26'!I17</f>
        <v>125.5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1025.5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Northwest Ed Council for Student Success</v>
      </c>
      <c r="B7" s="2420"/>
      <c r="C7" s="2420"/>
      <c r="D7" s="2421"/>
      <c r="E7" s="2422">
        <f>COVER!A13</f>
        <v>5016214046</v>
      </c>
      <c r="F7" s="2423"/>
      <c r="G7" s="2429" t="str">
        <f>COVER!T23</f>
        <v>060-003973</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EVANS, MARSHALL AND PEASE, P.C.</v>
      </c>
      <c r="H9" s="2435"/>
      <c r="I9" s="2435"/>
      <c r="J9" s="2435"/>
      <c r="K9" s="2435"/>
      <c r="L9" s="2436"/>
    </row>
    <row r="10" spans="1:29" ht="13.5" customHeight="1" x14ac:dyDescent="0.2">
      <c r="A10" s="2409">
        <f>COVER!A38</f>
        <v>0</v>
      </c>
      <c r="B10" s="2410"/>
      <c r="C10" s="2410"/>
      <c r="D10" s="2410"/>
      <c r="E10" s="2410"/>
      <c r="F10" s="2411"/>
      <c r="G10" s="2403" t="str">
        <f>COVER!T17</f>
        <v>1875 HICKS ROAD</v>
      </c>
      <c r="H10" s="2404"/>
      <c r="I10" s="2404"/>
      <c r="J10" s="2404"/>
      <c r="K10" s="2404"/>
      <c r="L10" s="2405"/>
    </row>
    <row r="11" spans="1:29" ht="13.5" customHeight="1" x14ac:dyDescent="0.2">
      <c r="A11" s="1185" t="s">
        <v>1599</v>
      </c>
      <c r="B11" s="1186"/>
      <c r="C11" s="1187"/>
      <c r="D11" s="1192"/>
      <c r="E11" s="1187"/>
      <c r="F11" s="1191"/>
      <c r="G11" s="2403" t="str">
        <f>COVER!T19</f>
        <v>ROLLING MEADOWS</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JEFF@EMPCPA.COM</v>
      </c>
      <c r="J13" s="2416"/>
      <c r="K13" s="2416"/>
      <c r="L13" s="2417"/>
    </row>
    <row r="14" spans="1:29" ht="13.5" customHeight="1" x14ac:dyDescent="0.2">
      <c r="A14" s="2403" t="str">
        <f>COVER!A19</f>
        <v>2121 SOUTH GOEBBERT ROAD</v>
      </c>
      <c r="B14" s="2404"/>
      <c r="C14" s="2404"/>
      <c r="D14" s="2404"/>
      <c r="E14" s="2404"/>
      <c r="F14" s="2405"/>
      <c r="G14" s="1196" t="s">
        <v>1247</v>
      </c>
      <c r="H14" s="1194"/>
      <c r="I14" s="1194"/>
      <c r="J14" s="1194"/>
      <c r="K14" s="1194"/>
      <c r="L14" s="1195"/>
    </row>
    <row r="15" spans="1:29" ht="13.5" customHeight="1" x14ac:dyDescent="0.2">
      <c r="A15" s="2403" t="str">
        <f>COVER!A21</f>
        <v>ARLINGTON HEIGHTS</v>
      </c>
      <c r="B15" s="2404"/>
      <c r="C15" s="2404"/>
      <c r="D15" s="2404"/>
      <c r="E15" s="2404"/>
      <c r="F15" s="2405"/>
      <c r="G15" s="2400" t="str">
        <f>COVER!T15</f>
        <v>CHRISTOPHER M. SCALET, C.P.A.</v>
      </c>
      <c r="H15" s="2401"/>
      <c r="I15" s="2401"/>
      <c r="J15" s="2401"/>
      <c r="K15" s="2401"/>
      <c r="L15" s="2402"/>
    </row>
    <row r="16" spans="1:29" ht="12.2" customHeight="1" x14ac:dyDescent="0.2">
      <c r="A16" s="2425">
        <f>COVER!A25</f>
        <v>60005</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847-221-5700</v>
      </c>
      <c r="H18" s="2420"/>
      <c r="I18" s="2420"/>
      <c r="J18" s="2420"/>
      <c r="K18" s="2419" t="str">
        <f>COVER!X21</f>
        <v>847-221-5701</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Northwest Ed Council for Student Success</v>
      </c>
      <c r="B1" s="2418"/>
      <c r="C1" s="2418"/>
      <c r="D1" s="2418"/>
    </row>
    <row r="2" spans="1:11" s="1215" customFormat="1" ht="12.75" x14ac:dyDescent="0.2">
      <c r="A2" s="2442">
        <f>'Single Audit Cover'!E7</f>
        <v>5016214046</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Northwest Ed Council for Student Success</v>
      </c>
      <c r="B1" s="2445"/>
      <c r="C1" s="2445"/>
      <c r="D1" s="2445"/>
      <c r="E1" s="2445"/>
    </row>
    <row r="2" spans="1:5" x14ac:dyDescent="0.2">
      <c r="A2" s="2446">
        <f>'Single Audit Cover'!E7</f>
        <v>5016214046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787540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787540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787540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787540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Northwest Ed Council for Student Success</v>
      </c>
      <c r="B1" s="2458"/>
      <c r="C1" s="2458"/>
      <c r="D1" s="2458"/>
      <c r="E1" s="2458"/>
      <c r="F1" s="2458"/>
    </row>
    <row r="2" spans="1:7" ht="13.5" customHeight="1" x14ac:dyDescent="0.2">
      <c r="A2" s="2459">
        <f>'Single Audit Cover'!E7</f>
        <v>5016214046</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Northwest Ed Council for Student Success</v>
      </c>
      <c r="C1" s="2462"/>
      <c r="D1" s="2462"/>
      <c r="E1" s="2462"/>
      <c r="F1" s="2462"/>
      <c r="G1" s="2462"/>
      <c r="H1" s="2462"/>
      <c r="I1" s="2462"/>
      <c r="J1" s="2462"/>
      <c r="K1" s="2462"/>
      <c r="L1" s="2462"/>
      <c r="M1" s="2462"/>
    </row>
    <row r="2" spans="2:14" ht="15" x14ac:dyDescent="0.2">
      <c r="B2" s="2459">
        <f>'Single Audit Cover'!E7</f>
        <v>5016214046</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Northwest Ed Council for Student Success</v>
      </c>
      <c r="C1" s="2477"/>
      <c r="D1" s="2477"/>
      <c r="E1" s="2477"/>
      <c r="F1" s="2477"/>
      <c r="G1" s="2477"/>
      <c r="H1" s="2477"/>
      <c r="I1" s="2477"/>
      <c r="J1" s="1422"/>
    </row>
    <row r="2" spans="2:10" s="317" customFormat="1" ht="12.75" customHeight="1" x14ac:dyDescent="0.2">
      <c r="B2" s="2478">
        <f>'Single Audit Cover'!E7</f>
        <v>5016214046</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1951</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Northwest Ed Council for Student Success</v>
      </c>
      <c r="C1" s="2476"/>
      <c r="D1" s="2476"/>
      <c r="E1" s="2476"/>
      <c r="F1" s="2476"/>
      <c r="G1" s="2476"/>
      <c r="H1" s="2476"/>
      <c r="I1" s="2476"/>
      <c r="J1" s="2476"/>
      <c r="K1" s="2476"/>
      <c r="L1" s="1374"/>
      <c r="M1" s="1374"/>
    </row>
    <row r="2" spans="1:13" ht="12" customHeight="1" x14ac:dyDescent="0.2">
      <c r="B2" s="2478">
        <f>'Single Audit Cover'!E7</f>
        <v>5016214046</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Northwest Ed Council for Student Success</v>
      </c>
      <c r="C1" s="2499"/>
      <c r="D1" s="2499"/>
      <c r="E1" s="2499"/>
      <c r="F1" s="2499"/>
      <c r="G1" s="2499"/>
      <c r="H1" s="2499"/>
      <c r="I1" s="2499"/>
      <c r="J1" s="2499"/>
      <c r="K1" s="2499"/>
      <c r="L1" s="1465"/>
    </row>
    <row r="2" spans="1:12" ht="12.75" customHeight="1" x14ac:dyDescent="0.2">
      <c r="B2" s="2500">
        <f>'Single Audit Cover'!E7</f>
        <v>5016214046</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Northwest Ed Council for Student Success</v>
      </c>
      <c r="C1" s="2476"/>
      <c r="D1" s="2476"/>
      <c r="E1" s="1491"/>
    </row>
    <row r="2" spans="2:5" s="1282" customFormat="1" ht="12.75" customHeight="1" x14ac:dyDescent="0.2">
      <c r="B2" s="2478">
        <f>'Single Audit Cover'!E7</f>
        <v>5016214046</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4d435f69-8686-490b-bd6d-b153bf22ab50"/>
    <ds:schemaRef ds:uri="d21dc803-237d-4c68-8692-8d731fd29118"/>
    <ds:schemaRef ds:uri="6ce3111e-7420-4802-b50a-75d4e9a0b98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2018-09-27T16:44:01Z</cp:lastPrinted>
  <dcterms:created xsi:type="dcterms:W3CDTF">2003-10-29T19:06:34Z</dcterms:created>
  <dcterms:modified xsi:type="dcterms:W3CDTF">2018-11-09T13:47:01Z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vt:lpwstr>
  </property>
  <property fmtid="{D5CDD505-2E9C-101B-9397-08002B2CF9AE}" pid="4" name="Refresh">
    <vt:bool>true</vt:bool>
  </property>
  <property fmtid="{D5CDD505-2E9C-101B-9397-08002B2CF9AE}" pid="5" name="Refresh97">
    <vt:bool>false</vt:bool>
  </property>
  <property fmtid="{D5CDD505-2E9C-101B-9397-08002B2CF9AE}" pid="6" name="tabName">
    <vt:lpwstr>Other deliverables</vt:lpwstr>
  </property>
  <property fmtid="{D5CDD505-2E9C-101B-9397-08002B2CF9AE}" pid="7" name="tabIndex">
    <vt:lpwstr>140</vt:lpwstr>
  </property>
  <property fmtid="{D5CDD505-2E9C-101B-9397-08002B2CF9AE}" pid="8" name="workpaperIndex">
    <vt:lpwstr>
    </vt:lpwstr>
  </property>
</Properties>
</file>