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4970" windowWidth="28830" windowHeight="6450" tabRatio="79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SEFA'!$B$1:$M$44</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E9" i="108" l="1"/>
  <c r="E14" i="108" l="1"/>
  <c r="E8" i="108"/>
  <c r="C9" i="4"/>
  <c r="K19" i="183" l="1"/>
  <c r="J19" i="183"/>
  <c r="I19" i="183"/>
  <c r="H19" i="183"/>
  <c r="G19" i="183"/>
  <c r="F19" i="183"/>
  <c r="E19" i="183"/>
  <c r="K16" i="183"/>
  <c r="J16" i="183"/>
  <c r="I16" i="183"/>
  <c r="H16" i="183"/>
  <c r="G16" i="183"/>
  <c r="F16" i="183"/>
  <c r="E16" i="183"/>
  <c r="E20" i="183" l="1"/>
  <c r="E21" i="183" s="1"/>
  <c r="K20" i="183"/>
  <c r="K21" i="183" s="1"/>
  <c r="G20" i="183"/>
  <c r="G21" i="183" s="1"/>
  <c r="F20" i="183"/>
  <c r="F21" i="183" s="1"/>
  <c r="J20" i="183"/>
  <c r="J21" i="183" s="1"/>
  <c r="I20" i="183"/>
  <c r="I21" i="183" s="1"/>
  <c r="H20" i="183"/>
  <c r="H21" i="183" s="1"/>
  <c r="K23" i="179"/>
  <c r="K24" i="179" s="1"/>
  <c r="J23" i="179"/>
  <c r="J24" i="179" s="1"/>
  <c r="I23" i="179"/>
  <c r="I24" i="179" s="1"/>
  <c r="H23" i="179"/>
  <c r="H24" i="179" s="1"/>
  <c r="G23" i="179"/>
  <c r="G24" i="179" s="1"/>
  <c r="F23" i="179"/>
  <c r="F24" i="179" s="1"/>
  <c r="E23" i="179"/>
  <c r="E24" i="179" s="1"/>
  <c r="M17" i="179"/>
  <c r="K17" i="179"/>
  <c r="J17" i="179"/>
  <c r="I17" i="179"/>
  <c r="H17" i="179"/>
  <c r="G17" i="179"/>
  <c r="F17" i="179"/>
  <c r="E17" i="179"/>
  <c r="M14" i="179"/>
  <c r="K14" i="179"/>
  <c r="K18" i="179" s="1"/>
  <c r="K19" i="179" s="1"/>
  <c r="J14" i="179"/>
  <c r="J18" i="179" s="1"/>
  <c r="J19" i="179" s="1"/>
  <c r="I14" i="179"/>
  <c r="I18" i="179" s="1"/>
  <c r="I19" i="179" s="1"/>
  <c r="H14" i="179"/>
  <c r="G14" i="179"/>
  <c r="G18" i="179" s="1"/>
  <c r="G19" i="179" s="1"/>
  <c r="F14" i="179"/>
  <c r="F18" i="179" s="1"/>
  <c r="F19" i="179" s="1"/>
  <c r="E14" i="179"/>
  <c r="L27" i="183"/>
  <c r="L26" i="183"/>
  <c r="L25" i="183"/>
  <c r="L24" i="183"/>
  <c r="L22" i="183"/>
  <c r="L19" i="183"/>
  <c r="L18" i="183"/>
  <c r="L17" i="183"/>
  <c r="L16" i="183"/>
  <c r="L15" i="183"/>
  <c r="L14" i="183"/>
  <c r="L13" i="183"/>
  <c r="L12" i="183"/>
  <c r="L11" i="183"/>
  <c r="B4" i="183"/>
  <c r="F23" i="183" l="1"/>
  <c r="E18" i="179"/>
  <c r="E19" i="179" s="1"/>
  <c r="E23" i="183" s="1"/>
  <c r="M18" i="179"/>
  <c r="M19" i="179" s="1"/>
  <c r="M23" i="183" s="1"/>
  <c r="I23" i="183"/>
  <c r="H18" i="179"/>
  <c r="H19" i="179" s="1"/>
  <c r="H23" i="183" s="1"/>
  <c r="J23" i="183"/>
  <c r="L21" i="183"/>
  <c r="G23" i="183"/>
  <c r="K23" i="183"/>
  <c r="L20" i="183"/>
  <c r="D182" i="34"/>
  <c r="L23" i="183" l="1"/>
  <c r="J24" i="2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5" i="179" l="1"/>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82" i="36"/>
  <c r="D78" i="36"/>
  <c r="K75" i="29"/>
  <c r="K130" i="29"/>
  <c r="F56" i="34"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B2977" i="106" s="1"/>
  <c r="D2977" i="106" s="1"/>
  <c r="K83" i="29"/>
  <c r="B2978" i="106" s="1"/>
  <c r="D2978" i="106" s="1"/>
  <c r="K93" i="29"/>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E27" i="108"/>
  <c r="G27" i="108"/>
  <c r="F31" i="108"/>
  <c r="F36" i="108"/>
  <c r="G28" i="108"/>
  <c r="E29" i="108"/>
  <c r="G29" i="108"/>
  <c r="D31"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H28" i="118"/>
  <c r="J22" i="37"/>
  <c r="L22" i="37"/>
  <c r="D24" i="37"/>
  <c r="B4270" i="106" s="1"/>
  <c r="D4270" i="106" s="1"/>
  <c r="B1746" i="106"/>
  <c r="D1746" i="106" s="1"/>
  <c r="F69" i="34" l="1"/>
  <c r="F34" i="34"/>
  <c r="G15" i="145"/>
  <c r="B7047" i="106"/>
  <c r="D7047" i="106" s="1"/>
  <c r="D9" i="7"/>
  <c r="B1767" i="106" s="1"/>
  <c r="D1767" i="106" s="1"/>
  <c r="D22" i="37"/>
  <c r="K24" i="12"/>
  <c r="B6995" i="106"/>
  <c r="D6995" i="106" s="1"/>
  <c r="G39" i="108"/>
  <c r="G30" i="108"/>
  <c r="F45" i="34"/>
  <c r="G38" i="108"/>
  <c r="E30" i="108"/>
  <c r="F41" i="34"/>
  <c r="F49" i="34"/>
  <c r="F42" i="34"/>
  <c r="J274" i="5"/>
  <c r="B7054" i="106" s="1"/>
  <c r="D7054" i="106" s="1"/>
  <c r="H33" i="118"/>
  <c r="D6103" i="106"/>
  <c r="D7245" i="106"/>
  <c r="I24" i="12"/>
  <c r="B1996" i="106" s="1"/>
  <c r="D1996" i="106" s="1"/>
  <c r="L5" i="11"/>
  <c r="B2056" i="106" s="1"/>
  <c r="D2056" i="106" s="1"/>
  <c r="D11" i="37"/>
  <c r="D31" i="36"/>
  <c r="H29" i="118"/>
  <c r="K28" i="118" s="1"/>
  <c r="O27" i="118" s="1"/>
  <c r="O29" i="118" s="1"/>
  <c r="F21" i="8"/>
  <c r="H112" i="29"/>
  <c r="B7018" i="106" s="1"/>
  <c r="D7018" i="106" s="1"/>
  <c r="I210" i="29"/>
  <c r="J210" i="29"/>
  <c r="B7072" i="106" s="1"/>
  <c r="D7072" i="106" s="1"/>
  <c r="B6289" i="106"/>
  <c r="D6289" i="106" s="1"/>
  <c r="H76" i="4"/>
  <c r="B3298" i="106" s="1"/>
  <c r="D3298" i="106" s="1"/>
  <c r="F64" i="34"/>
  <c r="E38" i="108"/>
  <c r="F28" i="108"/>
  <c r="F50" i="34"/>
  <c r="E28" i="108"/>
  <c r="F46" i="34"/>
  <c r="F27" i="108"/>
  <c r="F62" i="34"/>
  <c r="B2836" i="106"/>
  <c r="D2836" i="106" s="1"/>
  <c r="D37" i="108"/>
  <c r="D41" i="108" s="1"/>
  <c r="E43" i="108" s="1"/>
  <c r="F37" i="108"/>
  <c r="G5" i="4"/>
  <c r="B3409" i="106" s="1"/>
  <c r="D3409" i="106" s="1"/>
  <c r="D5" i="4"/>
  <c r="B3406" i="106" s="1"/>
  <c r="D3406" i="106" s="1"/>
  <c r="J129" i="29"/>
  <c r="B7038" i="106" s="1"/>
  <c r="D7038" i="106" s="1"/>
  <c r="L13" i="11"/>
  <c r="B2060" i="106" s="1"/>
  <c r="D2060" i="106" s="1"/>
  <c r="F77" i="4"/>
  <c r="B3255" i="106" s="1"/>
  <c r="D3255" i="106" s="1"/>
  <c r="H342" i="29"/>
  <c r="L15" i="11"/>
  <c r="B3459" i="106" s="1"/>
  <c r="D3459" i="106" s="1"/>
  <c r="B1995" i="106"/>
  <c r="D1995" i="106" s="1"/>
  <c r="D13" i="7"/>
  <c r="B3726" i="106" s="1"/>
  <c r="D3726" i="106" s="1"/>
  <c r="D17" i="7"/>
  <c r="B4104" i="106" s="1"/>
  <c r="D4104" i="106" s="1"/>
  <c r="D7" i="7"/>
  <c r="B1763" i="106" s="1"/>
  <c r="D1763" i="106" s="1"/>
  <c r="H173" i="5"/>
  <c r="B5906" i="106" s="1"/>
  <c r="D5906" i="106" s="1"/>
  <c r="B1329" i="106"/>
  <c r="D1329" i="106" s="1"/>
  <c r="F61" i="34"/>
  <c r="B7235" i="106"/>
  <c r="D7235" i="106" s="1"/>
  <c r="I342" i="29"/>
  <c r="B7222" i="106" s="1"/>
  <c r="D7222" i="106" s="1"/>
  <c r="B1223" i="106"/>
  <c r="D1223" i="106" s="1"/>
  <c r="B5096" i="106"/>
  <c r="D5096" i="106" s="1"/>
  <c r="F127" i="34"/>
  <c r="D4" i="7"/>
  <c r="B1760" i="106" s="1"/>
  <c r="D1760" i="106" s="1"/>
  <c r="B5232" i="106"/>
  <c r="D5232" i="106" s="1"/>
  <c r="D15" i="7"/>
  <c r="B1772" i="106" s="1"/>
  <c r="D1772" i="106" s="1"/>
  <c r="D12" i="7"/>
  <c r="B1769" i="106" s="1"/>
  <c r="D1769" i="106" s="1"/>
  <c r="J41" i="3"/>
  <c r="B6216" i="106" s="1"/>
  <c r="D6216" i="106" s="1"/>
  <c r="D54" i="36"/>
  <c r="K285" i="29"/>
  <c r="B7231" i="106"/>
  <c r="D7231" i="106" s="1"/>
  <c r="F128" i="34"/>
  <c r="F106" i="34"/>
  <c r="K274" i="5"/>
  <c r="K7" i="4" s="1"/>
  <c r="B3718" i="106" s="1"/>
  <c r="D3718" i="106" s="1"/>
  <c r="D11" i="7"/>
  <c r="B1768" i="106" s="1"/>
  <c r="D1768" i="106" s="1"/>
  <c r="B4373" i="106"/>
  <c r="D4373" i="106" s="1"/>
  <c r="F131" i="34"/>
  <c r="G172" i="5"/>
  <c r="K76" i="4"/>
  <c r="B3586" i="106" s="1"/>
  <c r="D3586" i="106" s="1"/>
  <c r="K41" i="3"/>
  <c r="B3568" i="106" s="1"/>
  <c r="D3568" i="106" s="1"/>
  <c r="F136" i="34"/>
  <c r="F172" i="5"/>
  <c r="B5644" i="106" s="1"/>
  <c r="D5644" i="106" s="1"/>
  <c r="B7041" i="106"/>
  <c r="D7041" i="106" s="1"/>
  <c r="B5752" i="106"/>
  <c r="D5752" i="106" s="1"/>
  <c r="G109" i="5"/>
  <c r="D109" i="5"/>
  <c r="F111" i="34"/>
  <c r="H109" i="5"/>
  <c r="E109" i="5"/>
  <c r="E4" i="4" s="1"/>
  <c r="B2630" i="106" s="1"/>
  <c r="D2630" i="106" s="1"/>
  <c r="C109" i="5"/>
  <c r="B5121" i="106" s="1"/>
  <c r="D5121" i="106" s="1"/>
  <c r="C342" i="29"/>
  <c r="B7216" i="106" s="1"/>
  <c r="D7216" i="106" s="1"/>
  <c r="B3619" i="106"/>
  <c r="D3619" i="106" s="1"/>
  <c r="G352" i="29"/>
  <c r="G367" i="29" s="1"/>
  <c r="B3650" i="106" s="1"/>
  <c r="D3650" i="106" s="1"/>
  <c r="L367" i="29"/>
  <c r="L312" i="29"/>
  <c r="I129" i="29"/>
  <c r="B7037" i="106" s="1"/>
  <c r="D7037" i="106" s="1"/>
  <c r="D5" i="7"/>
  <c r="B1761" i="106" s="1"/>
  <c r="D1761" i="106" s="1"/>
  <c r="F19" i="7"/>
  <c r="B1807" i="106" s="1"/>
  <c r="D1807" i="106" s="1"/>
  <c r="B3621" i="106"/>
  <c r="D3621" i="106" s="1"/>
  <c r="C367" i="29"/>
  <c r="B3622" i="106" s="1"/>
  <c r="D3622" i="106" s="1"/>
  <c r="B3649" i="106"/>
  <c r="D3649" i="106" s="1"/>
  <c r="E174" i="29"/>
  <c r="B1309" i="106" s="1"/>
  <c r="D1309" i="106" s="1"/>
  <c r="B1410" i="106"/>
  <c r="D1410" i="106" s="1"/>
  <c r="L342" i="29"/>
  <c r="K350" i="29"/>
  <c r="K184" i="29"/>
  <c r="F13" i="4" s="1"/>
  <c r="B2596" i="106" s="1"/>
  <c r="D2596" i="106" s="1"/>
  <c r="H365" i="29"/>
  <c r="G210" i="29"/>
  <c r="K173" i="5"/>
  <c r="K6" i="4" s="1"/>
  <c r="B3570" i="106" s="1"/>
  <c r="D3570" i="106" s="1"/>
  <c r="C172" i="5"/>
  <c r="I173" i="5"/>
  <c r="B4216" i="106" s="1"/>
  <c r="D4216" i="106" s="1"/>
  <c r="F130" i="34"/>
  <c r="J77" i="4"/>
  <c r="B6262" i="106" s="1"/>
  <c r="D6262"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J7" i="4"/>
  <c r="B7270" i="106"/>
  <c r="B1317" i="106" l="1"/>
  <c r="D1317" i="106" s="1"/>
  <c r="B7733" i="106"/>
  <c r="D7733" i="106" s="1"/>
  <c r="K26" i="12"/>
  <c r="B7743" i="106" s="1"/>
  <c r="D7743" i="106" s="1"/>
  <c r="B1328" i="106"/>
  <c r="D1328" i="106" s="1"/>
  <c r="D7254" i="106"/>
  <c r="D7255" i="106"/>
  <c r="D7250" i="106"/>
  <c r="D7256" i="106"/>
  <c r="D7251" i="106"/>
  <c r="D7253" i="106"/>
  <c r="D7252" i="106"/>
  <c r="I26" i="12"/>
  <c r="B7741" i="106" s="1"/>
  <c r="D7741" i="106" s="1"/>
  <c r="B6014" i="106"/>
  <c r="D6014" i="106" s="1"/>
  <c r="K365" i="29"/>
  <c r="B7071" i="106"/>
  <c r="D7071" i="106" s="1"/>
  <c r="F66" i="34"/>
  <c r="B1879" i="106"/>
  <c r="D1879" i="106" s="1"/>
  <c r="H22" i="37"/>
  <c r="I151" i="29"/>
  <c r="F59" i="34" s="1"/>
  <c r="D274" i="5"/>
  <c r="D7" i="4" s="1"/>
  <c r="K77" i="4"/>
  <c r="B3587" i="106" s="1"/>
  <c r="D3587" i="106" s="1"/>
  <c r="F41" i="108"/>
  <c r="G43" i="108" s="1"/>
  <c r="B1381" i="106"/>
  <c r="D1381" i="106" s="1"/>
  <c r="H77" i="4"/>
  <c r="B3299" i="106" s="1"/>
  <c r="D3299" i="106" s="1"/>
  <c r="B1266" i="106"/>
  <c r="D1266" i="106" s="1"/>
  <c r="B5527" i="106"/>
  <c r="D5527" i="106" s="1"/>
  <c r="H6" i="4"/>
  <c r="B2656" i="106" s="1"/>
  <c r="D2656" i="106" s="1"/>
  <c r="B6022" i="106"/>
  <c r="D6022" i="106" s="1"/>
  <c r="L16" i="11"/>
  <c r="B2061" i="106" s="1"/>
  <c r="D2061" i="106" s="1"/>
  <c r="D51" i="36"/>
  <c r="F173" i="5"/>
  <c r="B5653" i="106" s="1"/>
  <c r="D5653" i="106" s="1"/>
  <c r="F73" i="34"/>
  <c r="G15" i="4"/>
  <c r="B6032" i="106" s="1"/>
  <c r="D6032" i="106" s="1"/>
  <c r="B1365" i="106"/>
  <c r="D1365" i="106" s="1"/>
  <c r="F65" i="34"/>
  <c r="B3724" i="106"/>
  <c r="D3724" i="106" s="1"/>
  <c r="J16" i="4"/>
  <c r="B6226" i="106" s="1"/>
  <c r="D6226" i="106" s="1"/>
  <c r="C4" i="4"/>
  <c r="B2551" i="106" s="1"/>
  <c r="D2551" i="106" s="1"/>
  <c r="H275" i="5"/>
  <c r="B5915" i="106" s="1"/>
  <c r="D5915" i="106" s="1"/>
  <c r="D52" i="36"/>
  <c r="G173" i="5"/>
  <c r="B5770" i="106"/>
  <c r="D5770" i="106" s="1"/>
  <c r="B5914" i="106"/>
  <c r="D5914" i="106" s="1"/>
  <c r="D44" i="36"/>
  <c r="B6025" i="106"/>
  <c r="D6025" i="106" s="1"/>
  <c r="H4" i="4"/>
  <c r="B5356" i="106"/>
  <c r="D5356" i="106" s="1"/>
  <c r="D4" i="4"/>
  <c r="B2564" i="106" s="1"/>
  <c r="D2564" i="106" s="1"/>
  <c r="B6024" i="106"/>
  <c r="D6024" i="106" s="1"/>
  <c r="G4" i="4"/>
  <c r="B2603" i="106" s="1"/>
  <c r="D2603" i="106" s="1"/>
  <c r="F274" i="5"/>
  <c r="K342" i="29"/>
  <c r="F13" i="34" s="1"/>
  <c r="L114" i="29"/>
  <c r="H367" i="29"/>
  <c r="B3660" i="106" s="1"/>
  <c r="D3660" i="106" s="1"/>
  <c r="B7242" i="106"/>
  <c r="D7242" i="106" s="1"/>
  <c r="C114" i="29"/>
  <c r="B757" i="106" s="1"/>
  <c r="D757" i="106" s="1"/>
  <c r="B3670" i="106"/>
  <c r="D3670" i="106" s="1"/>
  <c r="K352" i="29"/>
  <c r="D19" i="7"/>
  <c r="B1775" i="106" s="1"/>
  <c r="D177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7224" i="106" l="1"/>
  <c r="D7224" i="106" s="1"/>
  <c r="B7051" i="106"/>
  <c r="D7051" i="106" s="1"/>
  <c r="D275" i="5"/>
  <c r="F24" i="37"/>
  <c r="B5507" i="106"/>
  <c r="D5507" i="106" s="1"/>
  <c r="F6" i="4"/>
  <c r="B2593" i="106" s="1"/>
  <c r="D2593" i="106" s="1"/>
  <c r="F275" i="5"/>
  <c r="B5720" i="106" s="1"/>
  <c r="D5720" i="106" s="1"/>
  <c r="B1145" i="106"/>
  <c r="D1145" i="106" s="1"/>
  <c r="J8" i="4"/>
  <c r="J10" i="4" s="1"/>
  <c r="B6225" i="106" s="1"/>
  <c r="D6225" i="106" s="1"/>
  <c r="J17" i="4"/>
  <c r="B6227" i="106" s="1"/>
  <c r="D6227" i="106" s="1"/>
  <c r="F7" i="4"/>
  <c r="B2594" i="106" s="1"/>
  <c r="D2594" i="106" s="1"/>
  <c r="G41" i="108"/>
  <c r="G44" i="108" s="1"/>
  <c r="G45" i="108" s="1"/>
  <c r="E41" i="108"/>
  <c r="E44" i="108" s="1"/>
  <c r="E45" i="108" s="1"/>
  <c r="B5719" i="106"/>
  <c r="D5719" i="106" s="1"/>
  <c r="B5778" i="106"/>
  <c r="D5778" i="106" s="1"/>
  <c r="G6" i="4"/>
  <c r="B2604" i="106" s="1"/>
  <c r="D2604" i="106" s="1"/>
  <c r="B5223" i="106"/>
  <c r="D5223" i="106" s="1"/>
  <c r="C6" i="4"/>
  <c r="B2553" i="106" s="1"/>
  <c r="D2553" i="106" s="1"/>
  <c r="B2655" i="106"/>
  <c r="D2655" i="106" s="1"/>
  <c r="H8" i="4"/>
  <c r="K367" i="29"/>
  <c r="B3678" i="106" s="1"/>
  <c r="D3678"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23" i="106"/>
  <c r="D6223" i="106" s="1"/>
  <c r="F8" i="4"/>
  <c r="B2595" i="106" s="1"/>
  <c r="D2595" i="106" s="1"/>
  <c r="J19" i="4"/>
  <c r="B6229" i="106" s="1"/>
  <c r="D6229" i="106" s="1"/>
  <c r="F76" i="34"/>
  <c r="K368" i="29"/>
  <c r="B3681" i="106" s="1"/>
  <c r="D3681" i="106" s="1"/>
  <c r="K17" i="4"/>
  <c r="K20" i="4" s="1"/>
  <c r="D8" i="4"/>
  <c r="C8" i="14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H13" i="118"/>
  <c r="F10" i="4"/>
  <c r="B4125" i="106" s="1"/>
  <c r="D4125" i="106" s="1"/>
  <c r="K19" i="4"/>
  <c r="B4144" i="106" s="1"/>
  <c r="D4144" i="106" s="1"/>
  <c r="B3575" i="106"/>
  <c r="D3575" i="106" s="1"/>
  <c r="B2568" i="106"/>
  <c r="D2568" i="106" s="1"/>
  <c r="D10" i="4"/>
  <c r="B4123" i="106" s="1"/>
  <c r="D4123" i="106" s="1"/>
  <c r="D20" i="4"/>
  <c r="D78" i="4"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8" i="146"/>
  <c r="B2574" i="106"/>
  <c r="D2574"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<sst xmlns="http://schemas.openxmlformats.org/spreadsheetml/2006/main" count="5237" uniqueCount="2176">
  <si>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</si>
  <si>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</si>
  <si>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</si>
  <si>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</si>
  <si>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</si>
  <si>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</si>
  <si>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</si>
  <si>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</si>
  <si>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</si>
  <si>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</si>
  <si>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</si>
  <si>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</si>
  <si>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</si>
  <si>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</si>
  <si>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</si>
  <si>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</si>
  <si>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</si>
  <si>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</si>
  <si>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</si>
  <si>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</si>
  <si>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</si>
  <si>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</si>
  <si>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</si>
  <si>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</si>
  <si>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</si>
  <si>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</si>
  <si>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</si>
  <si>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</si>
  <si>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</si>
  <si>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</si>
  <si>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</si>
  <si>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</si>
  <si>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</si>
  <si>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</si>
  <si>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</si>
  <si>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</si>
  <si>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</si>
  <si>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</si>
  <si>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</si>
  <si>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</si>
  <si>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</si>
  <si>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</si>
  <si>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</si>
  <si>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</si>
  <si>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</si>
  <si>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</si>
  <si>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</si>
  <si>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</si>
  <si>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</si>
  <si>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</si>
  <si>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</si>
  <si>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</si>
  <si>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</si>
  <si>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</si>
  <si>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</si>
  <si>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</si>
  <si>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</si>
  <si>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</si>
  <si>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</si>
  <si>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</si>
  <si>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</si>
  <si>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</si>
  <si>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</si>
  <si>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</si>
  <si>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</si>
  <si>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</si>
  <si>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</si>
  <si>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</si>
  <si>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</si>
  <si>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</si>
  <si>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</si>
  <si>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</si>
  <si>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</si>
  <si>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</si>
  <si>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</si>
  <si>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</si>
  <si>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</si>
  <si>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</si>
  <si>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</si>
  <si>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</si>
  <si>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</si>
  <si>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</si>
  <si>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</si>
  <si>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</si>
  <si>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</si>
  <si>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</si>
  <si>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</si>
  <si>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</si>
  <si>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</si>
  <si>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</si>
  <si>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</si>
  <si>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</si>
  <si>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</si>
  <si>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</si>
  <si>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</si>
  <si>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</si>
  <si>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</si>
  <si>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</si>
  <si>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</si>
  <si>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</si>
  <si>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</si>
  <si>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</si>
  <si>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</si>
  <si>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</si>
  <si>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</si>
  <si>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</si>
  <si>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</si>
  <si>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</si>
  <si>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</si>
  <si>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</si>
  <si>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</si>
  <si>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</si>
  <si>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</si>
  <si>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</si>
  <si>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</si>
  <si>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</si>
  <si>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</si>
  <si>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</si>
  <si>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</si>
  <si>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</si>
  <si>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</si>
  <si>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</si>
  <si>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</si>
  <si>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</si>
  <si>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</si>
  <si>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</si>
  <si>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</si>
  <si>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</si>
  <si>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</si>
  <si>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</si>
  <si>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</si>
  <si>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</si>
  <si>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</si>
  <si>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</si>
  <si>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</si>
  <si>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</si>
  <si>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</si>
  <si>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</si>
  <si>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</si>
  <si>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</si>
  <si>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</si>
  <si>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</si>
  <si>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</si>
  <si>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</si>
  <si>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</si>
  <si>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</si>
  <si>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</si>
  <si>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</si>
  <si>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</si>
  <si>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</si>
  <si>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</si>
  <si>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</si>
  <si>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</si>
  <si>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</si>
  <si>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</si>
  <si>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</si>
  <si>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</si>
  <si>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</si>
  <si>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</si>
  <si>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</si>
  <si>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</si>
  <si>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</si>
  <si>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</si>
  <si>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</si>
  <si>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</si>
  <si>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</si>
  <si>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</si>
  <si>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</si>
  <si>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</si>
  <si>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</si>
  <si>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</si>
  <si>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</si>
  <si>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</si>
  <si>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</si>
  <si>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</si>
  <si>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</si>
  <si>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</si>
  <si>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</si>
  <si>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</si>
  <si>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</si>
  <si>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</si>
  <si>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</si>
  <si>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</si>
  <si>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</si>
  <si>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</si>
  <si>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</si>
  <si>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</si>
  <si>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</si>
  <si>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</si>
  <si>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</si>
  <si>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</si>
  <si>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</si>
  <si>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</si>
  <si>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</si>
  <si>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</si>
  <si>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</si>
  <si>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</si>
  <si>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</si>
  <si>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</si>
  <si>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</si>
  <si>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</si>
  <si>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</si>
  <si>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</si>
  <si>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</si>
  <si>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</si>
  <si>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</si>
  <si>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</si>
  <si>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</si>
  <si>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</si>
  <si>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</si>
  <si>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</si>
  <si>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</si>
  <si>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</si>
  <si>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</si>
  <si>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</si>
  <si>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</si>
  <si>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</si>
  <si>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</si>
  <si>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</si>
  <si>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</si>
  <si>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</si>
  <si>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</si>
  <si>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</si>
  <si>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</si>
  <si>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</si>
  <si>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</si>
  <si>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</si>
  <si>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</si>
  <si>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</si>
  <si>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</si>
  <si>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</si>
  <si>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</si>
  <si>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</si>
  <si>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</si>
  <si>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</si>
  <si>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</si>
  <si>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</si>
  <si>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</si>
  <si>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</si>
  <si>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</si>
  <si>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</si>
  <si>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</si>
  <si>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</si>
  <si>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</si>
  <si>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</si>
  <si>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</si>
  <si>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</si>
  <si>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</si>
  <si>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</si>
  <si>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</si>
  <si>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</si>
  <si>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</si>
  <si>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</si>
  <si>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</si>
  <si>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</si>
  <si>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</si>
  <si>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</si>
  <si>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</si>
  <si>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</si>
  <si>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</si>
  <si>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</si>
  <si>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</si>
  <si>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</si>
  <si>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</si>
  <si>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</si>
  <si>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</si>
  <si>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</si>
  <si>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</si>
  <si>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</si>
  <si>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</si>
  <si>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</si>
  <si>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</si>
  <si>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</si>
  <si>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</si>
  <si>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</si>
  <si>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</si>
  <si>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</si>
  <si>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</si>
  <si>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</si>
  <si>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</si>
  <si>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</si>
  <si>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</si>
  <si>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</si>
  <si>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</si>
  <si>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</si>
  <si>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</si>
  <si>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</si>
  <si>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</si>
  <si>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</si>
  <si>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</si>
  <si>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</si>
  <si>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</si>
  <si>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</si>
  <si>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</si>
  <si>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</si>
  <si>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</si>
  <si>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</si>
  <si>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</si>
  <si>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</si>
  <si>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</si>
  <si>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</si>
  <si>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</si>
  <si>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</si>
  <si>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</si>
  <si>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</si>
  <si>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</si>
  <si>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</si>
  <si>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</si>
  <si>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</si>
  <si>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</si>
  <si>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</si>
  <si>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</si>
  <si>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</si>
  <si>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</si>
  <si>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</si>
  <si>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</si>
  <si>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</si>
  <si>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</si>
  <si>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</si>
  <si>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</si>
  <si>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</si>
  <si>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</si>
  <si>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</si>
  <si>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</si>
  <si>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</si>
  <si>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</si>
  <si>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</si>
  <si>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</si>
  <si>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</si>
  <si>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</si>
  <si>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</si>
  <si>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</si>
  <si>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</si>
  <si>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</si>
  <si>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</si>
  <si>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</si>
  <si>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</si>
  <si>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</si>
  <si>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</si>
  <si>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</si>
  <si>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</si>
  <si>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</si>
  <si>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</si>
  <si>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</si>
  <si>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</si>
  <si>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</si>
  <si>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</si>
  <si>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</si>
  <si>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</si>
  <si>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</si>
  <si>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</si>
  <si>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</si>
  <si>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</si>
  <si>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</si>
  <si>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</si>
  <si>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</si>
  <si>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</si>
  <si>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</si>
  <si>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</si>
  <si>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</si>
  <si>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</si>
  <si>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</si>
  <si>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</si>
  <si>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</si>
  <si>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</si>
  <si>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</si>
  <si>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</si>
  <si>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</si>
  <si>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</si>
  <si>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</si>
  <si>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</si>
  <si>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</si>
  <si>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</si>
  <si>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</si>
  <si>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</si>
  <si>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</si>
  <si>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</si>
  <si>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</si>
  <si>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</si>
  <si>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</si>
  <si>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</si>
  <si>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</si>
  <si>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</si>
  <si>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</si>
  <si>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</si>
  <si>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</si>
  <si>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</si>
  <si>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</si>
  <si>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</si>
  <si>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</si>
  <si>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</si>
  <si>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</si>
  <si>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</si>
  <si>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</si>
  <si>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</si>
  <si>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</si>
  <si>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</si>
  <si>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</si>
  <si>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</si>
  <si>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</si>
  <si>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</si>
  <si>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</si>
  <si>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</si>
  <si>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</si>
  <si>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</si>
  <si>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</si>
  <si>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</si>
  <si>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</si>
  <si>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</si>
  <si>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</si>
  <si>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</si>
  <si>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</si>
  <si>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</si>
  <si>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</si>
  <si>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</si>
  <si>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</si>
  <si>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</si>
  <si>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</si>
  <si>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</si>
  <si>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</si>
  <si>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</si>
  <si>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</si>
  <si>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</si>
  <si>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</si>
  <si>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</si>
  <si>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</si>
  <si>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</si>
  <si>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</si>
  <si>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</si>
  <si>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</si>
  <si>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</si>
  <si>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</si>
  <si>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</si>
  <si>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</si>
  <si>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</si>
  <si>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</si>
  <si>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</si>
  <si>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</si>
  <si>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</si>
  <si>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</si>
  <si>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</si>
  <si>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</si>
  <si>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</si>
  <si>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</si>
  <si>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</si>
  <si>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</si>
  <si>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</si>
  <si>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</si>
  <si>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</si>
  <si>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</si>
  <si>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</si>
  <si>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</si>
  <si>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</si>
  <si>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</si>
  <si>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</si>
  <si>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</si>
  <si>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</si>
  <si>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</si>
  <si>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</si>
  <si>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</si>
  <si>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</si>
  <si>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</si>
  <si>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</si>
  <si>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</si>
  <si>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</si>
  <si>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</si>
  <si>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</si>
  <si>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</si>
  <si>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</si>
  <si>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</si>
  <si>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</si>
  <si>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</si>
  <si>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</si>
  <si>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</si>
  <si>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</si>
  <si>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</si>
  <si>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</si>
  <si>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</si>
  <si>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</si>
  <si>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</si>
  <si>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</si>
  <si>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</si>
  <si>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</si>
  <si>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</si>
  <si>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</si>
  <si>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</si>
  <si>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</si>
  <si>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</si>
  <si>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</si>
  <si>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</si>
  <si>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</si>
  <si>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</si>
  <si>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</si>
  <si>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</si>
  <si>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</si>
  <si>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</si>
  <si>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</si>
  <si>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</si>
  <si>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</si>
  <si>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</si>
  <si>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</si>
  <si>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</si>
  <si>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</si>
  <si>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</si>
  <si>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</si>
  <si>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</si>
  <si>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</si>
  <si>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</si>
  <si>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</si>
  <si>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</si>
  <si>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</si>
  <si>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</si>
  <si>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</si>
  <si>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</si>
  <si>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</si>
  <si>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</si>
  <si>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</si>
  <si>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</si>
  <si>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</si>
  <si>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</si>
  <si>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</si>
  <si>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</si>
  <si>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</si>
  <si>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</si>
  <si>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</si>
  <si>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</si>
  <si>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</si>
  <si>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</si>
  <si>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</si>
  <si>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</si>
  <si>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</si>
  <si>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</si>
  <si>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</si>
  <si>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</si>
  <si>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</si>
  <si>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</si>
  <si>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</si>
  <si>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</si>
  <si>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</si>
  <si>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</si>
  <si>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</si>
  <si>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</si>
  <si>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</si>
  <si>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</si>
  <si>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</si>
  <si>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</si>
  <si>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</si>
  <si>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</si>
  <si>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</si>
  <si>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</si>
  <si>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</si>
  <si>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</si>
  <si>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</si>
  <si>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</si>
  <si>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</si>
  <si>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</si>
  <si>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</si>
  <si>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</si>
  <si>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</si>
  <si>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</si>
  <si>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</si>
  <si>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</si>
  <si>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</si>
  <si>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</si>
  <si>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</si>
  <si>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</si>
  <si>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</si>
  <si>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</si>
  <si>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</si>
  <si>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</si>
  <si>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</si>
  <si>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</si>
  <si>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</si>
  <si>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</si>
  <si>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</si>
  <si>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</si>
  <si>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</si>
  <si>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</si>
  <si>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</si>
  <si>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</si>
  <si>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</si>
  <si>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</si>
  <si>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</si>
  <si>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</si>
  <si>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</si>
  <si>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</si>
  <si>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</si>
  <si>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</si>
  <si>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</si>
  <si>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</si>
  <si>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</si>
  <si>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</si>
  <si>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</si>
  <si>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</si>
  <si>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</si>
  <si>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</si>
  <si>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</si>
  <si>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</si>
  <si>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</si>
  <si>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</si>
  <si>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</si>
  <si>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</si>
  <si>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</si>
  <si>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</si>
  <si>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</si>
  <si>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</si>
  <si>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</si>
  <si>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</si>
  <si>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</si>
  <si>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</si>
  <si>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</si>
  <si>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</si>
  <si>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</si>
  <si>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</si>
  <si>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</si>
  <si>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</si>
  <si>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</si>
  <si>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</si>
  <si>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</si>
  <si>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</si>
  <si>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</si>
  <si>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</si>
  <si>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</si>
  <si>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</si>
  <si>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</si>
  <si>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</si>
  <si>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</si>
  <si>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</si>
  <si>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</si>
  <si>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</si>
  <si>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</si>
  <si>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</si>
  <si>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</si>
  <si>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</si>
  <si>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</si>
  <si>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</si>
  <si>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</si>
  <si>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</si>
  <si>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</si>
  <si>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</si>
  <si>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</si>
  <si>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</si>
  <si>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</si>
  <si>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</si>
  <si>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</si>
  <si>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</si>
  <si>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</si>
  <si>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</si>
  <si>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</si>
  <si>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</si>
  <si>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</si>
  <si>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</si>
  <si>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</si>
  <si>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</si>
  <si>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</si>
  <si>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</si>
  <si>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</si>
  <si>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</si>
  <si>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</si>
  <si>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</si>
  <si>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</si>
  <si>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</si>
  <si>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</si>
  <si>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</si>
  <si>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</si>
  <si>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</si>
  <si>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</si>
  <si>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</si>
  <si>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</si>
  <si>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</si>
  <si>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</si>
  <si>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</si>
  <si>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</si>
  <si>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</si>
  <si>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</si>
  <si>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</si>
  <si>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</si>
  <si>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</si>
  <si>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</si>
  <si>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</si>
  <si>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</si>
  <si>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</si>
  <si>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</si>
  <si>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</si>
  <si>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</si>
  <si>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</si>
  <si>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</si>
  <si>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</si>
  <si>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</si>
  <si>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</si>
  <si>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</si>
  <si>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</si>
  <si>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</si>
  <si>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</si>
  <si>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</si>
  <si>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</si>
  <si>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</si>
  <si>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</si>
  <si>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</si>
  <si>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</si>
  <si>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</si>
  <si>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</si>
  <si>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</si>
  <si>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</si>
  <si>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</si>
  <si>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</si>
  <si>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</si>
  <si>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</si>
  <si>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</si>
  <si>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</si>
  <si>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</si>
  <si>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</si>
  <si>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</si>
  <si>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</si>
  <si>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</si>
  <si>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</si>
  <si>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</si>
  <si>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</si>
  <si>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</si>
  <si>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</si>
  <si>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</si>
  <si>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</si>
  <si>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</si>
  <si>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</si>
  <si>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</si>
  <si>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</si>
  <si>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</si>
  <si>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</si>
  <si>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</si>
  <si>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</si>
  <si>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</si>
  <si>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</si>
  <si>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</si>
  <si>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</si>
  <si>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</si>
  <si>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</si>
  <si>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</si>
  <si>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</si>
  <si>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</si>
  <si>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</si>
  <si>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</si>
  <si>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</si>
  <si>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</si>
  <si>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</si>
  <si>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</si>
  <si>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</si>
  <si>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</si>
  <si>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</si>
  <si>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</si>
  <si>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</si>
  <si>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</si>
  <si>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</si>
  <si>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</si>
  <si>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</si>
  <si>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</si>
  <si>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</si>
  <si>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</si>
  <si>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</si>
  <si>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</si>
  <si>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</si>
  <si>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</si>
  <si>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</si>
  <si>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</si>
  <si>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</si>
  <si>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</si>
  <si>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</si>
  <si>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</si>
  <si>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</si>
  <si>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</si>
  <si>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</si>
  <si>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</si>
  <si>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</si>
  <si>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</si>
  <si>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</si>
  <si>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</si>
  <si>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</si>
  <si>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</si>
  <si>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</si>
  <si>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</si>
  <si>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</si>
  <si>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</si>
  <si>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</si>
  <si>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</si>
  <si>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</si>
  <si>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</si>
  <si>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</si>
  <si>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</si>
  <si>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</si>
  <si>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</si>
  <si>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</si>
  <si>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</si>
  <si>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</si>
  <si>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</si>
  <si>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</si>
  <si>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</si>
  <si>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</si>
  <si>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</si>
  <si>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</si>
  <si>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</si>
  <si>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</si>
  <si>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</si>
  <si>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</si>
  <si>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</si>
  <si>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</si>
  <si>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</si>
  <si>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</si>
  <si>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</si>
  <si>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</si>
  <si>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</si>
  <si>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</si>
  <si>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</si>
  <si>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</si>
  <si>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</si>
  <si>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</si>
  <si>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</si>
  <si>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</si>
  <si>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</si>
  <si>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</si>
  <si>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</si>
  <si>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</si>
  <si>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</si>
  <si>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</si>
  <si>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</si>
  <si>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</si>
  <si>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</si>
  <si>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</si>
  <si>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</si>
  <si>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</si>
  <si>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</si>
  <si>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</si>
  <si>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</si>
  <si>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</si>
  <si>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</si>
  <si>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</si>
  <si>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</si>
  <si>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</si>
  <si>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</si>
  <si>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</si>
  <si>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</si>
  <si>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</si>
  <si>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</si>
  <si>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</si>
  <si>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</si>
  <si>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</si>
  <si>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</si>
  <si>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</si>
  <si>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</si>
  <si>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</si>
  <si>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</si>
  <si>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</si>
  <si>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</si>
  <si>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</si>
  <si>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</si>
  <si>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</si>
  <si>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</si>
  <si>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</si>
  <si>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</si>
  <si>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</si>
  <si>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</si>
  <si>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</si>
  <si>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</si>
  <si>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</si>
  <si>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</si>
  <si>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</si>
  <si>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</si>
  <si>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</si>
  <si>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</si>
  <si>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</si>
  <si>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</si>
  <si>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</si>
  <si>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</si>
  <si>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</si>
  <si>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</si>
  <si>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</si>
  <si>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</si>
  <si>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</si>
  <si>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</si>
  <si>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</si>
  <si>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</si>
  <si>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</si>
  <si>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</si>
  <si>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</si>
  <si>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</si>
  <si>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</si>
  <si>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</si>
  <si>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</si>
  <si>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</si>
  <si>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</si>
  <si>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</si>
  <si>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</si>
  <si>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</si>
  <si>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</si>
  <si>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</si>
  <si>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</si>
  <si>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</si>
  <si>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</si>
  <si>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</si>
  <si>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</si>
  <si>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</si>
  <si>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</si>
  <si>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</si>
  <si>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</si>
  <si>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</si>
  <si>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</si>
  <si>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</si>
  <si>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</si>
  <si>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</si>
  <si>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</si>
  <si>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</si>
  <si>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</si>
  <si>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</si>
  <si>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</si>
  <si>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</si>
  <si>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</si>
  <si>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</si>
  <si>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</si>
  <si>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</si>
  <si>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</si>
  <si>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</si>
  <si>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</si>
  <si>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</si>
  <si>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</si>
  <si>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</si>
  <si>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</si>
  <si>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</si>
  <si>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</si>
  <si>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</si>
  <si>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</si>
  <si>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</si>
  <si>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</si>
  <si>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</si>
  <si>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</si>
  <si>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</si>
  <si>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</si>
  <si>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</si>
  <si>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</si>
  <si>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</si>
  <si>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</si>
  <si>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</si>
  <si>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</si>
  <si>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</si>
  <si>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</si>
  <si>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</si>
  <si>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</si>
  <si>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</si>
  <si>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</si>
  <si>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</si>
  <si>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</si>
  <si>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</si>
  <si>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</si>
  <si>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</si>
  <si>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</si>
  <si>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</si>
  <si>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</si>
  <si>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</si>
  <si>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</si>
  <si>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</si>
  <si>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</si>
  <si>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</si>
  <si>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</si>
  <si>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</si>
  <si>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</si>
  <si>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</si>
  <si>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</si>
  <si>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</si>
  <si>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</si>
  <si>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</si>
  <si>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</si>
  <si>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</si>
  <si>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</si>
  <si>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</si>
  <si>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</si>
  <si>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</si>
  <si>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</si>
  <si>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</si>
  <si>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</si>
  <si>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</si>
  <si>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</si>
  <si>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</si>
  <si>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</si>
  <si>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</si>
  <si>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</si>
  <si>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</si>
  <si>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</si>
  <si>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</si>
  <si>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</si>
  <si>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</si>
  <si>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</si>
  <si>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</si>
  <si>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</si>
  <si>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</si>
  <si>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</si>
  <si>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</si>
  <si>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</si>
  <si>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</si>
  <si>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</si>
  <si>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</si>
  <si>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</si>
  <si>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</si>
  <si>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</si>
  <si>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</si>
  <si>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</si>
  <si>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</si>
  <si>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</si>
  <si>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</si>
  <si>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</si>
  <si>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</si>
  <si>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</si>
  <si>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</si>
  <si>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</si>
  <si>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</si>
  <si>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</si>
  <si>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</si>
  <si>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</si>
  <si>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</si>
  <si>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</si>
  <si>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</si>
  <si>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</si>
  <si>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</si>
  <si>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</si>
  <si>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</si>
  <si>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</si>
  <si>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</si>
  <si>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</si>
  <si>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</si>
  <si>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</si>
  <si>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</si>
  <si>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</si>
  <si>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</si>
  <si>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</si>
  <si>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</si>
  <si>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</si>
  <si>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</si>
  <si>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</si>
  <si>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</si>
  <si>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</si>
  <si>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</si>
  <si>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</si>
  <si>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</si>
  <si>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</si>
  <si>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</si>
  <si>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</si>
  <si>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</si>
  <si>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</si>
  <si>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</si>
  <si>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</si>
  <si>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</si>
  <si>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</si>
  <si>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</si>
  <si>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</si>
  <si>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</si>
  <si>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</si>
  <si>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</si>
  <si>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</si>
  <si>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</si>
  <si>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</si>
  <si>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</si>
  <si>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</si>
  <si>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</si>
  <si>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</si>
  <si>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</si>
  <si>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</si>
  <si>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</si>
  <si>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</si>
  <si>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</si>
  <si>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</si>
  <si>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</si>
  <si>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</si>
  <si>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</si>
  <si>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</si>
  <si>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</si>
  <si>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</si>
  <si>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</si>
  <si>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</si>
  <si>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</si>
  <si>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</si>
  <si>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</si>
  <si>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</si>
  <si>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</si>
  <si>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</si>
  <si>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</si>
  <si>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</si>
  <si>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</si>
  <si>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</si>
  <si>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</si>
  <si>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</si>
  <si>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</si>
  <si>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</si>
  <si>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</si>
  <si>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</si>
  <si>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</si>
  <si>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</si>
  <si>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</si>
  <si>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</si>
  <si>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</si>
  <si>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</si>
  <si>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</si>
  <si>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</si>
  <si>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</si>
  <si>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</si>
  <si>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</si>
  <si>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</si>
  <si>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</si>
  <si>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</si>
  <si>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</si>
  <si>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</si>
  <si>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</si>
  <si>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</si>
  <si>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</si>
  <si>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</si>
  <si>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</si>
  <si>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</si>
  <si>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</si>
  <si>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</si>
  <si>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</si>
  <si>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</si>
  <si>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</si>
  <si>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</si>
  <si>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</si>
  <si>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</si>
  <si>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</si>
  <si>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</si>
  <si>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</si>
  <si>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</si>
  <si>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</si>
  <si>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</si>
  <si>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</si>
  <si>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</si>
  <si>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</si>
  <si>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</si>
  <si>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</si>
  <si>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</si>
  <si>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</si>
  <si>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</si>
  <si>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</si>
  <si>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</si>
  <si>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</si>
  <si>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</si>
  <si>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</si>
  <si>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</si>
  <si>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</si>
  <si>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</si>
  <si>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</si>
  <si>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</si>
  <si>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</si>
  <si>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</si>
  <si>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</si>
  <si>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</si>
  <si>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</si>
  <si>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</si>
  <si>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</si>
  <si>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</si>
  <si>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</si>
  <si>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</si>
  <si>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</si>
  <si>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</si>
  <si>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</si>
  <si>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</si>
  <si>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</si>
  <si>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</si>
  <si>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</si>
  <si>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</si>
  <si>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</si>
  <si>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</si>
  <si>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</si>
  <si>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</si>
  <si>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</si>
  <si>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</si>
  <si>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</si>
  <si>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</si>
  <si>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</si>
  <si>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</si>
  <si>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</si>
  <si>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</si>
  <si>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</si>
  <si>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</si>
  <si>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</si>
  <si>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</si>
  <si>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</si>
  <si>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</si>
  <si>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</si>
  <si>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</si>
  <si>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</si>
  <si>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</si>
  <si>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</si>
  <si>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</si>
  <si>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</si>
  <si>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</si>
  <si>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</si>
  <si>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</si>
  <si>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</si>
  <si>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</si>
  <si>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</si>
  <si>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</si>
  <si>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</si>
  <si>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</si>
  <si>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</si>
  <si>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</si>
  <si>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</si>
  <si>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</si>
  <si>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</si>
  <si>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</si>
  <si>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</si>
  <si>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</si>
  <si>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</si>
  <si>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</si>
  <si>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</si>
  <si>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</si>
  <si>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</si>
  <si>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</si>
  <si>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</si>
  <si>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</si>
  <si>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</si>
  <si>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</si>
  <si>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</si>
  <si>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</si>
  <si>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</si>
  <si>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</si>
  <si>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</si>
  <si>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</si>
  <si>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</si>
  <si>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</si>
  <si>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</si>
  <si>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</si>
  <si>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</si>
  <si>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</si>
  <si>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</si>
  <si>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</si>
  <si>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</si>
  <si>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</si>
  <si>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</si>
  <si>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</si>
  <si>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</si>
  <si>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</si>
  <si>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</si>
  <si>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</si>
  <si>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</si>
  <si>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</si>
  <si>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</si>
  <si>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</si>
  <si>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</si>
  <si>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</si>
  <si>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</si>
  <si>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</si>
  <si>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</si>
  <si>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</si>
  <si>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</si>
  <si>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</si>
  <si>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</si>
  <si>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</si>
  <si>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</si>
  <si>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</si>
  <si>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</si>
  <si>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</si>
  <si>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</si>
  <si>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</si>
  <si>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</si>
  <si>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</si>
  <si>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</si>
  <si>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</si>
  <si>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</si>
  <si>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</si>
  <si>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</si>
  <si>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</si>
  <si>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</si>
  <si>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</si>
  <si>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</si>
  <si>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</si>
  <si>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</si>
  <si>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</si>
  <si>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</si>
  <si>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</si>
  <si>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</si>
  <si>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</si>
  <si>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</si>
  <si>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</si>
  <si>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</si>
  <si>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</si>
  <si>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</si>
  <si>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</si>
  <si>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</si>
  <si>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</si>
  <si>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</si>
  <si>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</si>
  <si>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</si>
  <si>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</si>
  <si>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</si>
  <si>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</si>
  <si>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</si>
  <si>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</si>
  <si>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</si>
  <si>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</si>
  <si>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</si>
  <si>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</si>
  <si>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</si>
  <si>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</si>
  <si>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</si>
  <si>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</si>
  <si>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</si>
  <si>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</si>
  <si>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</si>
  <si>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</si>
  <si>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</si>
  <si>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</si>
  <si>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</si>
  <si>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</si>
  <si>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</si>
  <si>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</si>
  <si>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</si>
  <si>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</si>
  <si>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</si>
  <si>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</si>
  <si>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</si>
  <si>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</si>
  <si>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</si>
  <si>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</si>
  <si>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</si>
  <si>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</si>
  <si>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</si>
  <si>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</si>
  <si>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</si>
  <si>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</si>
  <si>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</si>
  <si>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</si>
  <si>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</si>
  <si>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</si>
  <si>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</si>
  <si>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</si>
  <si>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</si>
  <si>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</si>
  <si>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</si>
  <si>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</si>
  <si>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</si>
  <si>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</si>
  <si>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</si>
  <si>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</si>
  <si>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</si>
  <si>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</si>
  <si>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</si>
  <si>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</si>
  <si>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</si>
  <si>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</si>
  <si>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</si>
  <si>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</si>
  <si>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</si>
  <si>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</si>
  <si>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</si>
  <si>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</si>
  <si>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</si>
  <si>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</si>
  <si>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</si>
  <si>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</si>
  <si>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</si>
  <si>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</si>
  <si>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</si>
  <si>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</si>
  <si>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</si>
  <si>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</si>
  <si>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</si>
  <si>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</si>
  <si>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</si>
  <si>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</si>
  <si>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</si>
  <si>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</si>
  <si>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</si>
  <si>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</si>
  <si>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</si>
  <si>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</si>
  <si>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</si>
  <si>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</si>
  <si>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</si>
  <si>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</si>
  <si>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</si>
  <si>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</si>
  <si>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</si>
  <si>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</si>
  <si>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</si>
  <si>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</si>
  <si>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</si>
  <si>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</si>
  <si>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</si>
  <si>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</si>
  <si>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</si>
  <si>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</si>
  <si>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</si>
  <si>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</si>
  <si>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</si>
  <si>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</si>
  <si>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</si>
  <si>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</si>
  <si>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</si>
  <si>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</si>
  <si>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</si>
  <si>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</si>
  <si>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</si>
  <si>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</si>
  <si>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</si>
  <si>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</si>
  <si>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</si>
  <si>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</si>
  <si>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</si>
  <si>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</si>
  <si>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</si>
  <si>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</si>
  <si>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</si>
  <si>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</si>
  <si>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</si>
  <si>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</si>
  <si>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</si>
  <si>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</si>
  <si>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</si>
  <si>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</si>
  <si>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</si>
  <si>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</si>
  <si>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</si>
  <si>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</si>
  <si>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</si>
  <si>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</si>
  <si>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</si>
  <si>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</si>
  <si>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</si>
  <si>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</si>
  <si>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</si>
  <si>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</si>
  <si>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</si>
  <si>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</si>
  <si>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</si>
  <si>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</si>
  <si>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</si>
  <si>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</si>
  <si>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</si>
  <si>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</si>
  <si>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</si>
  <si>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</si>
  <si>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</si>
  <si>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</si>
  <si>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</si>
  <si>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</si>
  <si>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</si>
  <si>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</si>
  <si>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</si>
  <si>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</si>
  <si>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</si>
  <si>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</si>
  <si>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</si>
  <si>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</si>
  <si>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</si>
  <si>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</si>
  <si>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</si>
  <si>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</si>
  <si>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</si>
  <si>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</si>
  <si>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</si>
  <si>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</si>
  <si>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</si>
  <si>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</si>
  <si>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</si>
  <si>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</si>
  <si>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</si>
  <si>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</si>
  <si>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</si>
  <si>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</si>
  <si>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</si>
  <si>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</si>
  <si>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</si>
  <si>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</si>
  <si>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</si>
  <si>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</si>
  <si>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</si>
  <si>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</si>
  <si>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</si>
  <si>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</si>
  <si>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</si>
  <si>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</si>
  <si>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</si>
  <si>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</si>
  <si>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</si>
  <si>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</si>
  <si>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</si>
  <si>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</si>
  <si>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</si>
  <si>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</si>
  <si>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</si>
  <si>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</si>
  <si>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</si>
  <si>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</si>
  <si>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</si>
  <si>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</si>
  <si>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</si>
  <si>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</si>
  <si>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</si>
  <si>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</si>
  <si>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</si>
  <si>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</si>
  <si>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</si>
  <si>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</si>
  <si>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</si>
  <si>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</si>
  <si>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</si>
  <si>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</si>
  <si>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</si>
  <si>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</si>
  <si>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</si>
  <si>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</si>
  <si>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</si>
  <si>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</si>
  <si>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</si>
  <si>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</si>
  <si>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</si>
  <si>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</si>
  <si>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</si>
  <si>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</si>
  <si>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</si>
  <si>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</si>
  <si>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</si>
  <si>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</si>
  <si>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</si>
  <si>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</si>
  <si>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</si>
  <si>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</si>
  <si>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</si>
  <si>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</si>
  <si>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</si>
  <si>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</si>
  <si>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</si>
  <si>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</si>
  <si>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</si>
  <si>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</si>
  <si>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</si>
  <si>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</si>
  <si>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</si>
  <si>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</si>
  <si>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</si>
  <si>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</si>
  <si>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</si>
  <si>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</si>
  <si>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</si>
  <si>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</si>
  <si>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</si>
  <si>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</si>
  <si>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</si>
  <si>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</si>
  <si>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</si>
  <si>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</si>
  <si>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</si>
  <si>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</si>
  <si>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</si>
  <si>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</si>
  <si>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</si>
  <si>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</si>
  <si>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</si>
  <si>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</si>
  <si>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</si>
  <si>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</si>
  <si>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</si>
  <si>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</si>
  <si>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</si>
  <si>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</si>
  <si>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</si>
  <si>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</si>
  <si>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</si>
  <si>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</si>
  <si>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</si>
  <si>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</si>
  <si>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</si>
  <si>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</si>
  <si>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</si>
  <si>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</si>
  <si>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</si>
  <si>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</si>
  <si>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</si>
  <si>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</si>
  <si>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</si>
  <si>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</si>
  <si>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</si>
  <si>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</si>
  <si>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</si>
  <si>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</si>
  <si>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</si>
  <si>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</si>
  <si>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</si>
  <si>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</si>
  <si>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</si>
  <si>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</si>
  <si>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</si>
  <si>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</si>
  <si>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</si>
  <si>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</si>
  <si>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</si>
  <si>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</si>
  <si>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</si>
  <si>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</si>
  <si>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</si>
  <si>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</si>
  <si>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</si>
  <si>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</si>
  <si>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</si>
  <si>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</si>
  <si>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</si>
  <si>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</si>
  <si>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</si>
  <si>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</si>
  <si>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</si>
  <si>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</si>
  <si>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</si>
  <si>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</si>
  <si>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</si>
  <si>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</si>
  <si>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</si>
  <si>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</si>
  <si>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</si>
  <si>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</si>
  <si>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</si>
  <si>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</si>
  <si>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</si>
  <si>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</si>
  <si>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</si>
  <si>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</si>
  <si>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</si>
  <si>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</si>
  <si>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</si>
  <si>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</si>
  <si>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</si>
  <si>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</si>
  <si>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</si>
  <si>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</si>
  <si>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</si>
  <si>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</si>
  <si>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</si>
  <si>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</si>
  <si>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</si>
  <si>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</si>
  <si>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</si>
  <si>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</si>
  <si>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</si>
  <si>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</si>
  <si>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</si>
  <si>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</si>
  <si>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</si>
  <si>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</si>
  <si>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</si>
  <si>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</si>
  <si>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</si>
  <si>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</si>
  <si>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</si>
  <si>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</si>
  <si>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</si>
  <si>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</si>
  <si>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</si>
  <si>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</si>
  <si>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</si>
  <si>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</si>
  <si>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</si>
  <si>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</si>
  <si>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</si>
  <si>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</si>
  <si>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</si>
  <si>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</si>
  <si>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</si>
  <si>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</si>
  <si>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</si>
  <si>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</si>
  <si>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</si>
  <si>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</si>
  <si>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</si>
  <si>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</si>
  <si>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</si>
  <si>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</si>
  <si>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</si>
  <si>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</si>
  <si>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</si>
  <si>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</si>
  <si>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</si>
  <si>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</si>
  <si>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</si>
  <si>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</si>
  <si>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</si>
  <si>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</si>
  <si>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</si>
  <si>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</si>
  <si>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</si>
  <si>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</si>
  <si>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</si>
  <si>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</si>
  <si>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</si>
  <si>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</si>
  <si>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</si>
  <si>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</si>
  <si>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</si>
  <si>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</si>
  <si>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</si>
  <si>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</si>
  <si>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</si>
  <si>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</si>
  <si>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</si>
  <si>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</si>
  <si>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</si>
  <si>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</si>
  <si>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</si>
  <si>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</si>
  <si>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</si>
  <si>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</si>
  <si>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</si>
  <si>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</si>
  <si>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</si>
  <si>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</si>
  <si>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</si>
  <si>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</si>
  <si>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</si>
  <si>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</si>
  <si>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</si>
  <si>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</si>
  <si>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</si>
  <si>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</si>
  <si>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</si>
  <si>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</si>
  <si>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</si>
  <si>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</si>
  <si>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</si>
  <si>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</si>
  <si>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</si>
  <si>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</si>
  <si>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</si>
  <si>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</si>
  <si>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</si>
  <si>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</si>
  <si>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</si>
  <si>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</si>
  <si>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</si>
  <si>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</si>
  <si>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</si>
  <si>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</si>
  <si>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</si>
  <si>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</si>
  <si>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</si>
  <si>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</si>
  <si>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</si>
  <si>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</si>
  <si>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</si>
  <si>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</si>
  <si>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</si>
  <si>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</si>
  <si>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</si>
  <si>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</si>
  <si>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</si>
  <si>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</si>
  <si>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</si>
  <si>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</si>
  <si>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</si>
  <si>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</si>
  <si>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</si>
  <si>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</si>
  <si>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</si>
  <si>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</si>
  <si>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</si>
  <si>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</si>
  <si>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</si>
  <si>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</si>
  <si>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</si>
  <si>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</si>
  <si>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</si>
  <si>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</si>
  <si>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</si>
  <si>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</si>
  <si>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</si>
  <si>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</si>
  <si>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</si>
  <si>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</si>
  <si>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</si>
  <si>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</si>
  <si>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</si>
  <si>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</si>
  <si>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</si>
  <si>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</si>
  <si>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</si>
  <si>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</si>
  <si>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</si>
  <si>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</si>
  <si>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</si>
  <si>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</si>
  <si>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</si>
  <si>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</si>
  <si>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</si>
  <si>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</si>
  <si>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</si>
  <si>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</si>
  <si>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</si>
  <si>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</si>
  <si>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</si>
  <si>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</si>
  <si>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</si>
  <si>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</si>
  <si>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</si>
  <si>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</si>
  <si>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</si>
  <si>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</si>
  <si>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</si>
  <si>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</si>
  <si>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</si>
  <si>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</si>
  <si>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</si>
  <si>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</si>
  <si>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</si>
  <si>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</si>
  <si>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</si>
  <si>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</si>
  <si>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</si>
  <si>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</si>
  <si>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</si>
  <si>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</si>
  <si>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</si>
  <si>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</si>
  <si>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</si>
  <si>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</si>
  <si>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</si>
  <si>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</si>
  <si>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</si>
  <si>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</si>
  <si>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</si>
  <si>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</si>
  <si>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</si>
  <si>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</si>
  <si>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</si>
  <si>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</si>
  <si>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</si>
  <si>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</si>
  <si>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</si>
  <si>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</si>
  <si>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</si>
  <si>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</si>
  <si>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</si>
  <si>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</si>
  <si>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</si>
  <si>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</si>
  <si>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</si>
  <si>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</si>
  <si>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</si>
  <si>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</si>
  <si>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</si>
  <si>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</si>
  <si>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</si>
  <si>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</si>
  <si>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</si>
  <si>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</si>
  <si>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</si>
  <si>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</si>
  <si>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</si>
  <si>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</si>
  <si>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</si>
  <si>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</si>
  <si>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</si>
  <si>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</si>
  <si>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</si>
  <si>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</si>
  <si>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</si>
  <si>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</si>
  <si>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</si>
  <si>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</si>
  <si>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</si>
  <si>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</si>
  <si>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</si>
  <si>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</si>
  <si>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</si>
  <si>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</si>
  <si>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</si>
  <si>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</si>
  <si>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</si>
  <si>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</si>
  <si>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</si>
  <si>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</si>
  <si>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</si>
  <si>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</si>
  <si>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</si>
  <si>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</si>
  <si>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</si>
  <si>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</si>
  <si>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</si>
  <si>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</si>
  <si>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</si>
  <si>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</si>
  <si>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</si>
  <si>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</si>
  <si>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</si>
  <si>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</si>
  <si>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</si>
  <si>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</si>
  <si>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</si>
  <si>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</si>
  <si>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</si>
  <si>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</si>
  <si>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</si>
  <si>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</si>
  <si>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</si>
  <si>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</si>
  <si>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</si>
  <si>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</si>
  <si>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</si>
  <si>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</si>
  <si>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</si>
  <si>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</si>
  <si>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</si>
  <si>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</si>
  <si>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</si>
  <si>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</si>
  <si>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</si>
  <si>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</si>
  <si>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</si>
  <si>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</si>
  <si>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</si>
  <si>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</si>
  <si>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</si>
  <si>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</si>
  <si>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</si>
  <si>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</si>
  <si>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</si>
  <si>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</si>
  <si>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</si>
  <si>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</si>
  <si>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</si>
  <si>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</si>
  <si>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</si>
  <si>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</si>
  <si>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</si>
  <si>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</si>
  <si>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</si>
  <si>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</si>
  <si>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</si>
  <si>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</si>
  <si>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</si>
  <si>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</si>
  <si>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</si>
  <si>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</si>
  <si>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</si>
  <si>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</si>
  <si>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</si>
  <si>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</si>
  <si>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</si>
  <si>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</si>
  <si>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</si>
  <si>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</si>
  <si>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</si>
  <si>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</si>
  <si>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</si>
  <si>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</si>
  <si>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</si>
  <si>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</si>
  <si>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</si>
  <si>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</si>
  <si>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</si>
  <si>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</si>
  <si>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</si>
  <si>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</si>
  <si>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</si>
  <si>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</si>
  <si>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</si>
  <si>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</si>
  <si>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</si>
  <si>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</si>
  <si>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</si>
  <si>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</si>
  <si>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</si>
  <si>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</si>
  <si>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</si>
  <si>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</si>
  <si>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</si>
  <si>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</si>
  <si>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</si>
  <si>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</si>
  <si>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</si>
  <si>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</si>
  <si>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</si>
  <si>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</si>
  <si>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</si>
  <si>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</si>
  <si>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</si>
  <si>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</si>
  <si>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</si>
  <si>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</si>
  <si>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</si>
  <si>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</si>
  <si>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</si>
  <si>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</si>
  <si>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</si>
  <si>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</si>
  <si>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</si>
  <si>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</si>
  <si>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</si>
  <si>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</si>
  <si>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</si>
  <si>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</si>
  <si>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</si>
  <si>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</si>
  <si>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</si>
  <si>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</si>
  <si>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</si>
  <si>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</si>
  <si>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</si>
  <si>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</si>
  <si>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</si>
  <si>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</si>
  <si>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</si>
  <si>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</si>
  <si>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</si>
  <si>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</si>
  <si>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</si>
  <si>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</si>
  <si>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</si>
  <si>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</si>
  <si>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</si>
  <si>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</si>
  <si>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</si>
  <si>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</si>
  <si>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</si>
  <si>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</si>
  <si>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</si>
  <si>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</si>
  <si>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</si>
  <si>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</si>
  <si>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</si>
  <si>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</si>
  <si>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</si>
  <si>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</si>
  <si>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</si>
  <si>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</si>
  <si>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</si>
  <si>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</si>
  <si>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</si>
  <si>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</si>
  <si>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</si>
  <si>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</si>
  <si>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</si>
  <si>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</si>
  <si>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</si>
  <si>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</si>
  <si>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</si>
  <si>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</si>
  <si>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</si>
  <si>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</si>
  <si>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</si>
  <si>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</si>
  <si>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</si>
  <si>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</si>
  <si>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</si>
  <si>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</si>
  <si>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</si>
  <si>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</si>
  <si>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</si>
  <si>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</si>
  <si>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</si>
  <si>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</si>
  <si>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</si>
  <si>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</si>
  <si>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</si>
  <si>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</si>
  <si>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</si>
  <si>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</si>
  <si>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</si>
  <si>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</si>
  <si>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</si>
  <si>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</si>
  <si>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</si>
  <si>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</si>
  <si>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</si>
  <si>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</si>
  <si>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</si>
  <si>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</si>
  <si>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</si>
  <si>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</si>
  <si>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</si>
  <si>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</si>
  <si>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</si>
  <si>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</si>
  <si>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</si>
  <si>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</si>
  <si>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</si>
  <si>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Morgan, Cass, Brown, Calhoun, Pike, Greene, Macoupin, Scott</t>
  </si>
  <si>
    <t>Four Rivers Special Education District</t>
  </si>
  <si>
    <t>936 W. Michigan Ave.</t>
  </si>
  <si>
    <t>Jacksonville</t>
  </si>
  <si>
    <t>sberry@frsed.org</t>
  </si>
  <si>
    <t>Christiane Pennell</t>
  </si>
  <si>
    <t>cpennell@frsed.org</t>
  </si>
  <si>
    <t>217-245-7174</t>
  </si>
  <si>
    <t>217-245-5533</t>
  </si>
  <si>
    <t>Zumbahlen, Eyth, Surratt, Foote &amp; Flynn, LTD.</t>
  </si>
  <si>
    <t>Adam Withee</t>
  </si>
  <si>
    <t>1395 Lincoln Ave.</t>
  </si>
  <si>
    <t>IL</t>
  </si>
  <si>
    <t>217-245-5121</t>
  </si>
  <si>
    <t>217-243-3356</t>
  </si>
  <si>
    <t>awithee@zescpa.com</t>
  </si>
  <si>
    <t>Zumbahlen, Eyth, Surratt, Foote &amp; Flynn, Ltd.</t>
  </si>
  <si>
    <t>x</t>
  </si>
  <si>
    <t>Illinois School for the Deaf - Audiologist</t>
  </si>
  <si>
    <t>066-004993</t>
  </si>
  <si>
    <t>Page 10, Line 87 - Textbook rentals</t>
  </si>
  <si>
    <t>Page 16, Line 73 - Salary, benefits, and travel reimbursements for support personnel</t>
  </si>
  <si>
    <t>Page 11, Line 107 - Miscellaneous local income</t>
  </si>
  <si>
    <t>U.S. Department of Education Passed Through Illinois State Board of Education</t>
  </si>
  <si>
    <t xml:space="preserve">   Federal Special Ed IDEA Flow-Through</t>
  </si>
  <si>
    <r>
      <t xml:space="preserve">      </t>
    </r>
    <r>
      <rPr>
        <b/>
        <sz val="8"/>
        <rFont val="Calibri"/>
        <family val="2"/>
        <scheme val="minor"/>
      </rPr>
      <t>Total CFDA 84.027 (M)</t>
    </r>
  </si>
  <si>
    <t xml:space="preserve">   Federal Special Ed IDEA Pre-School</t>
  </si>
  <si>
    <t xml:space="preserve">      Total CFDA 84.173 (M)</t>
  </si>
  <si>
    <t>17-4620-00</t>
  </si>
  <si>
    <t>18-4620-00</t>
  </si>
  <si>
    <t>17-4600-00</t>
  </si>
  <si>
    <t>18-4600-00</t>
  </si>
  <si>
    <t>TOTAL U.S. DEPARTMENT OF EDUCATION</t>
  </si>
  <si>
    <r>
      <t xml:space="preserve">         </t>
    </r>
    <r>
      <rPr>
        <b/>
        <sz val="8"/>
        <rFont val="Calibri"/>
        <family val="2"/>
        <scheme val="minor"/>
      </rPr>
      <t>Total Special Education IDEA Cluster</t>
    </r>
  </si>
  <si>
    <t>U.S. Department of Health and Human Services Passed Through Illinois Department of Healthcare and Family Services</t>
  </si>
  <si>
    <t xml:space="preserve">   Medicaid Admin Outreach</t>
  </si>
  <si>
    <t xml:space="preserve">      Total CFDA 93.778</t>
  </si>
  <si>
    <t>17-4991-00</t>
  </si>
  <si>
    <t>18-4991-00</t>
  </si>
  <si>
    <t>N/A</t>
  </si>
  <si>
    <t>TOTAL U.S. DEPARTMENT OF HEALTH AND HUMAN SERVICES</t>
  </si>
  <si>
    <t>U.S. Department of Agriculture Passed Through Illinois State Board of Education</t>
  </si>
  <si>
    <t xml:space="preserve">   National School Lunch Program</t>
  </si>
  <si>
    <t xml:space="preserve">   Government Donated Commodities (Non-Cash)</t>
  </si>
  <si>
    <t xml:space="preserve">      Total CFDA 10.555</t>
  </si>
  <si>
    <t>17-4210-00</t>
  </si>
  <si>
    <t>18-4210-00</t>
  </si>
  <si>
    <t xml:space="preserve">   School Breakfast Program</t>
  </si>
  <si>
    <t>17-4220-00</t>
  </si>
  <si>
    <t>18-4220-00</t>
  </si>
  <si>
    <t xml:space="preserve">      Total CFDA 10.553</t>
  </si>
  <si>
    <r>
      <t xml:space="preserve">         </t>
    </r>
    <r>
      <rPr>
        <b/>
        <sz val="8"/>
        <rFont val="Calibri"/>
        <family val="2"/>
        <scheme val="minor"/>
      </rPr>
      <t>Total Child Nutrition Cluster</t>
    </r>
  </si>
  <si>
    <t>TOTAL U.S. DEPARTMENT OF AGRICULTURE</t>
  </si>
  <si>
    <t>GRAND TOTAL FEDERAL AWARDS</t>
  </si>
  <si>
    <t>The accompanying Schedule of Expenditures of Federal Awards includes the federal grant activity of Four Rivers Special Education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</si>
  <si>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Four Rivers Special Education District provided federal awards to subrecipients as follows:</t>
  </si>
  <si>
    <t>The following amounts were expended in the form of non-cash assistance by Four Rivers Special Education District and are included in the Schedule of Expenditures of Federal Awards:</t>
  </si>
  <si>
    <t>Special Ed IDEA Flow-Through - Calhoun CUSD #40</t>
  </si>
  <si>
    <t>Special Ed IDEA Flow-Through - Beardstown CUSD #15</t>
  </si>
  <si>
    <t>Special Ed IDEA Flow-Through - Carrollton CUSD #1</t>
  </si>
  <si>
    <t>Special Ed IDEA Flow-Through - Triopia CUSD #27</t>
  </si>
  <si>
    <t>Special Ed IDEA Flow-Through - Jacksonville CUSD #117</t>
  </si>
  <si>
    <t>Special Ed IDEA Pre-K - Calhoun CUSD #40</t>
  </si>
  <si>
    <t>Special Ed IDEA Pre-K - Beardstown CUSD #15</t>
  </si>
  <si>
    <t>Special Ed IDEA Pre-K - Carrollton CUSD #1</t>
  </si>
  <si>
    <t>Special Ed IDEA Pre-K - Jacksonville CUSD #117</t>
  </si>
  <si>
    <t>Special Ed IDEA Flow-Through - Brown County CUSD #1</t>
  </si>
  <si>
    <t>Special Ed IDEA Pre-K - Brown County CUSD #1</t>
  </si>
  <si>
    <t>Unmodified</t>
  </si>
  <si>
    <t>84.027, 84.173</t>
  </si>
  <si>
    <t>Special Education Cluster - IDEA</t>
  </si>
  <si>
    <t>Wendelin Consult Group</t>
  </si>
  <si>
    <t>ED-Educational Media Services-Purchased Services</t>
  </si>
  <si>
    <t>10-2200-300</t>
  </si>
  <si>
    <t>The accounting function should be controlled by a sufficient number of individuals in order to have adequate segregation of duties.</t>
  </si>
  <si>
    <t>The District's accounting function is controlled by a limited number of individuals, resulting in the inadequate segregation of duties.</t>
  </si>
  <si>
    <t>The District's accounting function is controlled by one bookkeeper and one payroll clerk.</t>
  </si>
  <si>
    <t>The limited number of personnel limits the overall effectiveness of internal control.</t>
  </si>
  <si>
    <t>The District is unable to hire an adequate staff to increase the effectiveness of internal control.</t>
  </si>
  <si>
    <t xml:space="preserve">The Board should closely review and approve all financial related information.  It is not cost feasible to hire additional personnel.  </t>
  </si>
  <si>
    <t>The District continues to review its financial policies and procedures to better segregate duties where possible.  The Director has made the Board aware of their responsibility in regards to reviewing and approving financial items and asking questions.  It is not cost feasible to hire additional personnel.</t>
  </si>
  <si>
    <t>2018 Special Education Cluster - IDEA</t>
  </si>
  <si>
    <t>2018-4600, 2018-4620</t>
  </si>
  <si>
    <t>Illinois State Board of Education</t>
  </si>
  <si>
    <t>U.S. Department of Education</t>
  </si>
  <si>
    <t>See Finding 2018-001</t>
  </si>
  <si>
    <t>None</t>
  </si>
  <si>
    <t>The District's accounting function is controlled by a</t>
  </si>
  <si>
    <t xml:space="preserve">limited number of individuals, resulting in the </t>
  </si>
  <si>
    <t>inadequate segregation of duties.</t>
  </si>
  <si>
    <t>Grant funds were used to pay for items not included</t>
  </si>
  <si>
    <t>in the approved grant budget.</t>
  </si>
  <si>
    <t>Resolved.  The District worked diligently to ensure that</t>
  </si>
  <si>
    <t>all grant expenditures were approved in the budget.  If</t>
  </si>
  <si>
    <t xml:space="preserve">unforseen expenditures arose, the District received </t>
  </si>
  <si>
    <t>approval by way of amending the grant budget.</t>
  </si>
  <si>
    <t>2017-001, 003</t>
  </si>
  <si>
    <t>2017-002, 004</t>
  </si>
  <si>
    <t>19 Area School Districts: Brown #1, Calhoun #40, Calhoun #42, Cass #15, Greene #1,</t>
  </si>
  <si>
    <t>Greene #3, Greene #10, Macoupin #2, Morgan #1, Morgan #6, Morgan #11, Morgan #27, Morgan #117, Pike #3, Pike #4, Pike #10, Pike #12, Scott #1, and Scott #2</t>
  </si>
  <si>
    <t>Jacksonville School District #117 (Morgan #117)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</si>
</sst>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2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54" fillId="0" borderId="77" xfId="3" applyNumberFormat="1" applyFont="1" applyBorder="1" applyAlignment="1" applyProtection="1">
      <alignment horizontal="right" indent="1"/>
      <protection locked="0"/>
    </xf>
    <xf numFmtId="3" fontId="63" fillId="0" borderId="22" xfId="3" applyNumberFormat="1" applyFont="1" applyBorder="1" applyAlignment="1" applyProtection="1">
      <alignment horizontal="left" vertical="center" wrapText="1"/>
      <protection locked="0"/>
    </xf>
    <xf numFmtId="3" fontId="53"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53" fillId="0" borderId="22" xfId="3" applyNumberFormat="1" applyFont="1" applyBorder="1" applyAlignment="1" applyProtection="1">
      <alignment horizontal="center"/>
      <protection locked="0"/>
    </xf>
    <xf numFmtId="3" fontId="53" fillId="0" borderId="8" xfId="3" applyNumberFormat="1" applyFont="1" applyBorder="1" applyAlignment="1" applyProtection="1">
      <alignment horizontal="center"/>
      <protection locked="0"/>
    </xf>
    <xf numFmtId="169" fontId="53" fillId="0" borderId="22" xfId="3" applyNumberFormat="1" applyFont="1" applyBorder="1" applyAlignment="1" applyProtection="1">
      <alignment horizontal="center"/>
      <protection locked="0"/>
    </xf>
    <xf numFmtId="1" fontId="53" fillId="0" borderId="22"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0" fontId="2"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Fill="1" applyBorder="1" applyProtection="1">
      <protection locked="0"/>
    </xf>
    <xf numFmtId="6" fontId="61" fillId="0" borderId="151" xfId="3" applyNumberFormat="1" applyFont="1" applyFill="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1219200</xdr:colOff>
          <xdr:row>3</xdr:row>
          <xdr:rowOff>95250</xdr:rowOff>
        </xdr:from>
        <xdr:to>
          <xdr:col>1</xdr:col>
          <xdr:colOff>2133600</xdr:colOff>
          <xdr:row>7</xdr:row>
          <xdr:rowOff>133350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104775</xdr:rowOff>
        </xdr:from>
        <xdr:to>
          <xdr:col>1</xdr:col>
          <xdr:colOff>981075</xdr:colOff>
          <xdr:row>7</xdr:row>
          <xdr:rowOff>142875</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99" sqref="A19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7" t="s">
        <v>425</v>
      </c>
      <c r="J1" s="2018"/>
      <c r="K1" s="2018"/>
      <c r="L1" s="2018"/>
      <c r="M1" s="2018"/>
      <c r="N1" s="2018"/>
      <c r="O1" s="2018"/>
      <c r="P1" s="2018"/>
      <c r="Q1" s="2018"/>
      <c r="R1" s="2018"/>
      <c r="S1" s="2018"/>
    </row>
    <row r="2" spans="1:28" ht="12" customHeight="1" x14ac:dyDescent="0.2">
      <c r="A2" s="47" t="s">
        <v>1684</v>
      </c>
      <c r="D2" s="48"/>
      <c r="I2" s="2019" t="s">
        <v>1036</v>
      </c>
      <c r="J2" s="2018"/>
      <c r="K2" s="2018"/>
      <c r="L2" s="2018"/>
      <c r="M2" s="2018"/>
      <c r="N2" s="2018"/>
      <c r="O2" s="2018"/>
      <c r="P2" s="2018"/>
      <c r="Q2" s="2018"/>
      <c r="R2" s="2018"/>
      <c r="S2" s="2018"/>
    </row>
    <row r="3" spans="1:28" ht="12" customHeight="1" x14ac:dyDescent="0.2">
      <c r="A3" s="155" t="s">
        <v>1685</v>
      </c>
      <c r="B3" s="156"/>
      <c r="C3" s="156"/>
      <c r="D3" s="157"/>
      <c r="I3" s="2019" t="s">
        <v>54</v>
      </c>
      <c r="J3" s="2018"/>
      <c r="K3" s="2018"/>
      <c r="L3" s="2018"/>
      <c r="M3" s="2018"/>
      <c r="N3" s="2018"/>
      <c r="O3" s="2018"/>
      <c r="P3" s="2018"/>
      <c r="Q3" s="2018"/>
      <c r="R3" s="2018"/>
      <c r="S3" s="2018"/>
    </row>
    <row r="4" spans="1:28" ht="12" customHeight="1" x14ac:dyDescent="0.2">
      <c r="A4" s="37"/>
      <c r="I4" s="2019" t="s">
        <v>545</v>
      </c>
      <c r="J4" s="2018"/>
      <c r="K4" s="2018"/>
      <c r="L4" s="2018"/>
      <c r="M4" s="2018"/>
      <c r="N4" s="2018"/>
      <c r="O4" s="2018"/>
      <c r="P4" s="2018"/>
      <c r="Q4" s="2018"/>
      <c r="R4" s="2018"/>
      <c r="S4" s="2018"/>
    </row>
    <row r="5" spans="1:28" ht="14.1" customHeight="1" x14ac:dyDescent="0.2">
      <c r="B5" s="104"/>
      <c r="C5" s="26" t="s">
        <v>966</v>
      </c>
      <c r="D5" s="84"/>
      <c r="E5" s="84"/>
      <c r="H5" s="38"/>
      <c r="I5" s="2027" t="s">
        <v>701</v>
      </c>
      <c r="J5" s="2026"/>
      <c r="K5" s="2026"/>
      <c r="L5" s="2026"/>
      <c r="M5" s="2026"/>
      <c r="N5" s="2026"/>
      <c r="O5" s="2026"/>
      <c r="P5" s="2026"/>
      <c r="Q5" s="2026"/>
      <c r="R5" s="2026"/>
      <c r="S5" s="2026"/>
    </row>
    <row r="6" spans="1:28" ht="14.1" customHeight="1" x14ac:dyDescent="0.2">
      <c r="B6" s="104" t="s">
        <v>2074</v>
      </c>
      <c r="C6" s="26" t="s">
        <v>967</v>
      </c>
      <c r="D6" s="84"/>
      <c r="E6" s="84"/>
      <c r="I6" s="2025" t="s">
        <v>938</v>
      </c>
      <c r="J6" s="2026"/>
      <c r="K6" s="2026"/>
      <c r="L6" s="2026"/>
      <c r="M6" s="2026"/>
      <c r="N6" s="2026"/>
      <c r="O6" s="2026"/>
      <c r="P6" s="2026"/>
      <c r="Q6" s="2026"/>
      <c r="R6" s="2026"/>
      <c r="S6" s="2026"/>
    </row>
    <row r="7" spans="1:28" ht="12.2" customHeight="1" x14ac:dyDescent="0.2">
      <c r="I7" s="2020">
        <v>43281</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695</v>
      </c>
      <c r="J9" s="2023"/>
      <c r="K9" s="2023"/>
      <c r="L9" s="2023"/>
      <c r="M9" s="2023"/>
      <c r="N9" s="2023"/>
      <c r="O9" s="2023"/>
      <c r="P9" s="2023"/>
      <c r="Q9" s="2023"/>
      <c r="R9" s="2023"/>
      <c r="S9" s="2024"/>
      <c r="T9" s="2038" t="s">
        <v>554</v>
      </c>
      <c r="U9" s="2039"/>
      <c r="V9" s="2039"/>
      <c r="W9" s="2039"/>
      <c r="X9" s="2039"/>
      <c r="Y9" s="2039"/>
      <c r="Z9" s="2039"/>
      <c r="AA9" s="2040"/>
    </row>
    <row r="10" spans="1:28" ht="13.5" customHeight="1" x14ac:dyDescent="0.2">
      <c r="A10" s="2045" t="s">
        <v>696</v>
      </c>
      <c r="B10" s="2046"/>
      <c r="C10" s="2046"/>
      <c r="D10" s="2046"/>
      <c r="E10" s="2046"/>
      <c r="F10" s="2046"/>
      <c r="G10" s="2046"/>
      <c r="H10" s="2047"/>
      <c r="I10" s="29"/>
      <c r="J10" s="30"/>
      <c r="K10" s="28"/>
      <c r="R10" s="30"/>
      <c r="S10" s="30"/>
      <c r="T10" s="2041"/>
      <c r="U10" s="2026"/>
      <c r="V10" s="2026"/>
      <c r="W10" s="2026"/>
      <c r="X10" s="2026"/>
      <c r="Y10" s="2026"/>
      <c r="Z10" s="2026"/>
      <c r="AA10" s="2032"/>
    </row>
    <row r="11" spans="1:28" ht="14.25" customHeight="1" x14ac:dyDescent="0.2">
      <c r="A11" s="2048" t="s">
        <v>1012</v>
      </c>
      <c r="B11" s="2049"/>
      <c r="C11" s="2049"/>
      <c r="D11" s="2049"/>
      <c r="E11" s="2049"/>
      <c r="F11" s="2049"/>
      <c r="G11" s="2049"/>
      <c r="H11" s="2050"/>
      <c r="I11" s="27"/>
      <c r="J11" s="74"/>
      <c r="K11" s="27"/>
      <c r="O11" s="148" t="s">
        <v>2074</v>
      </c>
      <c r="P11" s="100" t="s">
        <v>210</v>
      </c>
      <c r="Q11" s="30"/>
      <c r="R11" s="28"/>
      <c r="S11" s="27"/>
      <c r="T11" s="2042"/>
      <c r="U11" s="2043"/>
      <c r="V11" s="2043"/>
      <c r="W11" s="2043"/>
      <c r="X11" s="2043"/>
      <c r="Y11" s="2043"/>
      <c r="Z11" s="2043"/>
      <c r="AA11" s="204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2">
        <v>1069801060</v>
      </c>
      <c r="B13" s="2053"/>
      <c r="C13" s="2053"/>
      <c r="D13" s="2053"/>
      <c r="E13" s="2053"/>
      <c r="F13" s="2053"/>
      <c r="G13" s="2053"/>
      <c r="H13" s="2054"/>
      <c r="I13" s="31"/>
      <c r="J13" s="30"/>
      <c r="K13" s="28"/>
      <c r="L13" s="30"/>
      <c r="M13" s="30"/>
      <c r="N13" s="30"/>
      <c r="O13" s="30"/>
      <c r="P13" s="30"/>
      <c r="Q13" s="30"/>
      <c r="R13" s="30"/>
      <c r="S13" s="30"/>
      <c r="T13" s="2057" t="s">
        <v>2084</v>
      </c>
      <c r="U13" s="2058"/>
      <c r="V13" s="2058"/>
      <c r="W13" s="2058"/>
      <c r="X13" s="2058"/>
      <c r="Y13" s="2059"/>
      <c r="Z13" s="2059"/>
      <c r="AA13" s="206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1" t="s">
        <v>2075</v>
      </c>
      <c r="B15" s="2055"/>
      <c r="C15" s="2055"/>
      <c r="D15" s="2055"/>
      <c r="E15" s="2055"/>
      <c r="F15" s="2055"/>
      <c r="G15" s="2055"/>
      <c r="H15" s="2056"/>
      <c r="T15" s="2061" t="s">
        <v>2085</v>
      </c>
      <c r="U15" s="2005"/>
      <c r="V15" s="2005"/>
      <c r="W15" s="2005"/>
      <c r="X15" s="2005"/>
      <c r="Y15" s="2062"/>
      <c r="Z15" s="2062"/>
      <c r="AA15" s="206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1" t="s">
        <v>2076</v>
      </c>
      <c r="B17" s="2012"/>
      <c r="C17" s="2012"/>
      <c r="D17" s="2012"/>
      <c r="E17" s="2012"/>
      <c r="F17" s="2012"/>
      <c r="G17" s="2012"/>
      <c r="H17" s="2037"/>
      <c r="T17" s="2068" t="s">
        <v>2086</v>
      </c>
      <c r="U17" s="2069"/>
      <c r="V17" s="2069"/>
      <c r="W17" s="2069"/>
      <c r="X17" s="2069"/>
      <c r="Y17" s="2069"/>
      <c r="Z17" s="2069"/>
      <c r="AA17" s="2070"/>
    </row>
    <row r="18" spans="1:27" ht="13.5" customHeight="1" x14ac:dyDescent="0.2">
      <c r="A18" s="85" t="s">
        <v>551</v>
      </c>
      <c r="B18" s="76"/>
      <c r="C18" s="72"/>
      <c r="D18" s="76"/>
      <c r="E18" s="76"/>
      <c r="F18" s="76"/>
      <c r="G18" s="76"/>
      <c r="H18" s="56"/>
      <c r="I18" s="2036" t="s">
        <v>697</v>
      </c>
      <c r="J18" s="1987"/>
      <c r="K18" s="1987"/>
      <c r="L18" s="1987"/>
      <c r="M18" s="1987"/>
      <c r="N18" s="1987"/>
      <c r="O18" s="1987"/>
      <c r="P18" s="1987"/>
      <c r="Q18" s="1987"/>
      <c r="R18" s="1987"/>
      <c r="S18" s="1988"/>
      <c r="T18" s="85" t="s">
        <v>735</v>
      </c>
      <c r="U18" s="51"/>
      <c r="V18" s="72"/>
      <c r="W18" s="50"/>
      <c r="X18" s="85" t="s">
        <v>284</v>
      </c>
      <c r="Y18" s="81"/>
      <c r="Z18" s="159" t="s">
        <v>698</v>
      </c>
      <c r="AA18" s="46"/>
    </row>
    <row r="19" spans="1:27" ht="13.5" customHeight="1" x14ac:dyDescent="0.2">
      <c r="A19" s="2051" t="s">
        <v>2077</v>
      </c>
      <c r="B19" s="1997"/>
      <c r="C19" s="1997"/>
      <c r="D19" s="1997"/>
      <c r="E19" s="1997"/>
      <c r="F19" s="1997"/>
      <c r="G19" s="1997"/>
      <c r="H19" s="1977"/>
      <c r="I19" s="30"/>
      <c r="J19" s="99"/>
      <c r="K19" s="40"/>
      <c r="L19" s="38"/>
      <c r="M19" s="112" t="s">
        <v>333</v>
      </c>
      <c r="P19" s="27"/>
      <c r="Q19" s="27"/>
      <c r="R19" s="27"/>
      <c r="S19" s="31"/>
      <c r="T19" s="2051" t="s">
        <v>2078</v>
      </c>
      <c r="U19" s="1976"/>
      <c r="V19" s="1976"/>
      <c r="W19" s="1977"/>
      <c r="X19" s="2066" t="s">
        <v>2087</v>
      </c>
      <c r="Y19" s="2067"/>
      <c r="Z19" s="2064">
        <v>62650</v>
      </c>
      <c r="AA19" s="206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5" t="s">
        <v>2078</v>
      </c>
      <c r="B21" s="1976"/>
      <c r="C21" s="1976"/>
      <c r="D21" s="1976"/>
      <c r="E21" s="1976"/>
      <c r="F21" s="1976"/>
      <c r="G21" s="1976"/>
      <c r="H21" s="1977"/>
      <c r="I21" s="2031" t="s">
        <v>699</v>
      </c>
      <c r="J21" s="2026"/>
      <c r="K21" s="2026"/>
      <c r="L21" s="2026"/>
      <c r="M21" s="2026"/>
      <c r="N21" s="2026"/>
      <c r="O21" s="2026"/>
      <c r="P21" s="2026"/>
      <c r="Q21" s="2026"/>
      <c r="R21" s="2026"/>
      <c r="S21" s="2032"/>
      <c r="T21" s="2075" t="s">
        <v>2088</v>
      </c>
      <c r="U21" s="2076"/>
      <c r="V21" s="2076"/>
      <c r="W21" s="2076"/>
      <c r="X21" s="2081" t="s">
        <v>2089</v>
      </c>
      <c r="Y21" s="2082"/>
      <c r="Z21" s="2082"/>
      <c r="AA21" s="2083"/>
    </row>
    <row r="22" spans="1:27" ht="13.5" customHeight="1" x14ac:dyDescent="0.2">
      <c r="A22" s="87" t="s">
        <v>552</v>
      </c>
      <c r="B22" s="59"/>
      <c r="C22" s="59"/>
      <c r="D22" s="59"/>
      <c r="E22" s="59"/>
      <c r="F22" s="59"/>
      <c r="G22" s="59"/>
      <c r="H22" s="60"/>
      <c r="I22" s="2033" t="s">
        <v>1504</v>
      </c>
      <c r="J22" s="2034"/>
      <c r="K22" s="2034"/>
      <c r="L22" s="2034"/>
      <c r="M22" s="2034"/>
      <c r="N22" s="2034"/>
      <c r="O22" s="2034"/>
      <c r="P22" s="2034"/>
      <c r="Q22" s="2034"/>
      <c r="R22" s="2034"/>
      <c r="S22" s="2035"/>
      <c r="T22" s="85" t="s">
        <v>1596</v>
      </c>
      <c r="U22" s="51"/>
      <c r="V22" s="72"/>
      <c r="W22" s="51"/>
      <c r="X22" s="160" t="s">
        <v>1385</v>
      </c>
      <c r="Z22" s="45"/>
      <c r="AA22" s="46"/>
    </row>
    <row r="23" spans="1:27" ht="13.5" customHeight="1" x14ac:dyDescent="0.2">
      <c r="A23" s="2028" t="s">
        <v>2079</v>
      </c>
      <c r="B23" s="2029"/>
      <c r="C23" s="2029"/>
      <c r="D23" s="2029"/>
      <c r="E23" s="2029"/>
      <c r="F23" s="2029"/>
      <c r="G23" s="2029"/>
      <c r="H23" s="2030"/>
      <c r="T23" s="2011" t="s">
        <v>2094</v>
      </c>
      <c r="U23" s="2074"/>
      <c r="V23" s="2074"/>
      <c r="W23" s="2074"/>
      <c r="X23" s="2078">
        <v>43422</v>
      </c>
      <c r="Y23" s="2079"/>
      <c r="Z23" s="2079"/>
      <c r="AA23" s="2080"/>
    </row>
    <row r="24" spans="1:27" ht="14.1" customHeight="1" x14ac:dyDescent="0.2">
      <c r="A24" s="88" t="s">
        <v>698</v>
      </c>
      <c r="B24" s="49"/>
      <c r="C24" s="49"/>
      <c r="D24" s="49"/>
      <c r="E24" s="49"/>
      <c r="F24" s="49"/>
      <c r="G24" s="49"/>
      <c r="H24" s="61"/>
      <c r="J24" s="1998" t="str">
        <f>IF(B5="x",IF(AUDITCHECK!D29="AFR form Incomplete.","",IF(AUDITCHECK!D29="Deficit reduction plan is required.","School District must complete a deficit reduction plan in the 2018-2019 Budget",)),"")</f>
        <v/>
      </c>
      <c r="K24" s="1998"/>
      <c r="L24" s="1998"/>
      <c r="M24" s="1998"/>
      <c r="N24" s="1998"/>
      <c r="O24" s="1998"/>
      <c r="P24" s="1998"/>
      <c r="Q24" s="1998"/>
      <c r="R24" s="1998"/>
      <c r="S24" s="1999"/>
      <c r="T24" s="105" t="s">
        <v>552</v>
      </c>
      <c r="U24" s="106"/>
      <c r="V24" s="106"/>
      <c r="W24" s="106"/>
      <c r="X24" s="107"/>
      <c r="Y24" s="107"/>
      <c r="Z24" s="107"/>
      <c r="AA24" s="108"/>
    </row>
    <row r="25" spans="1:27" ht="14.1" customHeight="1" x14ac:dyDescent="0.2">
      <c r="A25" s="1975">
        <v>62650</v>
      </c>
      <c r="B25" s="1976"/>
      <c r="C25" s="1976"/>
      <c r="D25" s="1976"/>
      <c r="E25" s="1976"/>
      <c r="F25" s="1976"/>
      <c r="G25" s="1976"/>
      <c r="H25" s="1977"/>
      <c r="I25" s="113"/>
      <c r="J25" s="2000"/>
      <c r="K25" s="2000"/>
      <c r="L25" s="2000"/>
      <c r="M25" s="2000"/>
      <c r="N25" s="2000"/>
      <c r="O25" s="2000"/>
      <c r="P25" s="2000"/>
      <c r="Q25" s="2000"/>
      <c r="R25" s="2000"/>
      <c r="S25" s="2001"/>
      <c r="T25" s="2071" t="s">
        <v>2090</v>
      </c>
      <c r="U25" s="2072"/>
      <c r="V25" s="2072"/>
      <c r="W25" s="2072"/>
      <c r="X25" s="2072"/>
      <c r="Y25" s="2072"/>
      <c r="Z25" s="2072"/>
      <c r="AA25" s="207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6" t="s">
        <v>1591</v>
      </c>
      <c r="J27" s="1987"/>
      <c r="K27" s="1987"/>
      <c r="L27" s="1987"/>
      <c r="M27" s="1987"/>
      <c r="N27" s="1987"/>
      <c r="O27" s="1987"/>
      <c r="P27" s="1987"/>
      <c r="Q27" s="1987"/>
      <c r="R27" s="1987"/>
      <c r="S27" s="198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7"/>
      <c r="Q35" s="1976"/>
      <c r="R35" s="197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1" t="s">
        <v>2080</v>
      </c>
      <c r="B38" s="2012"/>
      <c r="C38" s="2012"/>
      <c r="D38" s="2012"/>
      <c r="E38" s="2012"/>
      <c r="F38" s="1976"/>
      <c r="G38" s="1976"/>
      <c r="H38" s="1977"/>
      <c r="I38" s="2004"/>
      <c r="J38" s="2005"/>
      <c r="K38" s="2005"/>
      <c r="L38" s="2005"/>
      <c r="M38" s="2005"/>
      <c r="N38" s="2005"/>
      <c r="O38" s="2005"/>
      <c r="P38" s="2006"/>
      <c r="Q38" s="2006"/>
      <c r="R38" s="2006"/>
      <c r="S38" s="2007"/>
      <c r="T38" s="2061"/>
      <c r="U38" s="2005"/>
      <c r="V38" s="2005"/>
      <c r="W38" s="2005"/>
      <c r="X38" s="2006"/>
      <c r="Y38" s="2006"/>
      <c r="Z38" s="2006"/>
      <c r="AA38" s="2007"/>
    </row>
    <row r="39" spans="1:27" ht="12" customHeight="1" x14ac:dyDescent="0.2">
      <c r="A39" s="1981" t="s">
        <v>552</v>
      </c>
      <c r="B39" s="1982"/>
      <c r="C39" s="72"/>
      <c r="D39" s="69"/>
      <c r="E39" s="69"/>
      <c r="F39" s="79"/>
      <c r="G39" s="69"/>
      <c r="H39" s="56"/>
      <c r="I39" s="1981" t="s">
        <v>552</v>
      </c>
      <c r="J39" s="1982"/>
      <c r="K39" s="1982"/>
      <c r="L39" s="1982"/>
      <c r="M39" s="1982"/>
      <c r="N39" s="67"/>
      <c r="O39" s="72"/>
      <c r="P39" s="72"/>
      <c r="Q39" s="78"/>
      <c r="R39" s="72"/>
      <c r="S39" s="56"/>
      <c r="T39" s="72" t="s">
        <v>552</v>
      </c>
      <c r="U39" s="51"/>
      <c r="V39" s="72"/>
      <c r="W39" s="50"/>
      <c r="X39" s="78"/>
      <c r="Y39" s="45"/>
      <c r="Z39" s="45"/>
      <c r="AA39" s="46"/>
    </row>
    <row r="40" spans="1:27" ht="13.5" customHeight="1" x14ac:dyDescent="0.2">
      <c r="A40" s="1989" t="s">
        <v>2081</v>
      </c>
      <c r="B40" s="1990"/>
      <c r="C40" s="1991"/>
      <c r="D40" s="1991"/>
      <c r="E40" s="1991"/>
      <c r="F40" s="1992"/>
      <c r="G40" s="1992"/>
      <c r="H40" s="1993"/>
      <c r="I40" s="2014"/>
      <c r="J40" s="2015"/>
      <c r="K40" s="2015"/>
      <c r="L40" s="2015"/>
      <c r="M40" s="2015"/>
      <c r="N40" s="2015"/>
      <c r="O40" s="2015"/>
      <c r="P40" s="2015"/>
      <c r="Q40" s="2015"/>
      <c r="R40" s="2015"/>
      <c r="S40" s="2016"/>
      <c r="T40" s="2014"/>
      <c r="U40" s="2077"/>
      <c r="V40" s="2015"/>
      <c r="W40" s="2015"/>
      <c r="X40" s="2015"/>
      <c r="Y40" s="2015"/>
      <c r="Z40" s="2015"/>
      <c r="AA40" s="201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3" t="s">
        <v>2082</v>
      </c>
      <c r="B42" s="1995"/>
      <c r="C42" s="1996"/>
      <c r="D42" s="1994" t="s">
        <v>2083</v>
      </c>
      <c r="E42" s="1995"/>
      <c r="F42" s="1995"/>
      <c r="G42" s="1995"/>
      <c r="H42" s="1996"/>
      <c r="I42" s="1978"/>
      <c r="J42" s="1979"/>
      <c r="K42" s="1979"/>
      <c r="L42" s="1979"/>
      <c r="M42" s="1979"/>
      <c r="N42" s="1979"/>
      <c r="O42" s="1980"/>
      <c r="P42" s="2013"/>
      <c r="Q42" s="1979"/>
      <c r="R42" s="1979"/>
      <c r="S42" s="1980"/>
      <c r="T42" s="1978"/>
      <c r="U42" s="1979"/>
      <c r="V42" s="1979"/>
      <c r="W42" s="1980"/>
      <c r="X42" s="2013"/>
      <c r="Y42" s="1979"/>
      <c r="Z42" s="1979"/>
      <c r="AA42" s="198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8"/>
      <c r="B44" s="2009"/>
      <c r="C44" s="2009"/>
      <c r="D44" s="2009"/>
      <c r="E44" s="2009"/>
      <c r="F44" s="2009"/>
      <c r="G44" s="2009"/>
      <c r="H44" s="2010"/>
      <c r="I44" s="1983"/>
      <c r="J44" s="1984"/>
      <c r="K44" s="1984"/>
      <c r="L44" s="1984"/>
      <c r="M44" s="1984"/>
      <c r="N44" s="1984"/>
      <c r="O44" s="1984"/>
      <c r="P44" s="1984"/>
      <c r="Q44" s="1984"/>
      <c r="R44" s="1984"/>
      <c r="S44" s="1985"/>
      <c r="T44" s="1983"/>
      <c r="U44" s="2002"/>
      <c r="V44" s="2002"/>
      <c r="W44" s="2002"/>
      <c r="X44" s="2002"/>
      <c r="Y44" s="2002"/>
      <c r="Z44" s="1984"/>
      <c r="AA44" s="198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tabSelected="1" defaultGridColor="0" colorId="8" zoomScale="110" zoomScaleNormal="110" workbookViewId="0">
      <selection activeCell="A199" sqref="A19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7" t="s">
        <v>1902</v>
      </c>
      <c r="B2" s="1550" t="s">
        <v>2034</v>
      </c>
      <c r="C2" s="715" t="s">
        <v>1907</v>
      </c>
      <c r="D2" s="715" t="s">
        <v>1908</v>
      </c>
      <c r="E2" s="715" t="s">
        <v>1909</v>
      </c>
      <c r="F2" s="715" t="s">
        <v>1910</v>
      </c>
    </row>
    <row r="3" spans="1:6" ht="12" customHeight="1" x14ac:dyDescent="0.2">
      <c r="A3" s="2218"/>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tabSelected="1" defaultGridColor="0" colorId="8" zoomScale="110" zoomScaleNormal="110" workbookViewId="0">
      <selection activeCell="A199" sqref="A19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9" t="s">
        <v>650</v>
      </c>
      <c r="B1" s="2237"/>
      <c r="C1" s="722"/>
    </row>
    <row r="2" spans="1:7" ht="33.75" x14ac:dyDescent="0.2">
      <c r="A2" s="2244" t="s">
        <v>1902</v>
      </c>
      <c r="B2" s="2245"/>
      <c r="C2" s="1909" t="s">
        <v>2035</v>
      </c>
      <c r="D2" s="724" t="s">
        <v>2042</v>
      </c>
      <c r="E2" s="724" t="s">
        <v>2043</v>
      </c>
      <c r="F2" s="1909" t="s">
        <v>2036</v>
      </c>
    </row>
    <row r="3" spans="1:7" ht="15.75" customHeight="1" x14ac:dyDescent="0.2">
      <c r="A3" s="2246" t="s">
        <v>1176</v>
      </c>
      <c r="B3" s="2247"/>
      <c r="C3" s="2240"/>
      <c r="D3" s="2241"/>
      <c r="E3" s="2241"/>
      <c r="F3" s="2242"/>
    </row>
    <row r="4" spans="1:7" ht="12.75" customHeight="1" thickBot="1" x14ac:dyDescent="0.25">
      <c r="A4" s="2234" t="s">
        <v>651</v>
      </c>
      <c r="B4" s="2235"/>
      <c r="C4" s="581"/>
      <c r="D4" s="581"/>
      <c r="E4" s="581"/>
      <c r="F4" s="1777">
        <f>SUM(C4+D4)-E4</f>
        <v>0</v>
      </c>
    </row>
    <row r="5" spans="1:7" ht="15.75" customHeight="1" thickTop="1" x14ac:dyDescent="0.2">
      <c r="A5" s="2238" t="s">
        <v>1172</v>
      </c>
      <c r="B5" s="2233"/>
      <c r="C5" s="2227"/>
      <c r="D5" s="2228"/>
      <c r="E5" s="2228"/>
      <c r="F5" s="222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30" t="s">
        <v>652</v>
      </c>
      <c r="B15" s="2231"/>
      <c r="C15" s="1777">
        <f>SUM(C6:C14)</f>
        <v>0</v>
      </c>
      <c r="D15" s="1777">
        <f>SUM(D6:D14)</f>
        <v>0</v>
      </c>
      <c r="E15" s="1777">
        <f>SUM(E6:E14)</f>
        <v>0</v>
      </c>
      <c r="F15" s="1777">
        <f>SUM(F6:F14)</f>
        <v>0</v>
      </c>
      <c r="G15" s="552"/>
    </row>
    <row r="16" spans="1:7" s="202" customFormat="1" ht="15.75" customHeight="1" thickTop="1" x14ac:dyDescent="0.2">
      <c r="A16" s="2243" t="s">
        <v>1173</v>
      </c>
      <c r="B16" s="2233"/>
      <c r="C16" s="2227"/>
      <c r="D16" s="2228"/>
      <c r="E16" s="2228"/>
      <c r="F16" s="2229"/>
    </row>
    <row r="17" spans="1:11" ht="12.75" customHeight="1" thickBot="1" x14ac:dyDescent="0.25">
      <c r="A17" s="2225" t="s">
        <v>66</v>
      </c>
      <c r="B17" s="2226"/>
      <c r="C17" s="727"/>
      <c r="D17" s="585"/>
      <c r="E17" s="727"/>
      <c r="F17" s="1777">
        <f>SUM(C17+D17)-E17</f>
        <v>0</v>
      </c>
    </row>
    <row r="18" spans="1:11" ht="12.75" customHeight="1" thickTop="1" thickBot="1" x14ac:dyDescent="0.25">
      <c r="A18" s="2225" t="s">
        <v>6</v>
      </c>
      <c r="B18" s="2226"/>
      <c r="C18" s="727"/>
      <c r="D18" s="585"/>
      <c r="E18" s="727"/>
      <c r="F18" s="1777">
        <f>SUM(C18+D18)-E18</f>
        <v>0</v>
      </c>
    </row>
    <row r="19" spans="1:11" ht="12.75" customHeight="1" thickTop="1" thickBot="1" x14ac:dyDescent="0.25">
      <c r="A19" s="2225" t="s">
        <v>406</v>
      </c>
      <c r="B19" s="2226"/>
      <c r="C19" s="727"/>
      <c r="D19" s="585"/>
      <c r="E19" s="727"/>
      <c r="F19" s="1777">
        <f>SUM(C19+D19)-E19</f>
        <v>0</v>
      </c>
    </row>
    <row r="20" spans="1:11" ht="12.75" customHeight="1" thickTop="1" thickBot="1" x14ac:dyDescent="0.25">
      <c r="A20" s="2225" t="s">
        <v>468</v>
      </c>
      <c r="B20" s="2226"/>
      <c r="C20" s="727"/>
      <c r="D20" s="585"/>
      <c r="E20" s="727"/>
      <c r="F20" s="1777">
        <f>SUM(C20+D20)-E20</f>
        <v>0</v>
      </c>
    </row>
    <row r="21" spans="1:11" ht="14.25" thickTop="1" thickBot="1" x14ac:dyDescent="0.25">
      <c r="A21" s="2230" t="s">
        <v>653</v>
      </c>
      <c r="B21" s="2231"/>
      <c r="C21" s="1777">
        <f>SUM(C17:C20)</f>
        <v>0</v>
      </c>
      <c r="D21" s="1777">
        <f>SUM(D17:D20)</f>
        <v>0</v>
      </c>
      <c r="E21" s="1777">
        <f>SUM(E17:E20)</f>
        <v>0</v>
      </c>
      <c r="F21" s="1777">
        <f>SUM(F17:F20)</f>
        <v>0</v>
      </c>
      <c r="G21" s="552"/>
    </row>
    <row r="22" spans="1:11" ht="15.75" customHeight="1" thickTop="1" x14ac:dyDescent="0.2">
      <c r="A22" s="2232" t="s">
        <v>1174</v>
      </c>
      <c r="B22" s="2233"/>
      <c r="C22" s="2227"/>
      <c r="D22" s="2228"/>
      <c r="E22" s="2228"/>
      <c r="F22" s="2229"/>
    </row>
    <row r="23" spans="1:11" ht="13.5" thickBot="1" x14ac:dyDescent="0.25">
      <c r="A23" s="2234" t="s">
        <v>654</v>
      </c>
      <c r="B23" s="2235"/>
      <c r="C23" s="581"/>
      <c r="D23" s="581"/>
      <c r="E23" s="581"/>
      <c r="F23" s="1777">
        <f>SUM(C23+D23)-E23</f>
        <v>0</v>
      </c>
      <c r="G23" s="552"/>
    </row>
    <row r="24" spans="1:11" ht="15.75" customHeight="1" thickTop="1" x14ac:dyDescent="0.2">
      <c r="A24" s="2232" t="s">
        <v>1175</v>
      </c>
      <c r="B24" s="2233"/>
      <c r="C24" s="2227"/>
      <c r="D24" s="2228"/>
      <c r="E24" s="2228"/>
      <c r="F24" s="2229"/>
    </row>
    <row r="25" spans="1:11" ht="13.5" thickBot="1" x14ac:dyDescent="0.25">
      <c r="A25" s="2234" t="s">
        <v>655</v>
      </c>
      <c r="B25" s="2235"/>
      <c r="C25" s="581"/>
      <c r="D25" s="581"/>
      <c r="E25" s="581"/>
      <c r="F25" s="1777">
        <f>SUM(C25+D25)-E25</f>
        <v>0</v>
      </c>
      <c r="G25" s="552"/>
    </row>
    <row r="26" spans="1:11" ht="15.75" customHeight="1" thickTop="1" x14ac:dyDescent="0.2">
      <c r="A26" s="2238" t="s">
        <v>678</v>
      </c>
      <c r="B26" s="2233"/>
      <c r="C26" s="728"/>
      <c r="D26" s="728"/>
      <c r="E26" s="728"/>
      <c r="F26" s="729"/>
    </row>
    <row r="27" spans="1:11" ht="13.5" thickBot="1" x14ac:dyDescent="0.25">
      <c r="A27" s="2230" t="s">
        <v>1130</v>
      </c>
      <c r="B27" s="2231"/>
      <c r="C27" s="585"/>
      <c r="D27" s="585"/>
      <c r="E27" s="585"/>
      <c r="F27" s="1777">
        <f>SUM(C27+D27)-E27</f>
        <v>0</v>
      </c>
      <c r="G27" s="552"/>
    </row>
    <row r="28" spans="1:11" ht="7.5" customHeight="1" thickTop="1" x14ac:dyDescent="0.2">
      <c r="A28" s="594"/>
    </row>
    <row r="29" spans="1:11" ht="23.25" customHeight="1" x14ac:dyDescent="0.2">
      <c r="A29" s="2236" t="s">
        <v>603</v>
      </c>
      <c r="B29" s="2237"/>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19" t="s">
        <v>605</v>
      </c>
      <c r="C52" s="2220"/>
      <c r="D52" s="2220"/>
      <c r="E52" s="750" t="s">
        <v>900</v>
      </c>
      <c r="F52" s="2221"/>
      <c r="G52" s="2222"/>
      <c r="H52" s="737"/>
      <c r="I52" s="737"/>
      <c r="J52" s="747"/>
    </row>
    <row r="53" spans="1:11" ht="11.25" customHeight="1" x14ac:dyDescent="0.2">
      <c r="A53" s="751" t="s">
        <v>969</v>
      </c>
      <c r="B53" s="752" t="s">
        <v>1008</v>
      </c>
      <c r="C53" s="747"/>
      <c r="D53" s="738"/>
      <c r="E53" s="750" t="s">
        <v>518</v>
      </c>
      <c r="F53" s="2223"/>
      <c r="G53" s="2224"/>
      <c r="H53" s="737"/>
      <c r="I53" s="737"/>
      <c r="J53" s="747"/>
    </row>
    <row r="54" spans="1:11" ht="11.25" customHeight="1" x14ac:dyDescent="0.2">
      <c r="A54" s="753" t="s">
        <v>970</v>
      </c>
      <c r="B54" s="748" t="s">
        <v>1009</v>
      </c>
      <c r="C54" s="747"/>
      <c r="D54" s="738"/>
      <c r="E54" s="750" t="s">
        <v>519</v>
      </c>
      <c r="F54" s="2223"/>
      <c r="G54" s="222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tabSelected="1" defaultGridColor="0" colorId="8" zoomScale="110" zoomScaleNormal="110" workbookViewId="0">
      <selection activeCell="A199" sqref="A19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8" t="s">
        <v>911</v>
      </c>
      <c r="B1" s="2249"/>
      <c r="C1" s="2249"/>
      <c r="D1" s="2249"/>
      <c r="E1" s="2249"/>
      <c r="F1" s="2249"/>
      <c r="G1" s="2250"/>
      <c r="H1" s="1552"/>
      <c r="I1" s="761"/>
      <c r="J1" s="433"/>
    </row>
    <row r="2" spans="1:11" ht="26.25" x14ac:dyDescent="0.2">
      <c r="A2" s="2267" t="s">
        <v>1776</v>
      </c>
      <c r="B2" s="2268"/>
      <c r="C2" s="2268"/>
      <c r="D2" s="2268"/>
      <c r="E2" s="2269"/>
      <c r="F2" s="762" t="s">
        <v>960</v>
      </c>
      <c r="G2" s="763" t="s">
        <v>1773</v>
      </c>
      <c r="H2" s="763" t="s">
        <v>430</v>
      </c>
      <c r="I2" s="763" t="s">
        <v>1220</v>
      </c>
      <c r="J2" s="763" t="s">
        <v>1916</v>
      </c>
      <c r="K2" s="763" t="s">
        <v>140</v>
      </c>
    </row>
    <row r="3" spans="1:11" x14ac:dyDescent="0.2">
      <c r="A3" s="2270" t="s">
        <v>1698</v>
      </c>
      <c r="B3" s="2271"/>
      <c r="C3" s="2271"/>
      <c r="D3" s="2271"/>
      <c r="E3" s="2272"/>
      <c r="F3" s="764"/>
      <c r="G3" s="765"/>
      <c r="H3" s="765"/>
      <c r="I3" s="765"/>
      <c r="J3" s="766"/>
      <c r="K3" s="766"/>
    </row>
    <row r="4" spans="1:11" x14ac:dyDescent="0.2">
      <c r="A4" s="2273" t="s">
        <v>387</v>
      </c>
      <c r="B4" s="2274"/>
      <c r="C4" s="2274"/>
      <c r="D4" s="2274"/>
      <c r="E4" s="2220"/>
      <c r="F4" s="767"/>
      <c r="G4" s="768"/>
      <c r="H4" s="769"/>
      <c r="I4" s="768"/>
      <c r="J4" s="770"/>
      <c r="K4" s="770"/>
    </row>
    <row r="5" spans="1:11" x14ac:dyDescent="0.2">
      <c r="A5" s="2251" t="s">
        <v>1129</v>
      </c>
      <c r="B5" s="2252"/>
      <c r="C5" s="2252"/>
      <c r="D5" s="2252"/>
      <c r="E5" s="2253"/>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1" t="s">
        <v>1917</v>
      </c>
      <c r="B10" s="2252"/>
      <c r="C10" s="2252"/>
      <c r="D10" s="2252"/>
      <c r="E10" s="2254"/>
      <c r="F10" s="784" t="s">
        <v>917</v>
      </c>
      <c r="G10" s="783"/>
      <c r="H10" s="785"/>
      <c r="I10" s="765"/>
      <c r="J10" s="766"/>
      <c r="K10" s="766"/>
    </row>
    <row r="11" spans="1:11" x14ac:dyDescent="0.2">
      <c r="A11" s="2251" t="s">
        <v>162</v>
      </c>
      <c r="B11" s="2252"/>
      <c r="C11" s="2252"/>
      <c r="D11" s="2252"/>
      <c r="E11" s="2253"/>
      <c r="F11" s="771" t="s">
        <v>907</v>
      </c>
      <c r="G11" s="772"/>
      <c r="H11" s="765"/>
      <c r="I11" s="765"/>
      <c r="J11" s="766"/>
      <c r="K11" s="774"/>
    </row>
    <row r="12" spans="1:11" ht="13.5" thickBot="1" x14ac:dyDescent="0.25">
      <c r="A12" s="2278" t="s">
        <v>961</v>
      </c>
      <c r="B12" s="2279"/>
      <c r="C12" s="2279"/>
      <c r="D12" s="2279"/>
      <c r="E12" s="2280"/>
      <c r="F12" s="1779"/>
      <c r="G12" s="1780">
        <f>SUM(G5:G11)</f>
        <v>0</v>
      </c>
      <c r="H12" s="1780">
        <f>SUM(H5:H11)</f>
        <v>0</v>
      </c>
      <c r="I12" s="1780">
        <f>SUM(I5:I11)</f>
        <v>0</v>
      </c>
      <c r="J12" s="1780">
        <f>SUM(J5:J11)</f>
        <v>0</v>
      </c>
      <c r="K12" s="1780">
        <f>SUM(K5:K11)</f>
        <v>0</v>
      </c>
    </row>
    <row r="13" spans="1:11" ht="13.5" thickTop="1" x14ac:dyDescent="0.2">
      <c r="A13" s="2275" t="s">
        <v>388</v>
      </c>
      <c r="B13" s="2276"/>
      <c r="C13" s="2276"/>
      <c r="D13" s="2276"/>
      <c r="E13" s="2277"/>
      <c r="F13" s="786"/>
      <c r="G13" s="787"/>
      <c r="H13" s="788"/>
      <c r="I13" s="789"/>
      <c r="J13" s="789"/>
      <c r="K13" s="789"/>
    </row>
    <row r="14" spans="1:11" x14ac:dyDescent="0.2">
      <c r="A14" s="2258" t="s">
        <v>476</v>
      </c>
      <c r="B14" s="2258"/>
      <c r="C14" s="2258"/>
      <c r="D14" s="2258"/>
      <c r="E14" s="2259"/>
      <c r="F14" s="790" t="s">
        <v>909</v>
      </c>
      <c r="G14" s="783"/>
      <c r="H14" s="765"/>
      <c r="I14" s="772"/>
      <c r="J14" s="774"/>
      <c r="K14" s="766"/>
    </row>
    <row r="15" spans="1:11" x14ac:dyDescent="0.2">
      <c r="A15" s="2252" t="s">
        <v>4</v>
      </c>
      <c r="B15" s="2252"/>
      <c r="C15" s="2252"/>
      <c r="D15" s="2252"/>
      <c r="E15" s="2253"/>
      <c r="F15" s="790" t="s">
        <v>910</v>
      </c>
      <c r="G15" s="772"/>
      <c r="H15" s="765"/>
      <c r="I15" s="765"/>
      <c r="J15" s="766"/>
      <c r="K15" s="766"/>
    </row>
    <row r="16" spans="1:11" x14ac:dyDescent="0.2">
      <c r="A16" s="2252" t="s">
        <v>316</v>
      </c>
      <c r="B16" s="2252"/>
      <c r="C16" s="2252"/>
      <c r="D16" s="2252"/>
      <c r="E16" s="2253"/>
      <c r="F16" s="790" t="s">
        <v>980</v>
      </c>
      <c r="G16" s="773"/>
      <c r="H16" s="768"/>
      <c r="I16" s="768"/>
      <c r="J16" s="770"/>
      <c r="K16" s="770"/>
    </row>
    <row r="17" spans="1:11" x14ac:dyDescent="0.2">
      <c r="A17" s="2283" t="s">
        <v>992</v>
      </c>
      <c r="B17" s="2283"/>
      <c r="C17" s="2283"/>
      <c r="D17" s="2283"/>
      <c r="E17" s="2284"/>
      <c r="F17" s="791"/>
      <c r="G17" s="792"/>
      <c r="H17" s="793"/>
      <c r="I17" s="793"/>
      <c r="J17" s="794"/>
      <c r="K17" s="795"/>
    </row>
    <row r="18" spans="1:11" x14ac:dyDescent="0.2">
      <c r="A18" s="2262" t="s">
        <v>386</v>
      </c>
      <c r="B18" s="2263"/>
      <c r="C18" s="2263"/>
      <c r="D18" s="2263"/>
      <c r="E18" s="2264"/>
      <c r="F18" s="790" t="s">
        <v>989</v>
      </c>
      <c r="G18" s="783"/>
      <c r="H18" s="783"/>
      <c r="I18" s="783"/>
      <c r="J18" s="766"/>
      <c r="K18" s="796"/>
    </row>
    <row r="19" spans="1:11" ht="21.75" customHeight="1" x14ac:dyDescent="0.2">
      <c r="A19" s="2260" t="s">
        <v>1913</v>
      </c>
      <c r="B19" s="2260"/>
      <c r="C19" s="2260"/>
      <c r="D19" s="2260"/>
      <c r="E19" s="2261"/>
      <c r="F19" s="790" t="s">
        <v>990</v>
      </c>
      <c r="G19" s="783"/>
      <c r="H19" s="783"/>
      <c r="I19" s="783"/>
      <c r="J19" s="766"/>
      <c r="K19" s="796"/>
    </row>
    <row r="20" spans="1:11" x14ac:dyDescent="0.2">
      <c r="A20" s="2262" t="s">
        <v>1918</v>
      </c>
      <c r="B20" s="2263"/>
      <c r="C20" s="2263"/>
      <c r="D20" s="2263"/>
      <c r="E20" s="2264"/>
      <c r="F20" s="790" t="s">
        <v>991</v>
      </c>
      <c r="G20" s="783"/>
      <c r="H20" s="783"/>
      <c r="I20" s="783"/>
      <c r="J20" s="766"/>
      <c r="K20" s="796"/>
    </row>
    <row r="21" spans="1:11" ht="13.5" thickBot="1" x14ac:dyDescent="0.25">
      <c r="A21" s="2281" t="s">
        <v>659</v>
      </c>
      <c r="B21" s="2281"/>
      <c r="C21" s="2281"/>
      <c r="D21" s="2281"/>
      <c r="E21" s="2281"/>
      <c r="F21" s="1781"/>
      <c r="G21" s="793"/>
      <c r="H21" s="797"/>
      <c r="I21" s="797"/>
      <c r="J21" s="1782">
        <f>SUM(J18:J20)</f>
        <v>0</v>
      </c>
      <c r="K21" s="794"/>
    </row>
    <row r="22" spans="1:11" ht="13.5" thickTop="1" x14ac:dyDescent="0.2">
      <c r="A22" s="2252" t="s">
        <v>1919</v>
      </c>
      <c r="B22" s="2252"/>
      <c r="C22" s="2252"/>
      <c r="D22" s="2252"/>
      <c r="E22" s="2253"/>
      <c r="F22" s="790" t="s">
        <v>917</v>
      </c>
      <c r="G22" s="783"/>
      <c r="H22" s="765"/>
      <c r="I22" s="765"/>
      <c r="J22" s="798"/>
      <c r="K22" s="766"/>
    </row>
    <row r="23" spans="1:11" ht="13.5" thickBot="1" x14ac:dyDescent="0.25">
      <c r="A23" s="2282" t="s">
        <v>962</v>
      </c>
      <c r="B23" s="2281"/>
      <c r="C23" s="2281"/>
      <c r="D23" s="2281"/>
      <c r="E23" s="2281"/>
      <c r="F23" s="1783"/>
      <c r="G23" s="1780">
        <f>SUM(G14:G16,G21,G22)</f>
        <v>0</v>
      </c>
      <c r="H23" s="1780">
        <f>SUM(H14:H16,H21,H22)</f>
        <v>0</v>
      </c>
      <c r="I23" s="1780">
        <f>SUM(I14:I16,I21,I22)</f>
        <v>0</v>
      </c>
      <c r="J23" s="1780">
        <f>SUM(J14:J16,J21,J22)</f>
        <v>0</v>
      </c>
      <c r="K23" s="1780">
        <f>SUM(K14:K16,K21,K22)</f>
        <v>0</v>
      </c>
    </row>
    <row r="24" spans="1:11" ht="14.25" thickTop="1" thickBot="1" x14ac:dyDescent="0.25">
      <c r="A24" s="2282" t="s">
        <v>2023</v>
      </c>
      <c r="B24" s="2281"/>
      <c r="C24" s="2281"/>
      <c r="D24" s="2281"/>
      <c r="E24" s="228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5"/>
      <c r="I31" s="2256"/>
      <c r="J31" s="2256"/>
      <c r="K31" s="2256"/>
    </row>
    <row r="32" spans="1:11" x14ac:dyDescent="0.2">
      <c r="A32" s="810"/>
      <c r="B32" s="237"/>
      <c r="C32" s="237"/>
      <c r="D32" s="237"/>
      <c r="E32" s="806"/>
      <c r="F32" s="812" t="s">
        <v>561</v>
      </c>
      <c r="G32" s="765"/>
      <c r="H32" s="2257"/>
      <c r="I32" s="2256"/>
      <c r="J32" s="2256"/>
      <c r="K32" s="2256"/>
    </row>
    <row r="33" spans="1:11" ht="1.5" customHeight="1" x14ac:dyDescent="0.2">
      <c r="A33" s="813" t="s">
        <v>1231</v>
      </c>
      <c r="B33" s="364"/>
      <c r="C33" s="364"/>
      <c r="D33" s="364"/>
      <c r="E33" s="364"/>
      <c r="F33" s="364"/>
      <c r="G33" s="814"/>
      <c r="H33" s="2257"/>
      <c r="I33" s="2256"/>
      <c r="J33" s="2256"/>
      <c r="K33" s="2256"/>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2" t="s">
        <v>562</v>
      </c>
      <c r="B41" s="2265"/>
      <c r="C41" s="2265"/>
      <c r="D41" s="2265"/>
      <c r="E41" s="2265"/>
      <c r="F41" s="226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tabSelected="1" defaultGridColor="0" colorId="8" zoomScale="110" zoomScaleNormal="110" workbookViewId="0">
      <selection activeCell="A199" sqref="A19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7" t="s">
        <v>2032</v>
      </c>
      <c r="B1" s="2288"/>
      <c r="C1" s="2289"/>
      <c r="D1" s="827"/>
      <c r="E1" s="828"/>
      <c r="F1" s="828"/>
      <c r="G1" s="829"/>
      <c r="H1" s="830"/>
      <c r="I1" s="831"/>
      <c r="J1" s="2285"/>
      <c r="K1" s="2286"/>
      <c r="L1" s="2286"/>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100665</v>
      </c>
      <c r="D5" s="842"/>
      <c r="E5" s="842"/>
      <c r="F5" s="1782">
        <f>(C5+D5)-E5</f>
        <v>100665</v>
      </c>
      <c r="G5" s="838"/>
      <c r="H5" s="843"/>
      <c r="I5" s="843"/>
      <c r="J5" s="843"/>
      <c r="K5" s="794"/>
      <c r="L5" s="1791">
        <f>F5-K5</f>
        <v>100665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2117737</v>
      </c>
      <c r="D8" s="845">
        <v>18564</v>
      </c>
      <c r="E8" s="845"/>
      <c r="F8" s="1782">
        <f>(C8+D8)-E8</f>
        <v>2136301</v>
      </c>
      <c r="G8" s="844">
        <v>50</v>
      </c>
      <c r="H8" s="766">
        <v>1018901</v>
      </c>
      <c r="I8" s="766">
        <v>42540</v>
      </c>
      <c r="J8" s="766"/>
      <c r="K8" s="1791">
        <f>(H8+I8)-J8</f>
        <v>1061441</v>
      </c>
      <c r="L8" s="1791">
        <f>F8-K8</f>
        <v>1074860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264560</v>
      </c>
      <c r="D10" s="847"/>
      <c r="E10" s="847"/>
      <c r="F10" s="1786">
        <f>(C10+D10)-E10</f>
        <v>264560</v>
      </c>
      <c r="G10" s="844">
        <v>20</v>
      </c>
      <c r="H10" s="848">
        <v>66962</v>
      </c>
      <c r="I10" s="848">
        <v>12849</v>
      </c>
      <c r="J10" s="848"/>
      <c r="K10" s="1791">
        <f>(H10+I10)-J10</f>
        <v>79811</v>
      </c>
      <c r="L10" s="1791">
        <f>F10-K10</f>
        <v>184749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2542545</v>
      </c>
      <c r="D12" s="845">
        <v>3534</v>
      </c>
      <c r="E12" s="845"/>
      <c r="F12" s="1782">
        <f>(C12+D12)-E12</f>
        <v>2546079</v>
      </c>
      <c r="G12" s="844">
        <v>10</v>
      </c>
      <c r="H12" s="766">
        <v>2350202</v>
      </c>
      <c r="I12" s="766">
        <v>33363</v>
      </c>
      <c r="J12" s="766"/>
      <c r="K12" s="1791">
        <f>(H12+I12)-J12</f>
        <v>2383565</v>
      </c>
      <c r="L12" s="1791">
        <f>F12-K12</f>
        <v>162514</v>
      </c>
    </row>
    <row r="13" spans="1:14" ht="14.25" thickTop="1" thickBot="1" x14ac:dyDescent="0.25">
      <c r="A13" s="849" t="s">
        <v>1184</v>
      </c>
      <c r="B13" s="841">
        <v>252</v>
      </c>
      <c r="C13" s="845"/>
      <c r="D13" s="845">
        <v>16590</v>
      </c>
      <c r="E13" s="845"/>
      <c r="F13" s="1782">
        <f>(C13+D13)-E13</f>
        <v>16590</v>
      </c>
      <c r="G13" s="844">
        <v>5</v>
      </c>
      <c r="H13" s="766"/>
      <c r="I13" s="766">
        <v>1659</v>
      </c>
      <c r="J13" s="766"/>
      <c r="K13" s="1791">
        <f>(H13+I13)-J13</f>
        <v>1659</v>
      </c>
      <c r="L13" s="1791">
        <f>F13-K13</f>
        <v>14931</v>
      </c>
    </row>
    <row r="14" spans="1:14" ht="14.25" thickTop="1" thickBot="1" x14ac:dyDescent="0.25">
      <c r="A14" s="849" t="s">
        <v>1185</v>
      </c>
      <c r="B14" s="841">
        <v>253</v>
      </c>
      <c r="C14" s="766">
        <v>214857</v>
      </c>
      <c r="D14" s="766"/>
      <c r="E14" s="766"/>
      <c r="F14" s="1782">
        <f>(C14+D14)-E14</f>
        <v>214857</v>
      </c>
      <c r="G14" s="844">
        <v>3</v>
      </c>
      <c r="H14" s="766">
        <v>214857</v>
      </c>
      <c r="I14" s="766"/>
      <c r="J14" s="766"/>
      <c r="K14" s="1791">
        <f>(H14+I14)-J14</f>
        <v>214857</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5240364</v>
      </c>
      <c r="D16" s="1782">
        <f>SUM(D3,D5:D6,D8:D10,D12:D15)</f>
        <v>38688</v>
      </c>
      <c r="E16" s="1782">
        <f>SUM(E3,E5:E6,E8:E10,E12:E15)</f>
        <v>0</v>
      </c>
      <c r="F16" s="1782">
        <f>SUM(F3,F5:F6,F8:F10,F12:F15)</f>
        <v>5279052</v>
      </c>
      <c r="G16" s="844"/>
      <c r="H16" s="1782">
        <f>SUM(H3,H6,H8:H10,H12:H14,)</f>
        <v>3650922</v>
      </c>
      <c r="I16" s="1782">
        <f>SUM(I3,I6,I8:I10,I12:I14,)</f>
        <v>90411</v>
      </c>
      <c r="J16" s="1782">
        <f>SUM(J3,J6,J8:J10,J12:J14,)</f>
        <v>0</v>
      </c>
      <c r="K16" s="1782">
        <f>(H16+I16)-J16</f>
        <v>3741333</v>
      </c>
      <c r="L16" s="1782">
        <f>F16-K16</f>
        <v>1537719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90411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tabSelected="1" defaultGridColor="0" colorId="8" zoomScale="110" zoomScaleNormal="110" workbookViewId="0">
      <pane ySplit="5" topLeftCell="A132" activePane="bottomLeft" state="frozen"/>
      <selection activeCell="A199" sqref="A199"/>
      <selection pane="bottomLeft" activeCell="A199" sqref="A19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3" t="s">
        <v>1699</v>
      </c>
      <c r="B1" s="2294"/>
      <c r="C1" s="2294"/>
      <c r="D1" s="2294"/>
      <c r="E1" s="2294"/>
      <c r="F1" s="2295"/>
      <c r="G1" s="856"/>
    </row>
    <row r="2" spans="1:7" ht="15" customHeight="1" thickBot="1" x14ac:dyDescent="0.25">
      <c r="A2" s="2296" t="s">
        <v>498</v>
      </c>
      <c r="B2" s="2297"/>
      <c r="C2" s="2297"/>
      <c r="D2" s="2297"/>
      <c r="E2" s="2297"/>
      <c r="F2" s="229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9"/>
      <c r="B5" s="2300"/>
      <c r="C5" s="2300"/>
      <c r="D5" s="2300"/>
      <c r="E5" s="2300"/>
      <c r="F5" s="2300"/>
    </row>
    <row r="6" spans="1:7" ht="13.5" customHeight="1" thickBot="1" x14ac:dyDescent="0.25">
      <c r="A6" s="2290" t="s">
        <v>1166</v>
      </c>
      <c r="B6" s="2291"/>
      <c r="C6" s="2291"/>
      <c r="D6" s="2291"/>
      <c r="E6" s="2291"/>
      <c r="F6" s="229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6478027</v>
      </c>
      <c r="G8" s="866"/>
    </row>
    <row r="9" spans="1:7" x14ac:dyDescent="0.2">
      <c r="A9" s="870" t="s">
        <v>480</v>
      </c>
      <c r="B9" s="871" t="s">
        <v>1986</v>
      </c>
      <c r="C9" s="872"/>
      <c r="D9" s="870" t="s">
        <v>522</v>
      </c>
      <c r="E9" s="869"/>
      <c r="F9" s="1935">
        <f>'Expenditures 15-22'!K151</f>
        <v>0</v>
      </c>
      <c r="G9" s="873"/>
    </row>
    <row r="10" spans="1:7" x14ac:dyDescent="0.2">
      <c r="A10" s="870" t="s">
        <v>520</v>
      </c>
      <c r="B10" s="871" t="s">
        <v>1987</v>
      </c>
      <c r="C10" s="872"/>
      <c r="D10" s="870" t="s">
        <v>522</v>
      </c>
      <c r="E10" s="869"/>
      <c r="F10" s="1935">
        <f>'Expenditures 15-22'!K174</f>
        <v>0</v>
      </c>
      <c r="G10" s="873"/>
    </row>
    <row r="11" spans="1:7" x14ac:dyDescent="0.2">
      <c r="A11" s="870" t="s">
        <v>481</v>
      </c>
      <c r="B11" s="871" t="s">
        <v>1988</v>
      </c>
      <c r="C11" s="872"/>
      <c r="D11" s="870" t="s">
        <v>522</v>
      </c>
      <c r="E11" s="869"/>
      <c r="F11" s="1935">
        <f>'Expenditures 15-22'!K210</f>
        <v>0</v>
      </c>
      <c r="G11" s="873"/>
    </row>
    <row r="12" spans="1:7" x14ac:dyDescent="0.2">
      <c r="A12" s="870" t="s">
        <v>482</v>
      </c>
      <c r="B12" s="871" t="s">
        <v>1989</v>
      </c>
      <c r="C12" s="872"/>
      <c r="D12" s="870" t="s">
        <v>522</v>
      </c>
      <c r="E12" s="869"/>
      <c r="F12" s="1935">
        <f>'Expenditures 15-22'!K295</f>
        <v>0</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6478027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88</v>
      </c>
      <c r="G52" s="866"/>
    </row>
    <row r="53" spans="1:7" x14ac:dyDescent="0.2">
      <c r="A53" s="870" t="s">
        <v>479</v>
      </c>
      <c r="B53" s="870" t="s">
        <v>1551</v>
      </c>
      <c r="C53" s="890">
        <f>'Expenditures 15-22'!B102</f>
        <v>4000</v>
      </c>
      <c r="D53" s="889" t="str">
        <f>'Expenditures 15-22'!A102</f>
        <v>Total Payments to Other Govt Units</v>
      </c>
      <c r="E53" s="869"/>
      <c r="F53" s="1939">
        <f>'Expenditures 15-22'!K102</f>
        <v>161426</v>
      </c>
      <c r="G53" s="866"/>
    </row>
    <row r="54" spans="1:7" x14ac:dyDescent="0.2">
      <c r="A54" s="870" t="s">
        <v>479</v>
      </c>
      <c r="B54" s="870" t="s">
        <v>1552</v>
      </c>
      <c r="C54" s="890" t="s">
        <v>1039</v>
      </c>
      <c r="D54" s="886" t="s">
        <v>1157</v>
      </c>
      <c r="E54" s="869"/>
      <c r="F54" s="1939">
        <f>'Expenditures 15-22'!G114</f>
        <v>38688</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0</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200202</v>
      </c>
      <c r="G76" s="866"/>
    </row>
    <row r="77" spans="1:8" s="894" customFormat="1" ht="12" customHeight="1" thickTop="1" thickBot="1" x14ac:dyDescent="0.25">
      <c r="A77" s="1801"/>
      <c r="B77" s="1798"/>
      <c r="C77" s="1794"/>
      <c r="D77" s="1799" t="s">
        <v>2009</v>
      </c>
      <c r="E77" s="1796"/>
      <c r="F77" s="1802">
        <f>(F14-F76)</f>
        <v>6277825</v>
      </c>
      <c r="G77" s="870"/>
    </row>
    <row r="78" spans="1:8" s="894" customFormat="1" ht="12" customHeight="1" thickTop="1" x14ac:dyDescent="0.2">
      <c r="A78" s="1803"/>
      <c r="B78" s="1798"/>
      <c r="C78" s="1794"/>
      <c r="D78" s="1799" t="s">
        <v>2056</v>
      </c>
      <c r="E78" s="1796"/>
      <c r="F78" s="899">
        <v>0</v>
      </c>
      <c r="G78" s="900"/>
      <c r="H78" s="870"/>
    </row>
    <row r="79" spans="1:8" s="894" customFormat="1" ht="12" customHeight="1" thickBot="1" x14ac:dyDescent="0.25">
      <c r="A79" s="1804"/>
      <c r="B79" s="1798"/>
      <c r="C79" s="1794"/>
      <c r="D79" s="1799" t="s">
        <v>2010</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90" t="s">
        <v>1167</v>
      </c>
      <c r="B81" s="2291"/>
      <c r="C81" s="2291"/>
      <c r="D81" s="2291"/>
      <c r="E81" s="2291"/>
      <c r="F81" s="229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80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310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276534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668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36724</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3031352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70794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226484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3642946</v>
      </c>
    </row>
    <row r="179" spans="1:7" ht="12" customHeight="1" x14ac:dyDescent="0.2">
      <c r="A179" s="1792"/>
      <c r="B179" s="1806"/>
      <c r="C179" s="1807"/>
      <c r="D179" s="1808" t="s">
        <v>2012</v>
      </c>
      <c r="E179" s="1809"/>
      <c r="F179" s="1811">
        <f>'PCTC-OEPP 27-28'!F77-F178</f>
        <v>2634879</v>
      </c>
    </row>
    <row r="180" spans="1:7" ht="12" customHeight="1" x14ac:dyDescent="0.2">
      <c r="A180" s="1792"/>
      <c r="B180" s="1806"/>
      <c r="C180" s="1807"/>
      <c r="D180" s="1808" t="s">
        <v>1921</v>
      </c>
      <c r="E180" s="1809"/>
      <c r="F180" s="1811">
        <f>'Cap Outlay Deprec 26'!I18</f>
        <v>90411</v>
      </c>
    </row>
    <row r="181" spans="1:7" ht="12" customHeight="1" x14ac:dyDescent="0.2">
      <c r="A181" s="1792"/>
      <c r="B181" s="1806"/>
      <c r="C181" s="1807"/>
      <c r="D181" s="1808" t="s">
        <v>2013</v>
      </c>
      <c r="E181" s="1809"/>
      <c r="F181" s="1811">
        <f>F179+F180</f>
        <v>2725290</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2014</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H141"/>
  <sheetViews>
    <sheetView showGridLines="0" workbookViewId="0">
      <selection activeCell="K17" sqref="K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4" t="s">
        <v>1922</v>
      </c>
      <c r="B4" s="2305"/>
      <c r="C4" s="2305"/>
      <c r="D4" s="2305"/>
      <c r="E4" s="2305"/>
      <c r="F4" s="2305"/>
      <c r="G4" s="2306"/>
    </row>
    <row r="5" spans="1:7" x14ac:dyDescent="0.25">
      <c r="A5" s="2307"/>
      <c r="B5" s="2308"/>
      <c r="C5" s="2308"/>
      <c r="D5" s="2308"/>
      <c r="E5" s="2308"/>
      <c r="F5" s="2308"/>
      <c r="G5" s="2309"/>
    </row>
    <row r="6" spans="1:7" ht="18.75" x14ac:dyDescent="0.25">
      <c r="A6" s="1556" t="s">
        <v>1923</v>
      </c>
      <c r="B6" s="1557"/>
      <c r="C6" s="1557"/>
      <c r="D6" s="1557"/>
      <c r="E6" s="1557"/>
      <c r="F6" s="1557"/>
      <c r="G6" s="1558"/>
    </row>
    <row r="7" spans="1:7" ht="30.75" customHeight="1" x14ac:dyDescent="0.25">
      <c r="A7" s="2310" t="s">
        <v>2072</v>
      </c>
      <c r="B7" s="2311"/>
      <c r="C7" s="2311"/>
      <c r="D7" s="2311"/>
      <c r="E7" s="2311"/>
      <c r="F7" s="2311"/>
      <c r="G7" s="2312"/>
    </row>
    <row r="8" spans="1:7" ht="15.75" customHeight="1" x14ac:dyDescent="0.25">
      <c r="A8" s="2313" t="s">
        <v>2021</v>
      </c>
      <c r="B8" s="2314"/>
      <c r="C8" s="2314"/>
      <c r="D8" s="2314"/>
      <c r="E8" s="2314"/>
      <c r="F8" s="2314"/>
      <c r="G8" s="2315"/>
    </row>
    <row r="9" spans="1:7" ht="35.25" customHeight="1" x14ac:dyDescent="0.25">
      <c r="A9" s="2310" t="s">
        <v>2020</v>
      </c>
      <c r="B9" s="2311"/>
      <c r="C9" s="2311"/>
      <c r="D9" s="2311"/>
      <c r="E9" s="2311"/>
      <c r="F9" s="2311"/>
      <c r="G9" s="2312"/>
    </row>
    <row r="10" spans="1:7" ht="15" customHeight="1" x14ac:dyDescent="0.25">
      <c r="A10" s="1559" t="s">
        <v>1924</v>
      </c>
      <c r="B10" s="1560"/>
      <c r="C10" s="1560"/>
      <c r="D10" s="1560"/>
      <c r="E10" s="1560"/>
      <c r="F10" s="1560"/>
      <c r="G10" s="1561"/>
    </row>
    <row r="11" spans="1:7" ht="17.25" customHeight="1" x14ac:dyDescent="0.25">
      <c r="A11" s="2310" t="s">
        <v>1938</v>
      </c>
      <c r="B11" s="2311"/>
      <c r="C11" s="2311"/>
      <c r="D11" s="2311"/>
      <c r="E11" s="2311"/>
      <c r="F11" s="2311"/>
      <c r="G11" s="2312"/>
    </row>
    <row r="12" spans="1:7" ht="15" customHeight="1" x14ac:dyDescent="0.25">
      <c r="A12" s="1559" t="s">
        <v>1929</v>
      </c>
      <c r="B12" s="1560"/>
      <c r="C12" s="1560"/>
      <c r="D12" s="1560"/>
      <c r="E12" s="1560"/>
      <c r="F12" s="1560"/>
      <c r="G12" s="1561"/>
    </row>
    <row r="13" spans="1:7" ht="32.25" customHeight="1" x14ac:dyDescent="0.25">
      <c r="A13" s="2301" t="s">
        <v>1930</v>
      </c>
      <c r="B13" s="2302"/>
      <c r="C13" s="2302"/>
      <c r="D13" s="2302"/>
      <c r="E13" s="2302"/>
      <c r="F13" s="2302"/>
      <c r="G13" s="2303"/>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72" t="s">
        <v>2147</v>
      </c>
      <c r="B17" s="1974" t="s">
        <v>2148</v>
      </c>
      <c r="C17" s="1971" t="s">
        <v>2146</v>
      </c>
      <c r="D17" s="1867">
        <v>31174</v>
      </c>
      <c r="E17" s="1562">
        <f t="shared" ref="E17:E141" si="1">IF(D17&lt;=25000,D17,IF(D17&gt;25000,25000,0))</f>
        <v>25000</v>
      </c>
      <c r="F17" s="1815">
        <f t="shared" si="0"/>
        <v>25000</v>
      </c>
      <c r="G17" s="1816">
        <f>IF(F17=0,0,D17-F17)</f>
        <v>6174</v>
      </c>
      <c r="H17" s="1669"/>
    </row>
    <row r="18" spans="1:8" x14ac:dyDescent="0.25">
      <c r="A18" s="1675"/>
      <c r="B18" s="1973"/>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31174</v>
      </c>
      <c r="E141" s="1563">
        <f t="shared" si="1"/>
        <v>25000</v>
      </c>
      <c r="F141" s="1817">
        <f>SUM(F17:F140)</f>
        <v>25000</v>
      </c>
      <c r="G141" s="1818">
        <f>SUM(G17:G140)</f>
        <v>6174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FF00"/>
  </sheetPr>
  <dimension ref="A1:I46"/>
  <sheetViews>
    <sheetView showGridLines="0" defaultGridColor="0" colorId="8" zoomScale="110" zoomScaleNormal="110" workbookViewId="0">
      <selection activeCell="K17" sqref="K1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6" t="s">
        <v>1778</v>
      </c>
      <c r="B5" s="2317"/>
      <c r="C5" s="2317"/>
      <c r="D5" s="2317"/>
      <c r="E5" s="2317"/>
      <c r="F5" s="2317"/>
      <c r="G5" s="231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f>45170+19057</f>
        <v>64227</v>
      </c>
      <c r="F8" s="975"/>
      <c r="G8" s="976"/>
      <c r="H8" s="162"/>
      <c r="I8" s="162"/>
    </row>
    <row r="9" spans="1:9" s="669" customFormat="1" ht="12" customHeight="1" x14ac:dyDescent="0.2">
      <c r="A9" s="971" t="s">
        <v>132</v>
      </c>
      <c r="B9" s="972"/>
      <c r="C9" s="972"/>
      <c r="D9" s="973"/>
      <c r="E9" s="974">
        <f>45433+19061+61537+51350+4398+1663</f>
        <v>183442</v>
      </c>
      <c r="F9" s="975"/>
      <c r="G9" s="976"/>
      <c r="H9" s="162"/>
      <c r="I9" s="162"/>
    </row>
    <row r="10" spans="1:9" s="669" customFormat="1" ht="12" customHeight="1" x14ac:dyDescent="0.2">
      <c r="A10" s="971" t="s">
        <v>2073</v>
      </c>
      <c r="B10" s="972"/>
      <c r="C10" s="977"/>
      <c r="D10" s="973"/>
      <c r="E10" s="974">
        <v>25397</v>
      </c>
      <c r="F10" s="975"/>
      <c r="G10" s="976"/>
      <c r="H10" s="162"/>
      <c r="I10" s="162"/>
    </row>
    <row r="11" spans="1:9" s="669" customFormat="1" ht="22.5" customHeight="1" x14ac:dyDescent="0.2">
      <c r="A11" s="2321" t="s">
        <v>1942</v>
      </c>
      <c r="B11" s="2322"/>
      <c r="C11" s="2322"/>
      <c r="D11" s="2323"/>
      <c r="E11" s="978">
        <v>3921</v>
      </c>
      <c r="F11" s="975"/>
      <c r="G11" s="979"/>
      <c r="H11" s="162"/>
      <c r="I11" s="162"/>
    </row>
    <row r="12" spans="1:9" s="669" customFormat="1" ht="12" customHeight="1" x14ac:dyDescent="0.2">
      <c r="A12" s="971" t="s">
        <v>133</v>
      </c>
      <c r="B12" s="972"/>
      <c r="C12" s="972"/>
      <c r="D12" s="973"/>
      <c r="E12" s="974">
        <v>453</v>
      </c>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f>44526+19268+41725</f>
        <v>105519</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2315562</v>
      </c>
      <c r="F19" s="1822"/>
      <c r="G19" s="1824">
        <f>'Expenditures 15-22'!K33-SUM('Expenditures 15-22'!G33,'Expenditures 15-22'!I33)+'Expenditures 15-22'!D229</f>
        <v>2315562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2106544</v>
      </c>
      <c r="F21" s="1825"/>
      <c r="G21" s="1828">
        <f>'Expenditures 15-22'!K42-SUM('Expenditures 15-22'!G42,'Expenditures 15-22'!I42)+'Expenditures 15-22'!K120-SUM('Expenditures 15-22'!G120,'Expenditures 15-22'!I120)+'Expenditures 15-22'!K180-SUM('Expenditures 15-22'!G180,'Expenditures 15-22'!I180)+'Expenditures 15-22'!D238</f>
        <v>2106544</v>
      </c>
      <c r="H21" s="988"/>
      <c r="I21" s="162"/>
    </row>
    <row r="22" spans="1:9" s="669" customFormat="1" ht="12" customHeight="1" x14ac:dyDescent="0.2">
      <c r="A22" s="995" t="s">
        <v>585</v>
      </c>
      <c r="B22" s="996"/>
      <c r="C22" s="994">
        <v>2200</v>
      </c>
      <c r="D22" s="1825"/>
      <c r="E22" s="1827">
        <f>'Expenditures 15-22'!K47-SUM('Expenditures 15-22'!G47,'Expenditures 15-22'!I47)+'Expenditures 15-22'!D243</f>
        <v>226049</v>
      </c>
      <c r="F22" s="1825"/>
      <c r="G22" s="1828">
        <f>'Expenditures 15-22'!K47-SUM('Expenditures 15-22'!G47,'Expenditures 15-22'!I47)+'Expenditures 15-22'!D243</f>
        <v>226049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490789</v>
      </c>
      <c r="F23" s="1825"/>
      <c r="G23" s="1827">
        <f>'Expenditures 15-22'!K53-SUM('Expenditures 15-22'!G53,'Expenditures 15-22'!I53)+'Expenditures 15-22'!D257+'Expenditures 15-22'!K330-SUM('Expenditures 15-22'!G330,'Expenditures 15-22'!I330)</f>
        <v>490789</v>
      </c>
      <c r="H23" s="988"/>
      <c r="I23" s="162"/>
    </row>
    <row r="24" spans="1:9" s="669" customFormat="1" ht="12" customHeight="1" x14ac:dyDescent="0.2">
      <c r="A24" s="995" t="s">
        <v>587</v>
      </c>
      <c r="B24" s="996"/>
      <c r="C24" s="994">
        <v>2400</v>
      </c>
      <c r="D24" s="1825"/>
      <c r="E24" s="1827">
        <f>'Expenditures 15-22'!K57-SUM('Expenditures 15-22'!G57,'Expenditures 15-22'!I57)+'Expenditures 15-22'!D261</f>
        <v>90100</v>
      </c>
      <c r="F24" s="1825"/>
      <c r="G24" s="1828">
        <f>'Expenditures 15-22'!K57-SUM('Expenditures 15-22'!G57,'Expenditures 15-22'!I57)+'Expenditures 15-22'!D261</f>
        <v>90100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31709</v>
      </c>
      <c r="E27" s="1827">
        <f>E8</f>
        <v>64227</v>
      </c>
      <c r="F27" s="1827">
        <f>'Expenditures 15-22'!K60-SUM('Expenditures 15-22'!G60,'Expenditures 15-22'!I60)+'Expenditures 15-22'!D264-E8</f>
        <v>31709</v>
      </c>
      <c r="G27" s="1828">
        <f>E8</f>
        <v>64227</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191369</v>
      </c>
      <c r="F28" s="1829">
        <f>'Expenditures 15-22'!K61-SUM('Expenditures 15-22'!G61,'Expenditures 15-22'!I61)+'Expenditures 15-22'!K124-SUM('Expenditures 15-22'!G124,'Expenditures 15-22'!I124)+'Expenditures 15-22'!D266-E9</f>
        <v>7927</v>
      </c>
      <c r="G28" s="1828">
        <f>E9</f>
        <v>183442</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27537</v>
      </c>
      <c r="F30" s="1825"/>
      <c r="G30" s="1827">
        <f>'Expenditures 15-22'!K63-SUM('Expenditures 15-22'!G63,'Expenditures 15-22'!I63)+'Expenditures 15-22'!D268-E10</f>
        <v>27537</v>
      </c>
    </row>
    <row r="31" spans="1:9" ht="12" customHeight="1" x14ac:dyDescent="0.2">
      <c r="A31" s="995" t="s">
        <v>103</v>
      </c>
      <c r="B31" s="998"/>
      <c r="C31" s="994">
        <v>2570</v>
      </c>
      <c r="D31" s="1827">
        <f>'Expenditures 15-22'!K64-SUM('Expenditures 15-22'!G64,'Expenditures 15-22'!I64)+'Expenditures 15-22'!D269-E12</f>
        <v>0</v>
      </c>
      <c r="E31" s="1827">
        <f>E12</f>
        <v>453</v>
      </c>
      <c r="F31" s="1827">
        <f>'Expenditures 15-22'!K64-SUM('Expenditures 15-22'!G64,'Expenditures 15-22'!I64)+'Expenditures 15-22'!D269-E12</f>
        <v>0</v>
      </c>
      <c r="G31" s="1827">
        <f>E12</f>
        <v>453</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2498</v>
      </c>
      <c r="E37" s="1827">
        <f>E14</f>
        <v>105519</v>
      </c>
      <c r="F37" s="1827">
        <f>'Expenditures 15-22'!K71-SUM('Expenditures 15-22'!G71,'Expenditures 15-22'!I71)+'Expenditures 15-22'!D276-E14</f>
        <v>2498</v>
      </c>
      <c r="G37" s="1827">
        <f>E14</f>
        <v>105519</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600072</v>
      </c>
      <c r="F38" s="1825"/>
      <c r="G38" s="1827">
        <f>'Expenditures 15-22'!K73-SUM('Expenditures 15-22'!G73,'Expenditures 15-22'!I73)+'Expenditures 15-22'!K128-SUM('Expenditures 15-22'!G128,'Expenditures 15-22'!I128)+'Expenditures 15-22'!K183-SUM('Expenditures 15-22'!G183,'Expenditures 15-22'!I183)+'Expenditures 15-22'!D278</f>
        <v>600072</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88</v>
      </c>
      <c r="F39" s="1825"/>
      <c r="G39" s="1827">
        <f>'Expenditures 15-22'!K75-SUM('Expenditures 15-22'!G75,'Expenditures 15-22'!I75)+'Expenditures 15-22'!K130-SUM('Expenditures 15-22'!G130,'Expenditures 15-22'!I130)+'Expenditures 15-22'!K185-SUM('Expenditures 15-22'!G185,'Expenditures 15-22'!I185)+'Expenditures 15-22'!D280</f>
        <v>88</v>
      </c>
    </row>
    <row r="40" spans="1:7" ht="12" customHeight="1" x14ac:dyDescent="0.2">
      <c r="A40" s="991" t="s">
        <v>1927</v>
      </c>
      <c r="B40" s="992"/>
      <c r="C40" s="994"/>
      <c r="D40" s="1825"/>
      <c r="E40" s="1829">
        <f>-'Contracts Paid in CY 29'!G141</f>
        <v>-6174</v>
      </c>
      <c r="F40" s="1825"/>
      <c r="G40" s="1829">
        <f>-'Contracts Paid in CY 29'!G141</f>
        <v>-6174</v>
      </c>
    </row>
    <row r="41" spans="1:7" ht="12" customHeight="1" x14ac:dyDescent="0.2">
      <c r="A41" s="999" t="s">
        <v>158</v>
      </c>
      <c r="B41" s="1000"/>
      <c r="C41" s="1001"/>
      <c r="D41" s="1829">
        <f>SUM(D19:D39)</f>
        <v>34207</v>
      </c>
      <c r="E41" s="1829">
        <f>SUM(E19:E40)</f>
        <v>6212135</v>
      </c>
      <c r="F41" s="1829">
        <f>SUM(F19:F39)</f>
        <v>42134</v>
      </c>
      <c r="G41" s="1829">
        <f>SUM(G19:G40)</f>
        <v>6204208</v>
      </c>
    </row>
    <row r="42" spans="1:7" x14ac:dyDescent="0.2">
      <c r="A42" s="988"/>
      <c r="B42" s="162"/>
      <c r="C42" s="1002"/>
      <c r="D42" s="2319" t="s">
        <v>543</v>
      </c>
      <c r="E42" s="2320"/>
      <c r="F42" s="1003" t="s">
        <v>544</v>
      </c>
      <c r="G42" s="1004"/>
    </row>
    <row r="43" spans="1:7" ht="12" customHeight="1" x14ac:dyDescent="0.2">
      <c r="A43" s="988"/>
      <c r="B43" s="162"/>
      <c r="C43" s="1002"/>
      <c r="D43" s="1830" t="s">
        <v>493</v>
      </c>
      <c r="E43" s="1831">
        <f>D41</f>
        <v>34207</v>
      </c>
      <c r="F43" s="1830" t="s">
        <v>495</v>
      </c>
      <c r="G43" s="1831">
        <f>F41</f>
        <v>42134</v>
      </c>
    </row>
    <row r="44" spans="1:7" ht="12" customHeight="1" x14ac:dyDescent="0.2">
      <c r="A44" s="988"/>
      <c r="B44" s="162"/>
      <c r="C44" s="1002"/>
      <c r="D44" s="1830" t="s">
        <v>494</v>
      </c>
      <c r="E44" s="1831">
        <f>E41</f>
        <v>6212135</v>
      </c>
      <c r="F44" s="1830" t="s">
        <v>494</v>
      </c>
      <c r="G44" s="1831">
        <f>G41</f>
        <v>6204208</v>
      </c>
    </row>
    <row r="45" spans="1:7" ht="12" customHeight="1" x14ac:dyDescent="0.2">
      <c r="A45" s="988"/>
      <c r="B45" s="162"/>
      <c r="C45" s="162"/>
      <c r="D45" s="1832" t="s">
        <v>1063</v>
      </c>
      <c r="E45" s="1833">
        <f>(E43/E44)</f>
        <v>5.5064804612262935E-3</v>
      </c>
      <c r="F45" s="1832" t="s">
        <v>1063</v>
      </c>
      <c r="G45" s="1833">
        <f>(G43/G44)</f>
        <v>6.7911972003517609E-3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FF00"/>
  </sheetPr>
  <dimension ref="A1:L97"/>
  <sheetViews>
    <sheetView showGridLines="0" zoomScale="110" zoomScaleNormal="110" workbookViewId="0">
      <pane ySplit="4" topLeftCell="A5" activePane="bottomLeft" state="frozen"/>
      <selection activeCell="K17" sqref="K17"/>
      <selection pane="bottomLeft" activeCell="A43" sqref="A43:F4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8" t="s">
        <v>1446</v>
      </c>
      <c r="B1" s="2338"/>
      <c r="C1" s="2338"/>
      <c r="D1" s="2338"/>
      <c r="E1" s="2338"/>
      <c r="F1" s="2338"/>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9" t="s">
        <v>1627</v>
      </c>
      <c r="B5" s="2340"/>
      <c r="C5" s="2341"/>
      <c r="D5" s="2341"/>
      <c r="E5" s="2341"/>
      <c r="F5" s="2341"/>
    </row>
    <row r="6" spans="1:10" ht="12" customHeight="1" x14ac:dyDescent="0.25">
      <c r="A6" s="1875"/>
      <c r="B6" s="1876"/>
      <c r="C6" s="2342" t="str">
        <f>COVER!A17</f>
        <v>Four Rivers Special Education District</v>
      </c>
      <c r="D6" s="2342"/>
      <c r="E6" s="2342"/>
      <c r="F6" s="1877"/>
    </row>
    <row r="7" spans="1:10" ht="11.25" customHeight="1" thickBot="1" x14ac:dyDescent="0.3">
      <c r="A7" s="1875"/>
      <c r="B7" s="1876"/>
      <c r="C7" s="2343">
        <f>COVER!A13</f>
        <v>1069801060</v>
      </c>
      <c r="D7" s="2343"/>
      <c r="E7" s="2343"/>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2092</v>
      </c>
      <c r="D16" s="1890" t="s">
        <v>2092</v>
      </c>
      <c r="E16" s="1893"/>
      <c r="F16" s="1892" t="s">
        <v>2175</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2092</v>
      </c>
      <c r="D25" s="1890" t="s">
        <v>2092</v>
      </c>
      <c r="E25" s="1893"/>
      <c r="F25" s="1892" t="s">
        <v>2093</v>
      </c>
      <c r="H25" s="1903">
        <f t="shared" si="0"/>
        <v>5</v>
      </c>
      <c r="I25" s="1903">
        <f t="shared" si="1"/>
        <v>5</v>
      </c>
      <c r="J25" s="1903">
        <f t="shared" si="2"/>
        <v>0</v>
      </c>
    </row>
    <row r="26" spans="1:12" ht="12" customHeight="1" x14ac:dyDescent="0.2">
      <c r="A26" s="1888" t="s">
        <v>1615</v>
      </c>
      <c r="B26" s="1889"/>
      <c r="C26" s="1890" t="s">
        <v>2092</v>
      </c>
      <c r="D26" s="1890" t="s">
        <v>2092</v>
      </c>
      <c r="E26" s="1893"/>
      <c r="F26" s="1892" t="s">
        <v>2173</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44"/>
      <c r="D35" s="2344"/>
      <c r="E35" s="2344"/>
      <c r="F35" s="2345"/>
    </row>
    <row r="36" spans="1:11" ht="12" customHeight="1" x14ac:dyDescent="0.2">
      <c r="A36" s="2327"/>
      <c r="B36" s="2328"/>
      <c r="C36" s="2328"/>
      <c r="D36" s="2328"/>
      <c r="E36" s="2328"/>
      <c r="F36" s="2329"/>
    </row>
    <row r="37" spans="1:11" ht="12" customHeight="1" x14ac:dyDescent="0.2">
      <c r="A37" s="2327"/>
      <c r="B37" s="2328"/>
      <c r="C37" s="2328"/>
      <c r="D37" s="2328"/>
      <c r="E37" s="2328"/>
      <c r="F37" s="2329"/>
    </row>
    <row r="38" spans="1:11" ht="12" customHeight="1" x14ac:dyDescent="0.2">
      <c r="A38" s="2330"/>
      <c r="B38" s="2331"/>
      <c r="C38" s="2331"/>
      <c r="D38" s="2331"/>
      <c r="E38" s="2331"/>
      <c r="F38" s="2332"/>
    </row>
    <row r="39" spans="1:11" ht="4.5" hidden="1" customHeight="1" x14ac:dyDescent="0.2">
      <c r="A39" s="1898"/>
      <c r="B39" s="1898"/>
      <c r="C39" s="1898"/>
      <c r="D39" s="1898"/>
      <c r="E39" s="1898"/>
      <c r="F39" s="1898"/>
    </row>
    <row r="40" spans="1:11" s="1895" customFormat="1" ht="12" customHeight="1" x14ac:dyDescent="0.25">
      <c r="A40" s="1899" t="s">
        <v>1458</v>
      </c>
      <c r="B40" s="1900"/>
      <c r="C40" s="2333"/>
      <c r="D40" s="2333"/>
      <c r="E40" s="2333"/>
      <c r="F40" s="2334"/>
      <c r="H40" s="1904"/>
      <c r="I40" s="1904"/>
      <c r="J40" s="1904"/>
      <c r="K40" s="1904"/>
    </row>
    <row r="41" spans="1:11" s="1895" customFormat="1" ht="12" customHeight="1" x14ac:dyDescent="0.25">
      <c r="A41" s="2335" t="s">
        <v>2174</v>
      </c>
      <c r="B41" s="2336"/>
      <c r="C41" s="2336"/>
      <c r="D41" s="2336"/>
      <c r="E41" s="2336"/>
      <c r="F41" s="2337"/>
      <c r="H41" s="1904"/>
      <c r="I41" s="1904"/>
      <c r="J41" s="1904"/>
      <c r="K41" s="1904"/>
    </row>
    <row r="42" spans="1:11" s="1895" customFormat="1" ht="12" customHeight="1" x14ac:dyDescent="0.25">
      <c r="A42" s="2335"/>
      <c r="B42" s="2336"/>
      <c r="C42" s="2336"/>
      <c r="D42" s="2336"/>
      <c r="E42" s="2336"/>
      <c r="F42" s="2337"/>
      <c r="H42" s="1904"/>
      <c r="I42" s="1904"/>
      <c r="J42" s="1904"/>
      <c r="K42" s="1904"/>
    </row>
    <row r="43" spans="1:11" s="1895" customFormat="1" ht="15" x14ac:dyDescent="0.25">
      <c r="A43" s="2324"/>
      <c r="B43" s="2325"/>
      <c r="C43" s="2325"/>
      <c r="D43" s="2325"/>
      <c r="E43" s="2325"/>
      <c r="F43" s="2326"/>
      <c r="H43" s="1904"/>
      <c r="I43" s="1904"/>
      <c r="J43" s="1904"/>
      <c r="K43" s="1904"/>
    </row>
    <row r="44" spans="1:11" s="1895" customFormat="1" ht="12" hidden="1" customHeight="1" x14ac:dyDescent="0.25">
      <c r="A44" s="2324"/>
      <c r="B44" s="2325"/>
      <c r="C44" s="2325"/>
      <c r="D44" s="2325"/>
      <c r="E44" s="2325"/>
      <c r="F44" s="2326"/>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FF00"/>
  </sheetPr>
  <dimension ref="A1:Q40"/>
  <sheetViews>
    <sheetView showGridLines="0" defaultGridColor="0" colorId="8" zoomScale="110" zoomScaleNormal="110" workbookViewId="0">
      <selection activeCell="F14" sqref="F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51" t="str">
        <f>COVER!A17</f>
        <v>Four Rivers Special Education District</v>
      </c>
      <c r="J6" s="2352"/>
      <c r="Q6" s="1686"/>
    </row>
    <row r="7" spans="1:17" x14ac:dyDescent="0.2">
      <c r="A7" s="2353" t="s">
        <v>924</v>
      </c>
      <c r="B7" s="2354"/>
      <c r="C7" s="2354"/>
      <c r="D7" s="2354"/>
      <c r="E7" s="2355"/>
      <c r="F7" s="1018"/>
      <c r="G7" s="1010"/>
      <c r="H7" s="1017" t="s">
        <v>390</v>
      </c>
      <c r="I7" s="2356">
        <f>COVER!A13</f>
        <v>1069801060</v>
      </c>
      <c r="J7" s="235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7" t="s">
        <v>502</v>
      </c>
      <c r="B11" s="2358"/>
      <c r="C11" s="235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412860</v>
      </c>
      <c r="F12" s="1040"/>
      <c r="G12" s="1834">
        <f t="shared" ref="G12:G18" si="0">SUM(E12:F12)</f>
        <v>412860</v>
      </c>
      <c r="H12" s="1041">
        <v>430012</v>
      </c>
      <c r="I12" s="1040"/>
      <c r="J12" s="1834">
        <f t="shared" ref="J12:J18" si="1">SUM(H12:I12)</f>
        <v>430012</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453</v>
      </c>
      <c r="F16" s="1040"/>
      <c r="G16" s="1834">
        <f t="shared" si="0"/>
        <v>453</v>
      </c>
      <c r="H16" s="1041">
        <v>865</v>
      </c>
      <c r="I16" s="1040"/>
      <c r="J16" s="1834">
        <f t="shared" si="1"/>
        <v>865</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60" t="s">
        <v>7</v>
      </c>
      <c r="C18" s="2361"/>
      <c r="D18" s="236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413313</v>
      </c>
      <c r="F19" s="1836">
        <f t="shared" si="2"/>
        <v>0</v>
      </c>
      <c r="G19" s="1836">
        <f t="shared" si="2"/>
        <v>413313</v>
      </c>
      <c r="H19" s="1836">
        <f t="shared" si="2"/>
        <v>430877</v>
      </c>
      <c r="I19" s="1836">
        <f t="shared" si="2"/>
        <v>0</v>
      </c>
      <c r="J19" s="1836">
        <f t="shared" si="2"/>
        <v>430877</v>
      </c>
    </row>
    <row r="20" spans="1:10" ht="13.5" thickTop="1" x14ac:dyDescent="0.2">
      <c r="A20" s="1036">
        <v>9</v>
      </c>
      <c r="B20" s="2363" t="s">
        <v>1703</v>
      </c>
      <c r="C20" s="2363"/>
      <c r="D20" s="2364"/>
      <c r="E20" s="1047"/>
      <c r="F20" s="1047"/>
      <c r="G20" s="1047"/>
      <c r="H20" s="1047"/>
      <c r="I20" s="1047"/>
      <c r="J20" s="1837">
        <f>IF(AND(G19&gt;0,J19&gt;0),(((J19-G19)/G19)),"Enter Budget Data")</f>
        <v>4.2495638898365162E-2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9"/>
      <c r="D26" s="2369"/>
      <c r="E26" s="1051"/>
      <c r="F26" s="2368"/>
      <c r="G26" s="2368"/>
    </row>
    <row r="27" spans="1:10" x14ac:dyDescent="0.2">
      <c r="B27" s="1048"/>
      <c r="C27" s="1052" t="s">
        <v>1093</v>
      </c>
      <c r="D27" s="1053"/>
      <c r="E27" s="1054"/>
      <c r="F27" s="2365" t="s">
        <v>1589</v>
      </c>
      <c r="G27" s="2365"/>
    </row>
    <row r="28" spans="1:10" ht="28.5" customHeight="1" x14ac:dyDescent="0.2">
      <c r="B28" s="1048"/>
      <c r="C28" s="2367" t="s">
        <v>2080</v>
      </c>
      <c r="D28" s="2367"/>
      <c r="E28" s="1055"/>
      <c r="F28" s="2367" t="s">
        <v>2082</v>
      </c>
      <c r="G28" s="2367"/>
    </row>
    <row r="29" spans="1:10" x14ac:dyDescent="0.2">
      <c r="B29" s="1048"/>
      <c r="C29" s="1056" t="s">
        <v>1642</v>
      </c>
      <c r="E29" s="1057"/>
      <c r="F29" s="2366" t="s">
        <v>1590</v>
      </c>
      <c r="G29" s="236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8" t="s">
        <v>134</v>
      </c>
      <c r="D33" s="2349"/>
      <c r="E33" s="2349"/>
      <c r="F33" s="2349"/>
      <c r="G33" s="2349"/>
      <c r="H33" s="2349"/>
      <c r="I33" s="2349"/>
    </row>
    <row r="34" spans="1:10" ht="10.35" customHeight="1" x14ac:dyDescent="0.2">
      <c r="C34" s="2349"/>
      <c r="D34" s="2349"/>
      <c r="E34" s="2349"/>
      <c r="F34" s="2349"/>
      <c r="G34" s="2349"/>
      <c r="H34" s="2349"/>
      <c r="I34" s="2349"/>
    </row>
    <row r="35" spans="1:10" ht="7.5" customHeight="1" x14ac:dyDescent="0.2">
      <c r="C35" s="1063"/>
    </row>
    <row r="36" spans="1:10" ht="13.5" customHeight="1" x14ac:dyDescent="0.2">
      <c r="B36" s="1062"/>
      <c r="C36" s="2350" t="s">
        <v>1941</v>
      </c>
      <c r="D36" s="2349"/>
      <c r="E36" s="2349"/>
      <c r="F36" s="2349"/>
      <c r="G36" s="2349"/>
      <c r="H36" s="2349"/>
      <c r="I36" s="2349"/>
      <c r="J36" s="1064"/>
    </row>
    <row r="37" spans="1:10" ht="22.5" customHeight="1" x14ac:dyDescent="0.2">
      <c r="C37" s="2349"/>
      <c r="D37" s="2349"/>
      <c r="E37" s="2349"/>
      <c r="F37" s="2349"/>
      <c r="G37" s="2349"/>
      <c r="H37" s="2349"/>
      <c r="I37" s="2349"/>
      <c r="J37" s="1064"/>
    </row>
    <row r="38" spans="1:10" ht="7.5" customHeight="1" x14ac:dyDescent="0.2">
      <c r="C38" s="1063"/>
      <c r="D38" s="1065"/>
      <c r="E38" s="1066"/>
      <c r="F38" s="1067"/>
      <c r="G38" s="1066"/>
    </row>
    <row r="39" spans="1:10" ht="13.5" customHeight="1" x14ac:dyDescent="0.2">
      <c r="B39" s="1062"/>
      <c r="C39" s="2346" t="s">
        <v>937</v>
      </c>
      <c r="D39" s="2347"/>
      <c r="E39" s="2347"/>
      <c r="F39" s="2347"/>
      <c r="G39" s="2347"/>
      <c r="H39" s="2347"/>
      <c r="I39" s="234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FF00"/>
  </sheetPr>
  <dimension ref="A2:B65"/>
  <sheetViews>
    <sheetView showGridLines="0" zoomScale="110" zoomScaleNormal="110" workbookViewId="0">
      <selection activeCell="K17" sqref="K1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2095</v>
      </c>
    </row>
    <row r="6" spans="1:2" x14ac:dyDescent="0.2">
      <c r="A6" s="1069">
        <v>2</v>
      </c>
      <c r="B6" s="675" t="s">
        <v>2097</v>
      </c>
    </row>
    <row r="7" spans="1:2" x14ac:dyDescent="0.2">
      <c r="A7" s="1069">
        <v>3</v>
      </c>
      <c r="B7" s="329" t="s">
        <v>2096</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Four Rivers Special Education District</v>
      </c>
    </row>
    <row r="65" spans="2:2" x14ac:dyDescent="0.2">
      <c r="B65" s="1071">
        <f>COVER!A13</f>
        <v>1069801060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abSelected="1" zoomScale="110" zoomScaleNormal="110" workbookViewId="0">
      <selection activeCell="A199" sqref="A19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7" t="s">
        <v>1125</v>
      </c>
      <c r="B35" s="2087"/>
      <c r="C35" s="2087"/>
      <c r="D35" s="2087"/>
      <c r="E35" s="208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4" t="s">
        <v>715</v>
      </c>
      <c r="B40" s="2084"/>
      <c r="C40" s="2084"/>
      <c r="D40" s="2084"/>
      <c r="E40" s="2084"/>
    </row>
    <row r="41" spans="1:5" x14ac:dyDescent="0.2">
      <c r="A41" s="2085" t="s">
        <v>1706</v>
      </c>
      <c r="B41" s="2085"/>
      <c r="C41" s="2085"/>
      <c r="D41" s="2085"/>
      <c r="E41" s="2085"/>
    </row>
    <row r="42" spans="1:5" ht="12.75" customHeight="1" x14ac:dyDescent="0.2">
      <c r="A42" s="2086" t="s">
        <v>1080</v>
      </c>
      <c r="B42" s="2086"/>
      <c r="C42" s="2086"/>
      <c r="D42" s="2086"/>
      <c r="E42" s="2086"/>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FF00"/>
  </sheetPr>
  <dimension ref="A1:D19"/>
  <sheetViews>
    <sheetView showGridLines="0" defaultGridColor="0" colorId="8" zoomScale="110" zoomScaleNormal="110" workbookViewId="0">
      <selection activeCell="K17" sqref="K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FF00"/>
  </sheetPr>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0" t="s">
        <v>1784</v>
      </c>
      <c r="B18" s="237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1</xdr:col>
                <xdr:colOff>1219200</xdr:colOff>
                <xdr:row>3</xdr:row>
                <xdr:rowOff>95250</xdr:rowOff>
              </from>
              <to>
                <xdr:col>1</xdr:col>
                <xdr:colOff>2133600</xdr:colOff>
                <xdr:row>7</xdr:row>
                <xdr:rowOff>133350</xdr:rowOff>
              </to>
            </anchor>
          </objectPr>
        </oleObject>
      </mc:Choice>
      <mc:Fallback>
        <oleObject progId="Acrobat Document" dvAspect="DVASPECT_ICON" shapeId="50178" r:id="rId4"/>
      </mc:Fallback>
    </mc:AlternateContent>
    <mc:AlternateContent xmlns:mc="http://schemas.openxmlformats.org/markup-compatibility/2006">
      <mc:Choice Requires="x14">
        <oleObject progId="Acrobat Document" dvAspect="DVASPECT_ICON" shapeId="50179" r:id="rId6">
          <objectPr defaultSize="0" r:id="rId7">
            <anchor moveWithCells="1">
              <from>
                <xdr:col>1</xdr:col>
                <xdr:colOff>66675</xdr:colOff>
                <xdr:row>3</xdr:row>
                <xdr:rowOff>104775</xdr:rowOff>
              </from>
              <to>
                <xdr:col>1</xdr:col>
                <xdr:colOff>981075</xdr:colOff>
                <xdr:row>7</xdr:row>
                <xdr:rowOff>142875</xdr:rowOff>
              </to>
            </anchor>
          </objectPr>
        </oleObject>
      </mc:Choice>
      <mc:Fallback>
        <oleObject progId="Acrobat Document" dvAspect="DVASPECT_ICON" shapeId="50179"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FF00"/>
    <pageSetUpPr fitToPage="1"/>
  </sheetPr>
  <dimension ref="A1:H48"/>
  <sheetViews>
    <sheetView showGridLines="0" showZeros="0" zoomScale="110" zoomScaleNormal="110" workbookViewId="0">
      <selection activeCell="K17" sqref="K1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1" t="s">
        <v>1790</v>
      </c>
      <c r="B1" s="2372"/>
      <c r="C1" s="2372"/>
      <c r="D1" s="2372"/>
      <c r="E1" s="2372"/>
      <c r="F1" s="2373"/>
    </row>
    <row r="2" spans="1:8" ht="45" customHeight="1" x14ac:dyDescent="0.2">
      <c r="A2" s="2381" t="s">
        <v>1791</v>
      </c>
      <c r="B2" s="2382"/>
      <c r="C2" s="2382"/>
      <c r="D2" s="2382"/>
      <c r="E2" s="2382"/>
      <c r="F2" s="2383"/>
      <c r="G2" s="1075"/>
      <c r="H2" s="1075"/>
    </row>
    <row r="3" spans="1:8" ht="57" customHeight="1" x14ac:dyDescent="0.2">
      <c r="A3" s="2384" t="s">
        <v>1786</v>
      </c>
      <c r="B3" s="2385"/>
      <c r="C3" s="2385"/>
      <c r="D3" s="2385"/>
      <c r="E3" s="2385"/>
      <c r="F3" s="2386"/>
      <c r="G3" s="1075"/>
      <c r="H3" s="1075"/>
    </row>
    <row r="4" spans="1:8" ht="14.25" customHeight="1" x14ac:dyDescent="0.2">
      <c r="A4" s="2390" t="s">
        <v>2053</v>
      </c>
      <c r="B4" s="2391"/>
      <c r="C4" s="2391"/>
      <c r="D4" s="2391"/>
      <c r="E4" s="2391"/>
      <c r="F4" s="2392"/>
      <c r="G4" s="1075"/>
      <c r="H4" s="1075"/>
    </row>
    <row r="5" spans="1:8" ht="14.25" customHeight="1" x14ac:dyDescent="0.2">
      <c r="A5" s="2393" t="s">
        <v>2054</v>
      </c>
      <c r="B5" s="2394"/>
      <c r="C5" s="2394"/>
      <c r="D5" s="2394"/>
      <c r="E5" s="2394"/>
      <c r="F5" s="2395"/>
      <c r="G5" s="1075"/>
      <c r="H5" s="1075"/>
    </row>
    <row r="6" spans="1:8" s="1076" customFormat="1" ht="41.25" customHeight="1" x14ac:dyDescent="0.2">
      <c r="A6" s="2387" t="s">
        <v>1792</v>
      </c>
      <c r="B6" s="2388"/>
      <c r="C6" s="2388"/>
      <c r="D6" s="2388"/>
      <c r="E6" s="2388"/>
      <c r="F6" s="238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6868589</v>
      </c>
      <c r="C8" s="1838">
        <f>'Acct Summary 7-8'!D8</f>
        <v>3765</v>
      </c>
      <c r="D8" s="1838">
        <f>'Acct Summary 7-8'!F8</f>
        <v>0</v>
      </c>
      <c r="E8" s="1838">
        <f>'Acct Summary 7-8'!I8</f>
        <v>0</v>
      </c>
      <c r="F8" s="1838">
        <f>SUM(B8:E8)</f>
        <v>6872354</v>
      </c>
    </row>
    <row r="9" spans="1:8" s="1080" customFormat="1" ht="14.25" customHeight="1" thickBot="1" x14ac:dyDescent="0.25">
      <c r="A9" s="1079" t="s">
        <v>1436</v>
      </c>
      <c r="B9" s="1839">
        <f>'Acct Summary 7-8'!C17</f>
        <v>6478027</v>
      </c>
      <c r="C9" s="1839">
        <f>'Acct Summary 7-8'!D17</f>
        <v>0</v>
      </c>
      <c r="D9" s="1839">
        <f>'Acct Summary 7-8'!F17</f>
        <v>0</v>
      </c>
      <c r="E9" s="1838"/>
      <c r="F9" s="1838">
        <f>SUM(B9:E9)</f>
        <v>6478027</v>
      </c>
    </row>
    <row r="10" spans="1:8" s="1080" customFormat="1" ht="14.25" thickTop="1" thickBot="1" x14ac:dyDescent="0.25">
      <c r="A10" s="1081" t="s">
        <v>1437</v>
      </c>
      <c r="B10" s="1840">
        <f>(B8-B9)</f>
        <v>390562</v>
      </c>
      <c r="C10" s="1840">
        <f>(C8-C9)</f>
        <v>3765</v>
      </c>
      <c r="D10" s="1840">
        <f>(D8-D9)</f>
        <v>0</v>
      </c>
      <c r="E10" s="1839">
        <f>(E8-E9)</f>
        <v>0</v>
      </c>
      <c r="F10" s="1841">
        <f>SUM(F8-F9)</f>
        <v>394327</v>
      </c>
    </row>
    <row r="11" spans="1:8" s="1080" customFormat="1" ht="14.25" thickTop="1" thickBot="1" x14ac:dyDescent="0.25">
      <c r="A11" s="1082" t="s">
        <v>1785</v>
      </c>
      <c r="B11" s="1842">
        <f>'Acct Summary 7-8'!C81</f>
        <v>2464826</v>
      </c>
      <c r="C11" s="1842">
        <f>'Acct Summary 7-8'!D81</f>
        <v>292503</v>
      </c>
      <c r="D11" s="1842">
        <f>'Acct Summary 7-8'!F81</f>
        <v>0</v>
      </c>
      <c r="E11" s="1842">
        <f>'Acct Summary 7-8'!I81</f>
        <v>0</v>
      </c>
      <c r="F11" s="1843">
        <f>SUM(B11:E11)</f>
        <v>2757329</v>
      </c>
    </row>
    <row r="12" spans="1:8" ht="16.5" customHeight="1" thickTop="1" x14ac:dyDescent="0.2">
      <c r="A12" s="1083"/>
      <c r="B12" s="1084"/>
      <c r="C12" s="2375" t="str">
        <f>IF(AND(F10&lt;0,F11&gt;=0,ABS(F10*3)&gt;ABS(F11)),A16,IF(AND(F10&lt;0,F11&gt;0,ABS(F10*3)&lt;=ABS(F11)),A17,IF(AND(F10&lt;0,F11&lt;0),A16,IF(F11=0,A19,A18))))</f>
        <v>Balanced - no deficit reduction plan is required.</v>
      </c>
      <c r="D12" s="2376"/>
      <c r="E12" s="2376"/>
      <c r="F12" s="2377"/>
    </row>
    <row r="13" spans="1:8" ht="19.5" customHeight="1" x14ac:dyDescent="0.2">
      <c r="A13" s="1085"/>
      <c r="B13" s="1086"/>
      <c r="C13" s="2375"/>
      <c r="D13" s="2376"/>
      <c r="E13" s="2376"/>
      <c r="F13" s="2377"/>
      <c r="H13" s="1075"/>
    </row>
    <row r="14" spans="1:8" ht="19.5" customHeight="1" x14ac:dyDescent="0.2">
      <c r="A14" s="1085"/>
      <c r="B14" s="1086"/>
      <c r="C14" s="2375"/>
      <c r="D14" s="2376"/>
      <c r="E14" s="2376"/>
      <c r="F14" s="2377"/>
      <c r="H14" s="1075"/>
    </row>
    <row r="15" spans="1:8" ht="17.25" customHeight="1" x14ac:dyDescent="0.2">
      <c r="A15" s="1085"/>
      <c r="B15" s="1086"/>
      <c r="C15" s="2378"/>
      <c r="D15" s="2379"/>
      <c r="E15" s="2379"/>
      <c r="F15" s="2380"/>
      <c r="H15" s="1075"/>
    </row>
    <row r="16" spans="1:8" s="310" customFormat="1" ht="51.75" hidden="1" customHeight="1" x14ac:dyDescent="0.2">
      <c r="A16" s="2374" t="s">
        <v>1787</v>
      </c>
      <c r="B16" s="2374"/>
      <c r="C16" s="2374"/>
      <c r="D16" s="2374"/>
      <c r="E16" s="237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8" colorId="8" zoomScale="110" zoomScaleNormal="110" workbookViewId="0">
      <selection activeCell="H29" sqref="H2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6" t="s">
        <v>686</v>
      </c>
      <c r="B3" s="2397"/>
      <c r="C3" s="2397"/>
      <c r="D3" s="2398"/>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7" t="s">
        <v>1584</v>
      </c>
      <c r="D7" s="2408"/>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9" t="s">
        <v>1065</v>
      </c>
      <c r="B15" s="2400"/>
      <c r="C15" s="2400"/>
      <c r="D15" s="2401"/>
    </row>
    <row r="16" spans="1:4" s="669" customFormat="1" ht="24" customHeight="1" x14ac:dyDescent="0.2">
      <c r="A16" s="2402" t="s">
        <v>684</v>
      </c>
      <c r="B16" s="2403"/>
      <c r="C16" s="2403"/>
      <c r="D16" s="240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1" t="s">
        <v>332</v>
      </c>
      <c r="D21" s="2412"/>
    </row>
    <row r="22" spans="1:10" ht="12.75" x14ac:dyDescent="0.2">
      <c r="A22" s="1140"/>
      <c r="B22" s="1141">
        <v>2</v>
      </c>
      <c r="C22" s="2409" t="s">
        <v>1605</v>
      </c>
      <c r="D22" s="241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3" t="s">
        <v>557</v>
      </c>
      <c r="D43" s="241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5" t="s">
        <v>817</v>
      </c>
      <c r="D56" s="240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05" t="s">
        <v>1797</v>
      </c>
      <c r="D70" s="240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1069801060</v>
      </c>
    </row>
    <row r="3" spans="1:2" x14ac:dyDescent="0.2">
      <c r="A3" t="s">
        <v>1013</v>
      </c>
      <c r="B3" s="138" t="str">
        <f>COVER!A15</f>
        <v>Morgan, Cass, Brown, Calhoun, Pike, Greene, Macoupin, Scott</v>
      </c>
    </row>
    <row r="4" spans="1:2" x14ac:dyDescent="0.2">
      <c r="A4" t="s">
        <v>1064</v>
      </c>
      <c r="B4" s="138" t="str">
        <f>COVER!A17</f>
        <v>Four Rivers Special Education District</v>
      </c>
    </row>
    <row r="5" spans="1:2" x14ac:dyDescent="0.2">
      <c r="A5" t="s">
        <v>728</v>
      </c>
      <c r="B5" s="138" t="str">
        <f>COVER!A38</f>
        <v>Christiane Pennell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Adam Withee</v>
      </c>
    </row>
    <row r="18" spans="1:2" x14ac:dyDescent="0.2">
      <c r="A18" t="s">
        <v>1212</v>
      </c>
      <c r="B18" s="138" t="str">
        <f>COVER!T17</f>
        <v>1395 Lincoln Ave.</v>
      </c>
    </row>
    <row r="19" spans="1:2" x14ac:dyDescent="0.2">
      <c r="A19" t="s">
        <v>941</v>
      </c>
      <c r="B19" s="138" t="str">
        <f>COVER!T25</f>
        <v>awithee@zescpa.com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2464826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2464826</v>
      </c>
      <c r="D92" s="2" t="str">
        <f t="shared" si="0"/>
        <v>Error?</v>
      </c>
    </row>
    <row r="93" spans="1:4" x14ac:dyDescent="0.2">
      <c r="A93" s="5">
        <v>32</v>
      </c>
      <c r="B93" s="138">
        <f>'Assets-Liab 5-6'!C41</f>
        <v>2464826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292503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292503</v>
      </c>
      <c r="D123" s="2" t="str">
        <f t="shared" si="0"/>
        <v>Error?</v>
      </c>
    </row>
    <row r="124" spans="1:4" x14ac:dyDescent="0.2">
      <c r="A124" s="5">
        <v>63</v>
      </c>
      <c r="B124" s="138">
        <f>'Assets-Liab 5-6'!D41</f>
        <v>292503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100665</v>
      </c>
      <c r="D273" s="2" t="str">
        <f t="shared" si="3"/>
        <v>Error?</v>
      </c>
    </row>
    <row r="274" spans="1:4" x14ac:dyDescent="0.2">
      <c r="A274" s="5">
        <v>213</v>
      </c>
      <c r="B274" s="138">
        <f>'Assets-Liab 5-6'!M17</f>
        <v>2136301</v>
      </c>
      <c r="D274" s="2" t="str">
        <f t="shared" si="3"/>
        <v>Error?</v>
      </c>
    </row>
    <row r="275" spans="1:4" x14ac:dyDescent="0.2">
      <c r="A275" s="5">
        <v>214</v>
      </c>
      <c r="B275" s="138">
        <f>'Assets-Liab 5-6'!M18</f>
        <v>264560</v>
      </c>
      <c r="D275" s="2" t="str">
        <f t="shared" si="3"/>
        <v>Error?</v>
      </c>
    </row>
    <row r="276" spans="1:4" x14ac:dyDescent="0.2">
      <c r="A276" s="5">
        <v>215</v>
      </c>
      <c r="B276" s="138">
        <f>'Assets-Liab 5-6'!M19</f>
        <v>2777526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5279052</v>
      </c>
      <c r="C279" s="2" t="s">
        <v>594</v>
      </c>
      <c r="D279" s="2" t="str">
        <f t="shared" si="3"/>
        <v>Error?</v>
      </c>
    </row>
    <row r="280" spans="1:4" x14ac:dyDescent="0.2">
      <c r="A280" s="5">
        <v>219</v>
      </c>
      <c r="B280" s="138">
        <f>'Assets-Liab 5-6'!M40</f>
        <v>5279052</v>
      </c>
      <c r="D280" s="2" t="str">
        <f t="shared" si="3"/>
        <v>Error?</v>
      </c>
    </row>
    <row r="281" spans="1:4" x14ac:dyDescent="0.2">
      <c r="A281" s="5">
        <v>220</v>
      </c>
      <c r="B281" s="138">
        <f>'Assets-Liab 5-6'!M41</f>
        <v>5279052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1614741</v>
      </c>
      <c r="C720" s="2" t="s">
        <v>594</v>
      </c>
      <c r="D720" s="2" t="str">
        <f t="shared" si="10"/>
        <v>Error?</v>
      </c>
    </row>
    <row r="721" spans="1:4" x14ac:dyDescent="0.2">
      <c r="A721" s="5">
        <v>660</v>
      </c>
      <c r="B721" s="138">
        <f>'Expenditures 15-22'!C36</f>
        <v>111841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532982</v>
      </c>
      <c r="D723" s="2" t="str">
        <f t="shared" si="10"/>
        <v>Error?</v>
      </c>
    </row>
    <row r="724" spans="1:4" x14ac:dyDescent="0.2">
      <c r="A724" s="5">
        <v>663</v>
      </c>
      <c r="B724" s="138">
        <f>'Expenditures 15-22'!C39</f>
        <v>920762</v>
      </c>
      <c r="D724" s="2" t="str">
        <f t="shared" si="10"/>
        <v>Error?</v>
      </c>
    </row>
    <row r="725" spans="1:4" x14ac:dyDescent="0.2">
      <c r="A725" s="5">
        <v>664</v>
      </c>
      <c r="B725" s="138">
        <f>'Expenditures 15-22'!C40</f>
        <v>67859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1633444</v>
      </c>
      <c r="C727" s="2" t="s">
        <v>594</v>
      </c>
      <c r="D727" s="2" t="str">
        <f t="shared" si="10"/>
        <v>Error?</v>
      </c>
    </row>
    <row r="728" spans="1:4" x14ac:dyDescent="0.2">
      <c r="A728" s="5">
        <v>667</v>
      </c>
      <c r="B728" s="138">
        <f>'Expenditures 15-22'!C44</f>
        <v>45753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45753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290232</v>
      </c>
      <c r="D733" s="2" t="str">
        <f t="shared" si="10"/>
        <v>Error?</v>
      </c>
    </row>
    <row r="734" spans="1:4" x14ac:dyDescent="0.2">
      <c r="A734" s="5">
        <v>673</v>
      </c>
      <c r="B734" s="138">
        <f>'Expenditures 15-22'!C53</f>
        <v>290232</v>
      </c>
      <c r="C734" s="2" t="s">
        <v>594</v>
      </c>
      <c r="D734" s="2" t="str">
        <f t="shared" si="10"/>
        <v>Error?</v>
      </c>
    </row>
    <row r="735" spans="1:4" x14ac:dyDescent="0.2">
      <c r="A735" s="5">
        <v>674</v>
      </c>
      <c r="B735" s="138">
        <f>'Expenditures 15-22'!C55</f>
        <v>79320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79320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45170</v>
      </c>
      <c r="D739" s="2" t="str">
        <f t="shared" si="10"/>
        <v>Error?</v>
      </c>
    </row>
    <row r="740" spans="1:4" x14ac:dyDescent="0.2">
      <c r="A740" s="5">
        <v>679</v>
      </c>
      <c r="B740" s="138">
        <f>'Expenditures 15-22'!C61</f>
        <v>51929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16884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113983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44526</v>
      </c>
      <c r="D751" s="2" t="str">
        <f t="shared" si="10"/>
        <v>Error?</v>
      </c>
    </row>
    <row r="752" spans="1:4" x14ac:dyDescent="0.2">
      <c r="A752" s="10">
        <v>691</v>
      </c>
      <c r="D752" s="2" t="str">
        <f t="shared" si="10"/>
        <v>OK</v>
      </c>
    </row>
    <row r="753" spans="1:4" x14ac:dyDescent="0.2">
      <c r="A753" s="5">
        <v>692</v>
      </c>
      <c r="B753" s="138">
        <f>'Expenditures 15-22'!C72</f>
        <v>44526</v>
      </c>
      <c r="C753" s="2" t="s">
        <v>594</v>
      </c>
      <c r="D753" s="2" t="str">
        <f t="shared" si="10"/>
        <v>Error?</v>
      </c>
    </row>
    <row r="754" spans="1:4" x14ac:dyDescent="0.2">
      <c r="A754" s="5">
        <v>693</v>
      </c>
      <c r="B754" s="138">
        <f>'Expenditures 15-22'!C73</f>
        <v>411910</v>
      </c>
      <c r="D754" s="2" t="str">
        <f t="shared" si="10"/>
        <v>Error?</v>
      </c>
    </row>
    <row r="755" spans="1:4" x14ac:dyDescent="0.2">
      <c r="A755" s="5">
        <v>694</v>
      </c>
      <c r="B755" s="138">
        <f>'Expenditures 15-22'!C74</f>
        <v>2619168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4233909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635524</v>
      </c>
      <c r="C778" s="2" t="s">
        <v>594</v>
      </c>
      <c r="D778" s="2" t="str">
        <f t="shared" si="11"/>
        <v>Error?</v>
      </c>
    </row>
    <row r="779" spans="1:4" x14ac:dyDescent="0.2">
      <c r="A779" s="5">
        <v>718</v>
      </c>
      <c r="B779" s="138">
        <f>'Expenditures 15-22'!D36</f>
        <v>19999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203555</v>
      </c>
      <c r="D781" s="2" t="str">
        <f t="shared" si="11"/>
        <v>Error?</v>
      </c>
    </row>
    <row r="782" spans="1:4" x14ac:dyDescent="0.2">
      <c r="A782" s="5">
        <v>721</v>
      </c>
      <c r="B782" s="138">
        <f>'Expenditures 15-22'!D39</f>
        <v>127900</v>
      </c>
      <c r="D782" s="2" t="str">
        <f t="shared" si="11"/>
        <v>Error?</v>
      </c>
    </row>
    <row r="783" spans="1:4" x14ac:dyDescent="0.2">
      <c r="A783" s="5">
        <v>722</v>
      </c>
      <c r="B783" s="138">
        <f>'Expenditures 15-22'!D40</f>
        <v>10539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361993</v>
      </c>
      <c r="C785" s="2" t="s">
        <v>594</v>
      </c>
      <c r="D785" s="2" t="str">
        <f t="shared" si="11"/>
        <v>Error?</v>
      </c>
    </row>
    <row r="786" spans="1:4" x14ac:dyDescent="0.2">
      <c r="A786" s="5">
        <v>725</v>
      </c>
      <c r="B786" s="138">
        <f>'Expenditures 15-22'!D44</f>
        <v>16625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16625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61657</v>
      </c>
      <c r="D791" s="2" t="str">
        <f t="shared" si="11"/>
        <v>Error?</v>
      </c>
    </row>
    <row r="792" spans="1:4" x14ac:dyDescent="0.2">
      <c r="A792" s="5">
        <v>731</v>
      </c>
      <c r="B792" s="138">
        <f>'Expenditures 15-22'!D53</f>
        <v>61657</v>
      </c>
      <c r="C792" s="2" t="s">
        <v>594</v>
      </c>
      <c r="D792" s="2" t="str">
        <f t="shared" si="11"/>
        <v>Error?</v>
      </c>
    </row>
    <row r="793" spans="1:4" x14ac:dyDescent="0.2">
      <c r="A793" s="5">
        <v>732</v>
      </c>
      <c r="B793" s="138">
        <f>'Expenditures 15-22'!D55</f>
        <v>10539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10539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19057</v>
      </c>
      <c r="D797" s="2" t="str">
        <f t="shared" si="11"/>
        <v>Error?</v>
      </c>
    </row>
    <row r="798" spans="1:4" x14ac:dyDescent="0.2">
      <c r="A798" s="5">
        <v>737</v>
      </c>
      <c r="B798" s="138">
        <f>'Expenditures 15-22'!D61</f>
        <v>20491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10653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50201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19268</v>
      </c>
      <c r="D809" s="2" t="str">
        <f t="shared" si="11"/>
        <v>Error?</v>
      </c>
    </row>
    <row r="810" spans="1:4" x14ac:dyDescent="0.2">
      <c r="A810" s="10">
        <v>749</v>
      </c>
      <c r="D810" s="2" t="str">
        <f t="shared" si="11"/>
        <v>OK</v>
      </c>
    </row>
    <row r="811" spans="1:4" x14ac:dyDescent="0.2">
      <c r="A811" s="5">
        <v>750</v>
      </c>
      <c r="B811" s="138">
        <f>'Expenditures 15-22'!D72</f>
        <v>19268</v>
      </c>
      <c r="C811" s="2" t="s">
        <v>594</v>
      </c>
      <c r="D811" s="2" t="str">
        <f t="shared" si="11"/>
        <v>Error?</v>
      </c>
    </row>
    <row r="812" spans="1:4" x14ac:dyDescent="0.2">
      <c r="A812" s="5">
        <v>751</v>
      </c>
      <c r="B812" s="138">
        <f>'Expenditures 15-22'!D73</f>
        <v>118180</v>
      </c>
      <c r="D812" s="2" t="str">
        <f t="shared" si="11"/>
        <v>Error?</v>
      </c>
    </row>
    <row r="813" spans="1:4" x14ac:dyDescent="0.2">
      <c r="A813" s="5">
        <v>752</v>
      </c>
      <c r="B813" s="138">
        <f>'Expenditures 15-22'!D74</f>
        <v>638463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1273987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33594</v>
      </c>
      <c r="C836" s="2" t="s">
        <v>594</v>
      </c>
      <c r="D836" s="2" t="str">
        <f t="shared" si="12"/>
        <v>Error?</v>
      </c>
    </row>
    <row r="837" spans="1:4" x14ac:dyDescent="0.2">
      <c r="A837" s="5">
        <v>776</v>
      </c>
      <c r="B837" s="138">
        <f>'Expenditures 15-22'!E36</f>
        <v>390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51400</v>
      </c>
      <c r="D839" s="2" t="str">
        <f t="shared" si="12"/>
        <v>Error?</v>
      </c>
    </row>
    <row r="840" spans="1:4" x14ac:dyDescent="0.2">
      <c r="A840" s="5">
        <v>779</v>
      </c>
      <c r="B840" s="138">
        <f>'Expenditures 15-22'!E39</f>
        <v>38747</v>
      </c>
      <c r="D840" s="2" t="str">
        <f t="shared" si="12"/>
        <v>Error?</v>
      </c>
    </row>
    <row r="841" spans="1:4" x14ac:dyDescent="0.2">
      <c r="A841" s="5">
        <v>780</v>
      </c>
      <c r="B841" s="138">
        <f>'Expenditures 15-22'!E40</f>
        <v>2370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92907</v>
      </c>
      <c r="C843" s="2" t="s">
        <v>594</v>
      </c>
      <c r="D843" s="2" t="str">
        <f t="shared" si="12"/>
        <v>Error?</v>
      </c>
    </row>
    <row r="844" spans="1:4" x14ac:dyDescent="0.2">
      <c r="A844" s="5">
        <v>783</v>
      </c>
      <c r="B844" s="138">
        <f>'Expenditures 15-22'!E44</f>
        <v>98392</v>
      </c>
      <c r="D844" s="2" t="str">
        <f t="shared" si="12"/>
        <v>Error?</v>
      </c>
    </row>
    <row r="845" spans="1:4" x14ac:dyDescent="0.2">
      <c r="A845" s="5">
        <v>784</v>
      </c>
      <c r="B845" s="138">
        <f>'Expenditures 15-22'!E45</f>
        <v>38393</v>
      </c>
      <c r="D845" s="2" t="str">
        <f t="shared" si="12"/>
        <v>Error?</v>
      </c>
    </row>
    <row r="846" spans="1:4" x14ac:dyDescent="0.2">
      <c r="A846" s="5">
        <v>785</v>
      </c>
      <c r="B846" s="138">
        <f>'Expenditures 15-22'!E46</f>
        <v>1500</v>
      </c>
      <c r="D846" s="2" t="str">
        <f t="shared" si="12"/>
        <v>Error?</v>
      </c>
    </row>
    <row r="847" spans="1:4" x14ac:dyDescent="0.2">
      <c r="A847" s="5">
        <v>786</v>
      </c>
      <c r="B847" s="138">
        <f>'Expenditures 15-22'!E47</f>
        <v>138285</v>
      </c>
      <c r="C847" s="2" t="s">
        <v>594</v>
      </c>
      <c r="D847" s="2" t="str">
        <f t="shared" si="12"/>
        <v>Error?</v>
      </c>
    </row>
    <row r="848" spans="1:4" x14ac:dyDescent="0.2">
      <c r="A848" s="5">
        <v>787</v>
      </c>
      <c r="B848" s="138">
        <f>'Expenditures 15-22'!E49</f>
        <v>17380</v>
      </c>
      <c r="D848" s="2" t="str">
        <f t="shared" si="12"/>
        <v>Error?</v>
      </c>
    </row>
    <row r="849" spans="1:4" x14ac:dyDescent="0.2">
      <c r="A849" s="5">
        <v>788</v>
      </c>
      <c r="B849" s="138">
        <f>'Expenditures 15-22'!E50</f>
        <v>53799</v>
      </c>
      <c r="D849" s="2" t="str">
        <f t="shared" si="12"/>
        <v>Error?</v>
      </c>
    </row>
    <row r="850" spans="1:4" x14ac:dyDescent="0.2">
      <c r="A850" s="5">
        <v>789</v>
      </c>
      <c r="B850" s="138">
        <f>'Expenditures 15-22'!E53</f>
        <v>131728</v>
      </c>
      <c r="C850" s="2" t="s">
        <v>594</v>
      </c>
      <c r="D850" s="2" t="str">
        <f t="shared" si="12"/>
        <v>Error?</v>
      </c>
    </row>
    <row r="851" spans="1:4" x14ac:dyDescent="0.2">
      <c r="A851" s="5">
        <v>790</v>
      </c>
      <c r="B851" s="138">
        <f>'Expenditures 15-22'!E55</f>
        <v>241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25761</v>
      </c>
      <c r="D855" s="2" t="str">
        <f t="shared" si="12"/>
        <v>Error?</v>
      </c>
    </row>
    <row r="856" spans="1:4" x14ac:dyDescent="0.2">
      <c r="A856" s="5">
        <v>795</v>
      </c>
      <c r="B856" s="138">
        <f>'Expenditures 15-22'!E61</f>
        <v>65935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453</v>
      </c>
      <c r="D859" s="2" t="str">
        <f t="shared" si="12"/>
        <v>Error?</v>
      </c>
    </row>
    <row r="860" spans="1:4" x14ac:dyDescent="0.2">
      <c r="A860" s="10">
        <v>799</v>
      </c>
      <c r="D860" s="2" t="str">
        <f t="shared" si="12"/>
        <v>OK</v>
      </c>
    </row>
    <row r="861" spans="1:4" x14ac:dyDescent="0.2">
      <c r="A861" s="5">
        <v>800</v>
      </c>
      <c r="B861" s="138">
        <f>'Expenditures 15-22'!E65</f>
        <v>92149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44223</v>
      </c>
      <c r="D867" s="2" t="str">
        <f t="shared" si="12"/>
        <v>Error?</v>
      </c>
    </row>
    <row r="868" spans="1:4" x14ac:dyDescent="0.2">
      <c r="A868" s="10">
        <v>807</v>
      </c>
      <c r="D868" s="2" t="str">
        <f t="shared" si="12"/>
        <v>OK</v>
      </c>
    </row>
    <row r="869" spans="1:4" x14ac:dyDescent="0.2">
      <c r="A869" s="5">
        <v>808</v>
      </c>
      <c r="B869" s="138">
        <f>'Expenditures 15-22'!E72</f>
        <v>44223</v>
      </c>
      <c r="C869" s="2" t="s">
        <v>594</v>
      </c>
      <c r="D869" s="2" t="str">
        <f t="shared" si="12"/>
        <v>Error?</v>
      </c>
    </row>
    <row r="870" spans="1:4" x14ac:dyDescent="0.2">
      <c r="A870" s="5">
        <v>809</v>
      </c>
      <c r="B870" s="138">
        <f>'Expenditures 15-22'!E73</f>
        <v>69952</v>
      </c>
      <c r="D870" s="2" t="str">
        <f t="shared" si="12"/>
        <v>Error?</v>
      </c>
    </row>
    <row r="871" spans="1:4" x14ac:dyDescent="0.2">
      <c r="A871" s="5">
        <v>810</v>
      </c>
      <c r="B871" s="138">
        <f>'Expenditures 15-22'!E74</f>
        <v>569485</v>
      </c>
      <c r="C871" s="2" t="s">
        <v>594</v>
      </c>
      <c r="D871" s="2" t="str">
        <f t="shared" si="12"/>
        <v>Error?</v>
      </c>
    </row>
    <row r="872" spans="1:4" x14ac:dyDescent="0.2">
      <c r="A872" s="5">
        <v>811</v>
      </c>
      <c r="B872" s="138">
        <f>'Expenditures 15-22'!E75</f>
        <v>88</v>
      </c>
      <c r="D872" s="2" t="str">
        <f t="shared" si="12"/>
        <v>Error?</v>
      </c>
    </row>
    <row r="873" spans="1:4" x14ac:dyDescent="0.2">
      <c r="A873" s="5">
        <v>812</v>
      </c>
      <c r="B873" s="138">
        <f>'Expenditures 15-22'!E114</f>
        <v>603167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31703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2736</v>
      </c>
      <c r="D897" s="2" t="str">
        <f t="shared" si="13"/>
        <v>Error?</v>
      </c>
    </row>
    <row r="898" spans="1:4" x14ac:dyDescent="0.2">
      <c r="A898" s="5">
        <v>837</v>
      </c>
      <c r="B898" s="138">
        <f>'Expenditures 15-22'!F39</f>
        <v>13001</v>
      </c>
      <c r="D898" s="2" t="str">
        <f t="shared" si="13"/>
        <v>Error?</v>
      </c>
    </row>
    <row r="899" spans="1:4" x14ac:dyDescent="0.2">
      <c r="A899" s="5">
        <v>838</v>
      </c>
      <c r="B899" s="138">
        <f>'Expenditures 15-22'!F40</f>
        <v>2463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18200</v>
      </c>
      <c r="C901" s="2" t="s">
        <v>594</v>
      </c>
      <c r="D901" s="2" t="str">
        <f t="shared" si="13"/>
        <v>Error?</v>
      </c>
    </row>
    <row r="902" spans="1:4" x14ac:dyDescent="0.2">
      <c r="A902" s="5">
        <v>841</v>
      </c>
      <c r="B902" s="138">
        <f>'Expenditures 15-22'!F44</f>
        <v>17521</v>
      </c>
      <c r="D902" s="2" t="str">
        <f t="shared" si="13"/>
        <v>Error?</v>
      </c>
    </row>
    <row r="903" spans="1:4" x14ac:dyDescent="0.2">
      <c r="A903" s="5">
        <v>842</v>
      </c>
      <c r="B903" s="138">
        <f>'Expenditures 15-22'!F45</f>
        <v>7865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25386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7172</v>
      </c>
      <c r="D907" s="2" t="str">
        <f t="shared" si="13"/>
        <v>Error?</v>
      </c>
    </row>
    <row r="908" spans="1:4" x14ac:dyDescent="0.2">
      <c r="A908" s="5">
        <v>847</v>
      </c>
      <c r="B908" s="138">
        <f>'Expenditures 15-22'!F53</f>
        <v>7172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5948</v>
      </c>
      <c r="D913" s="2" t="str">
        <f t="shared" si="13"/>
        <v>Error?</v>
      </c>
    </row>
    <row r="914" spans="1:4" x14ac:dyDescent="0.2">
      <c r="A914" s="5">
        <v>853</v>
      </c>
      <c r="B914" s="138">
        <f>'Expenditures 15-22'!F61</f>
        <v>53014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25397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84359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30</v>
      </c>
      <c r="D928" s="2" t="str">
        <f t="shared" si="13"/>
        <v>Error?</v>
      </c>
    </row>
    <row r="929" spans="1:4" x14ac:dyDescent="0.2">
      <c r="A929" s="5">
        <v>868</v>
      </c>
      <c r="B929" s="138">
        <f>'Expenditures 15-22'!F74</f>
        <v>135147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166850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3534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16590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16590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18564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18564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35154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38688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161426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161426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2319096</v>
      </c>
      <c r="C1108" s="2" t="s">
        <v>594</v>
      </c>
      <c r="D1108" s="2" t="str">
        <f t="shared" si="16"/>
        <v>Error?</v>
      </c>
    </row>
    <row r="1109" spans="1:4" x14ac:dyDescent="0.2">
      <c r="A1109" s="5">
        <v>1048</v>
      </c>
      <c r="B1109" s="138">
        <f>'Expenditures 15-22'!K36</f>
        <v>132230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790673</v>
      </c>
      <c r="C1111" s="2" t="s">
        <v>594</v>
      </c>
      <c r="D1111" s="2" t="str">
        <f t="shared" si="16"/>
        <v>Error?</v>
      </c>
    </row>
    <row r="1112" spans="1:4" x14ac:dyDescent="0.2">
      <c r="A1112" s="5">
        <v>1051</v>
      </c>
      <c r="B1112" s="138">
        <f>'Expenditures 15-22'!K39</f>
        <v>1100410</v>
      </c>
      <c r="C1112" s="2" t="s">
        <v>594</v>
      </c>
      <c r="D1112" s="2" t="str">
        <f t="shared" si="16"/>
        <v>Error?</v>
      </c>
    </row>
    <row r="1113" spans="1:4" x14ac:dyDescent="0.2">
      <c r="A1113" s="5">
        <v>1052</v>
      </c>
      <c r="B1113" s="138">
        <f>'Expenditures 15-22'!K40</f>
        <v>83231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2106544</v>
      </c>
      <c r="C1115" s="2" t="s">
        <v>594</v>
      </c>
      <c r="D1115" s="2" t="str">
        <f t="shared" si="16"/>
        <v>Error?</v>
      </c>
    </row>
    <row r="1116" spans="1:4" x14ac:dyDescent="0.2">
      <c r="A1116" s="5">
        <v>1055</v>
      </c>
      <c r="B1116" s="138">
        <f>'Expenditures 15-22'!K44</f>
        <v>178291</v>
      </c>
      <c r="C1116" s="2" t="s">
        <v>594</v>
      </c>
      <c r="D1116" s="2" t="str">
        <f t="shared" si="16"/>
        <v>Error?</v>
      </c>
    </row>
    <row r="1117" spans="1:4" x14ac:dyDescent="0.2">
      <c r="A1117" s="5">
        <v>1056</v>
      </c>
      <c r="B1117" s="138">
        <f>'Expenditures 15-22'!K45</f>
        <v>62848</v>
      </c>
      <c r="C1117" s="2" t="s">
        <v>594</v>
      </c>
      <c r="D1117" s="2" t="str">
        <f t="shared" si="16"/>
        <v>Error?</v>
      </c>
    </row>
    <row r="1118" spans="1:4" x14ac:dyDescent="0.2">
      <c r="A1118" s="5">
        <v>1057</v>
      </c>
      <c r="B1118" s="138">
        <f>'Expenditures 15-22'!K46</f>
        <v>1500</v>
      </c>
      <c r="C1118" s="2" t="s">
        <v>594</v>
      </c>
      <c r="D1118" s="2" t="str">
        <f t="shared" si="16"/>
        <v>Error?</v>
      </c>
    </row>
    <row r="1119" spans="1:4" x14ac:dyDescent="0.2">
      <c r="A1119" s="5">
        <v>1058</v>
      </c>
      <c r="B1119" s="138">
        <f>'Expenditures 15-22'!K47</f>
        <v>242639</v>
      </c>
      <c r="C1119" s="2" t="s">
        <v>594</v>
      </c>
      <c r="D1119" s="2" t="str">
        <f t="shared" si="16"/>
        <v>Error?</v>
      </c>
    </row>
    <row r="1120" spans="1:4" x14ac:dyDescent="0.2">
      <c r="A1120" s="5">
        <v>1059</v>
      </c>
      <c r="B1120" s="138">
        <f>'Expenditures 15-22'!K49</f>
        <v>17380</v>
      </c>
      <c r="C1120" s="2" t="s">
        <v>594</v>
      </c>
      <c r="D1120" s="2" t="str">
        <f t="shared" si="16"/>
        <v>Error?</v>
      </c>
    </row>
    <row r="1121" spans="1:4" x14ac:dyDescent="0.2">
      <c r="A1121" s="5">
        <v>1060</v>
      </c>
      <c r="B1121" s="138">
        <f>'Expenditures 15-22'!K50</f>
        <v>412860</v>
      </c>
      <c r="C1121" s="2" t="s">
        <v>594</v>
      </c>
      <c r="D1121" s="2" t="str">
        <f t="shared" si="16"/>
        <v>Error?</v>
      </c>
    </row>
    <row r="1122" spans="1:4" x14ac:dyDescent="0.2">
      <c r="A1122" s="5">
        <v>1061</v>
      </c>
      <c r="B1122" s="138">
        <f>'Expenditures 15-22'!K53</f>
        <v>490789</v>
      </c>
      <c r="C1122" s="2" t="s">
        <v>594</v>
      </c>
      <c r="D1122" s="2" t="str">
        <f t="shared" si="16"/>
        <v>Error?</v>
      </c>
    </row>
    <row r="1123" spans="1:4" x14ac:dyDescent="0.2">
      <c r="A1123" s="5">
        <v>1062</v>
      </c>
      <c r="B1123" s="138">
        <f>'Expenditures 15-22'!K55</f>
        <v>90100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90100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95936</v>
      </c>
      <c r="C1127" s="2" t="s">
        <v>594</v>
      </c>
      <c r="D1127" s="2" t="str">
        <f t="shared" si="16"/>
        <v>Error?</v>
      </c>
    </row>
    <row r="1128" spans="1:4" x14ac:dyDescent="0.2">
      <c r="A1128" s="5">
        <v>1067</v>
      </c>
      <c r="B1128" s="138">
        <f>'Expenditures 15-22'!K61</f>
        <v>209933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52934</v>
      </c>
      <c r="C1130" s="2" t="s">
        <v>594</v>
      </c>
      <c r="D1130" s="2" t="str">
        <f t="shared" si="16"/>
        <v>Error?</v>
      </c>
    </row>
    <row r="1131" spans="1:4" x14ac:dyDescent="0.2">
      <c r="A1131" s="5">
        <v>1070</v>
      </c>
      <c r="B1131" s="138">
        <f>'Expenditures 15-22'!K64</f>
        <v>453</v>
      </c>
      <c r="C1131" s="2" t="s">
        <v>594</v>
      </c>
      <c r="D1131" s="2" t="str">
        <f t="shared" si="16"/>
        <v>Error?</v>
      </c>
    </row>
    <row r="1132" spans="1:4" x14ac:dyDescent="0.2">
      <c r="A1132" s="10">
        <v>1071</v>
      </c>
      <c r="D1132" s="2" t="str">
        <f t="shared" si="16"/>
        <v>OK</v>
      </c>
    </row>
    <row r="1133" spans="1:4" x14ac:dyDescent="0.2">
      <c r="A1133" s="5">
        <v>1072</v>
      </c>
      <c r="B1133" s="138">
        <f>'Expenditures 15-22'!K65</f>
        <v>359256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108017</v>
      </c>
      <c r="C1139" s="2" t="s">
        <v>594</v>
      </c>
      <c r="D1139" s="2" t="str">
        <f t="shared" si="16"/>
        <v>Error?</v>
      </c>
    </row>
    <row r="1140" spans="1:4" x14ac:dyDescent="0.2">
      <c r="A1140" s="10">
        <v>1079</v>
      </c>
      <c r="D1140" s="2" t="str">
        <f t="shared" si="16"/>
        <v>OK</v>
      </c>
    </row>
    <row r="1141" spans="1:4" x14ac:dyDescent="0.2">
      <c r="A1141" s="5">
        <v>1080</v>
      </c>
      <c r="B1141" s="138">
        <f>'Expenditures 15-22'!K72</f>
        <v>108017</v>
      </c>
      <c r="C1141" s="2" t="s">
        <v>594</v>
      </c>
      <c r="D1141" s="2" t="str">
        <f t="shared" si="16"/>
        <v>Error?</v>
      </c>
    </row>
    <row r="1142" spans="1:4" x14ac:dyDescent="0.2">
      <c r="A1142" s="5">
        <v>1081</v>
      </c>
      <c r="B1142" s="138">
        <f>'Expenditures 15-22'!K73</f>
        <v>600072</v>
      </c>
      <c r="C1142" s="2" t="s">
        <v>594</v>
      </c>
      <c r="D1142" s="2" t="str">
        <f t="shared" si="16"/>
        <v>Error?</v>
      </c>
    </row>
    <row r="1143" spans="1:4" x14ac:dyDescent="0.2">
      <c r="A1143" s="5">
        <v>1082</v>
      </c>
      <c r="B1143" s="138">
        <f>'Expenditures 15-22'!K74</f>
        <v>3997417</v>
      </c>
      <c r="C1143" s="2" t="s">
        <v>594</v>
      </c>
      <c r="D1143" s="2" t="str">
        <f t="shared" si="16"/>
        <v>Error?</v>
      </c>
    </row>
    <row r="1144" spans="1:4" x14ac:dyDescent="0.2">
      <c r="A1144" s="5">
        <v>1083</v>
      </c>
      <c r="B1144" s="138">
        <f>'Expenditures 15-22'!K75</f>
        <v>88</v>
      </c>
      <c r="C1144" s="2" t="s">
        <v>594</v>
      </c>
      <c r="D1144" s="2" t="str">
        <f t="shared" si="16"/>
        <v>Error?</v>
      </c>
    </row>
    <row r="1145" spans="1:4" x14ac:dyDescent="0.2">
      <c r="A1145" s="5">
        <v>1084</v>
      </c>
      <c r="B1145" s="138">
        <f>'Expenditures 15-22'!K102</f>
        <v>161426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6478027</v>
      </c>
      <c r="C1152" s="2" t="s">
        <v>594</v>
      </c>
      <c r="D1152" s="2" t="str">
        <f t="shared" si="17"/>
        <v>Error?</v>
      </c>
    </row>
    <row r="1153" spans="1:4" x14ac:dyDescent="0.2">
      <c r="A1153" s="5">
        <v>1092</v>
      </c>
      <c r="B1153" s="138">
        <f>'Expenditures 15-22'!K115</f>
        <v>390562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3765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2074264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2464826</v>
      </c>
      <c r="C1630" s="2" t="s">
        <v>594</v>
      </c>
      <c r="D1630" s="2" t="str">
        <f t="shared" si="24"/>
        <v>Error?</v>
      </c>
    </row>
    <row r="1631" spans="1:4" x14ac:dyDescent="0.2">
      <c r="A1631" s="5">
        <v>1570</v>
      </c>
      <c r="B1631" s="138">
        <f>'Acct Summary 7-8'!D79</f>
        <v>288738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292503</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100665</v>
      </c>
      <c r="D2008" s="2" t="str">
        <f t="shared" si="30"/>
        <v>Error?</v>
      </c>
    </row>
    <row r="2009" spans="1:4" x14ac:dyDescent="0.2">
      <c r="A2009" s="5">
        <v>1948</v>
      </c>
      <c r="B2009" s="138">
        <f>'Cap Outlay Deprec 26'!C8</f>
        <v>2117737</v>
      </c>
      <c r="D2009" s="2" t="str">
        <f t="shared" si="30"/>
        <v>Error?</v>
      </c>
    </row>
    <row r="2010" spans="1:4" x14ac:dyDescent="0.2">
      <c r="A2010" s="5">
        <v>1949</v>
      </c>
      <c r="B2010" s="138">
        <f>'Cap Outlay Deprec 26'!C10</f>
        <v>264560</v>
      </c>
      <c r="D2010" s="2" t="str">
        <f t="shared" si="30"/>
        <v>Error?</v>
      </c>
    </row>
    <row r="2011" spans="1:4" x14ac:dyDescent="0.2">
      <c r="A2011" s="5">
        <v>1950</v>
      </c>
      <c r="B2011" s="138">
        <f>'Cap Outlay Deprec 26'!C12</f>
        <v>2542545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5240364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18564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3534</v>
      </c>
      <c r="D2017" s="2" t="str">
        <f t="shared" si="30"/>
        <v>Error?</v>
      </c>
    </row>
    <row r="2018" spans="1:4" x14ac:dyDescent="0.2">
      <c r="A2018" s="5">
        <v>1957</v>
      </c>
      <c r="B2018" s="138">
        <f>'Cap Outlay Deprec 26'!D13</f>
        <v>16590</v>
      </c>
      <c r="D2018" s="2" t="str">
        <f t="shared" si="30"/>
        <v>Error?</v>
      </c>
    </row>
    <row r="2019" spans="1:4" x14ac:dyDescent="0.2">
      <c r="A2019" s="5">
        <v>1958</v>
      </c>
      <c r="B2019" s="138">
        <f>'Cap Outlay Deprec 26'!D16</f>
        <v>38688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100665</v>
      </c>
      <c r="C2026" s="2" t="s">
        <v>594</v>
      </c>
      <c r="D2026" s="2" t="str">
        <f t="shared" si="30"/>
        <v>Error?</v>
      </c>
    </row>
    <row r="2027" spans="1:4" x14ac:dyDescent="0.2">
      <c r="A2027" s="5">
        <v>1966</v>
      </c>
      <c r="B2027" s="138">
        <f>'Cap Outlay Deprec 26'!F8</f>
        <v>2136301</v>
      </c>
      <c r="C2027" s="2" t="s">
        <v>594</v>
      </c>
      <c r="D2027" s="2" t="str">
        <f t="shared" si="30"/>
        <v>Error?</v>
      </c>
    </row>
    <row r="2028" spans="1:4" x14ac:dyDescent="0.2">
      <c r="A2028" s="5">
        <v>1967</v>
      </c>
      <c r="B2028" s="138">
        <f>'Cap Outlay Deprec 26'!F10</f>
        <v>264560</v>
      </c>
      <c r="C2028" s="2" t="s">
        <v>594</v>
      </c>
      <c r="D2028" s="2" t="str">
        <f t="shared" si="30"/>
        <v>Error?</v>
      </c>
    </row>
    <row r="2029" spans="1:4" x14ac:dyDescent="0.2">
      <c r="A2029" s="5">
        <v>1968</v>
      </c>
      <c r="B2029" s="138">
        <f>'Cap Outlay Deprec 26'!F12</f>
        <v>2546079</v>
      </c>
      <c r="C2029" s="2" t="s">
        <v>594</v>
      </c>
      <c r="D2029" s="2" t="str">
        <f t="shared" si="30"/>
        <v>Error?</v>
      </c>
    </row>
    <row r="2030" spans="1:4" x14ac:dyDescent="0.2">
      <c r="A2030" s="5">
        <v>1969</v>
      </c>
      <c r="B2030" s="138">
        <f>'Cap Outlay Deprec 26'!F13</f>
        <v>16590</v>
      </c>
      <c r="C2030" s="2" t="s">
        <v>594</v>
      </c>
      <c r="D2030" s="2" t="str">
        <f t="shared" si="30"/>
        <v>Error?</v>
      </c>
    </row>
    <row r="2031" spans="1:4" x14ac:dyDescent="0.2">
      <c r="A2031" s="5">
        <v>1970</v>
      </c>
      <c r="B2031" s="138">
        <f>'Cap Outlay Deprec 26'!F16</f>
        <v>5279052</v>
      </c>
      <c r="C2031" s="2" t="s">
        <v>594</v>
      </c>
      <c r="D2031" s="2" t="str">
        <f t="shared" si="30"/>
        <v>Error?</v>
      </c>
    </row>
    <row r="2032" spans="1:4" x14ac:dyDescent="0.2">
      <c r="A2032" s="10">
        <v>1971</v>
      </c>
      <c r="D2032" s="2" t="str">
        <f t="shared" si="30"/>
        <v>OK</v>
      </c>
    </row>
    <row r="2033" spans="1:4" x14ac:dyDescent="0.2">
      <c r="A2033" s="5">
        <v>1972</v>
      </c>
      <c r="B2033" s="138">
        <f>'Cap Outlay Deprec 26'!H8</f>
        <v>1018901</v>
      </c>
      <c r="D2033" s="2" t="str">
        <f t="shared" si="30"/>
        <v>Error?</v>
      </c>
    </row>
    <row r="2034" spans="1:4" x14ac:dyDescent="0.2">
      <c r="A2034" s="5">
        <v>1973</v>
      </c>
      <c r="B2034" s="138">
        <f>'Cap Outlay Deprec 26'!H10</f>
        <v>66962</v>
      </c>
      <c r="D2034" s="2" t="str">
        <f t="shared" si="30"/>
        <v>Error?</v>
      </c>
    </row>
    <row r="2035" spans="1:4" x14ac:dyDescent="0.2">
      <c r="A2035" s="5">
        <v>1974</v>
      </c>
      <c r="B2035" s="138">
        <f>'Cap Outlay Deprec 26'!H12</f>
        <v>2350202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3650922</v>
      </c>
      <c r="C2037" s="2" t="s">
        <v>594</v>
      </c>
      <c r="D2037" s="2" t="str">
        <f t="shared" si="30"/>
        <v>Error?</v>
      </c>
    </row>
    <row r="2038" spans="1:4" x14ac:dyDescent="0.2">
      <c r="A2038" s="10">
        <v>1977</v>
      </c>
      <c r="D2038" s="2" t="str">
        <f t="shared" si="30"/>
        <v>OK</v>
      </c>
    </row>
    <row r="2039" spans="1:4" x14ac:dyDescent="0.2">
      <c r="A2039" s="5">
        <v>1978</v>
      </c>
      <c r="B2039" s="138">
        <f>'Cap Outlay Deprec 26'!I8</f>
        <v>42540</v>
      </c>
      <c r="D2039" s="2" t="str">
        <f t="shared" si="30"/>
        <v>Error?</v>
      </c>
    </row>
    <row r="2040" spans="1:4" x14ac:dyDescent="0.2">
      <c r="A2040" s="5">
        <v>1979</v>
      </c>
      <c r="B2040" s="138">
        <f>'Cap Outlay Deprec 26'!I10</f>
        <v>12849</v>
      </c>
      <c r="D2040" s="2" t="str">
        <f t="shared" si="30"/>
        <v>Error?</v>
      </c>
    </row>
    <row r="2041" spans="1:4" x14ac:dyDescent="0.2">
      <c r="A2041" s="5">
        <v>1980</v>
      </c>
      <c r="B2041" s="138">
        <f>'Cap Outlay Deprec 26'!I12</f>
        <v>33363</v>
      </c>
      <c r="D2041" s="2" t="str">
        <f t="shared" si="30"/>
        <v>Error?</v>
      </c>
    </row>
    <row r="2042" spans="1:4" x14ac:dyDescent="0.2">
      <c r="A2042" s="5">
        <v>1981</v>
      </c>
      <c r="B2042" s="138">
        <f>'Cap Outlay Deprec 26'!I13</f>
        <v>1659</v>
      </c>
      <c r="D2042" s="2" t="str">
        <f t="shared" si="30"/>
        <v>Error?</v>
      </c>
    </row>
    <row r="2043" spans="1:4" x14ac:dyDescent="0.2">
      <c r="A2043" s="5">
        <v>1982</v>
      </c>
      <c r="B2043" s="138">
        <f>'Cap Outlay Deprec 26'!I16</f>
        <v>90411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1061441</v>
      </c>
      <c r="C2051" s="2" t="s">
        <v>594</v>
      </c>
      <c r="D2051" s="2" t="str">
        <f t="shared" si="31"/>
        <v>Error?</v>
      </c>
    </row>
    <row r="2052" spans="1:4" x14ac:dyDescent="0.2">
      <c r="A2052" s="5">
        <v>1991</v>
      </c>
      <c r="B2052" s="138">
        <f>'Cap Outlay Deprec 26'!K10</f>
        <v>79811</v>
      </c>
      <c r="C2052" s="2" t="s">
        <v>594</v>
      </c>
      <c r="D2052" s="2" t="str">
        <f t="shared" si="31"/>
        <v>Error?</v>
      </c>
    </row>
    <row r="2053" spans="1:4" x14ac:dyDescent="0.2">
      <c r="A2053" s="5">
        <v>1992</v>
      </c>
      <c r="B2053" s="138">
        <f>'Cap Outlay Deprec 26'!K12</f>
        <v>2383565</v>
      </c>
      <c r="C2053" s="2" t="s">
        <v>594</v>
      </c>
      <c r="D2053" s="2" t="str">
        <f t="shared" si="31"/>
        <v>Error?</v>
      </c>
    </row>
    <row r="2054" spans="1:4" x14ac:dyDescent="0.2">
      <c r="A2054" s="5">
        <v>1993</v>
      </c>
      <c r="B2054" s="138">
        <f>'Cap Outlay Deprec 26'!K13</f>
        <v>1659</v>
      </c>
      <c r="C2054" s="2" t="s">
        <v>594</v>
      </c>
      <c r="D2054" s="2" t="str">
        <f t="shared" si="31"/>
        <v>Error?</v>
      </c>
    </row>
    <row r="2055" spans="1:4" x14ac:dyDescent="0.2">
      <c r="A2055" s="5">
        <v>1994</v>
      </c>
      <c r="B2055" s="138">
        <f>'Cap Outlay Deprec 26'!K16</f>
        <v>3741333</v>
      </c>
      <c r="C2055" s="2" t="s">
        <v>594</v>
      </c>
      <c r="D2055" s="2" t="str">
        <f t="shared" si="31"/>
        <v>Error?</v>
      </c>
    </row>
    <row r="2056" spans="1:4" x14ac:dyDescent="0.2">
      <c r="A2056" s="5">
        <v>1995</v>
      </c>
      <c r="B2056" s="138">
        <f>'Cap Outlay Deprec 26'!L5</f>
        <v>100665</v>
      </c>
      <c r="C2056" s="2" t="s">
        <v>594</v>
      </c>
      <c r="D2056" s="2" t="str">
        <f t="shared" si="31"/>
        <v>Error?</v>
      </c>
    </row>
    <row r="2057" spans="1:4" x14ac:dyDescent="0.2">
      <c r="A2057" s="5">
        <v>1996</v>
      </c>
      <c r="B2057" s="138">
        <f>'Cap Outlay Deprec 26'!L8</f>
        <v>1074860</v>
      </c>
      <c r="C2057" s="2" t="s">
        <v>594</v>
      </c>
      <c r="D2057" s="2" t="str">
        <f t="shared" si="31"/>
        <v>Error?</v>
      </c>
    </row>
    <row r="2058" spans="1:4" x14ac:dyDescent="0.2">
      <c r="A2058" s="5">
        <v>1997</v>
      </c>
      <c r="B2058" s="138">
        <f>'Cap Outlay Deprec 26'!L10</f>
        <v>184749</v>
      </c>
      <c r="C2058" s="2" t="s">
        <v>594</v>
      </c>
      <c r="D2058" s="2" t="str">
        <f t="shared" si="31"/>
        <v>Error?</v>
      </c>
    </row>
    <row r="2059" spans="1:4" x14ac:dyDescent="0.2">
      <c r="A2059" s="5">
        <v>1998</v>
      </c>
      <c r="B2059" s="138">
        <f>'Cap Outlay Deprec 26'!L12</f>
        <v>162514</v>
      </c>
      <c r="C2059" s="2" t="s">
        <v>594</v>
      </c>
      <c r="D2059" s="2" t="str">
        <f t="shared" si="31"/>
        <v>Error?</v>
      </c>
    </row>
    <row r="2060" spans="1:4" x14ac:dyDescent="0.2">
      <c r="A2060" s="5">
        <v>1999</v>
      </c>
      <c r="B2060" s="138">
        <f>'Cap Outlay Deprec 26'!L13</f>
        <v>14931</v>
      </c>
      <c r="C2060" s="2" t="s">
        <v>594</v>
      </c>
      <c r="D2060" s="2" t="str">
        <f t="shared" si="31"/>
        <v>Error?</v>
      </c>
    </row>
    <row r="2061" spans="1:4" x14ac:dyDescent="0.2">
      <c r="A2061" s="5">
        <v>2000</v>
      </c>
      <c r="B2061" s="138">
        <f>'Cap Outlay Deprec 26'!L16</f>
        <v>1537719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129931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129931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2529222</v>
      </c>
      <c r="C2551" s="2" t="s">
        <v>594</v>
      </c>
      <c r="D2551" s="2" t="str">
        <f t="shared" si="38"/>
        <v>Error?</v>
      </c>
    </row>
    <row r="2552" spans="1:4" x14ac:dyDescent="0.2">
      <c r="A2552" s="10">
        <v>2491</v>
      </c>
      <c r="D2552" s="2" t="str">
        <f t="shared" si="38"/>
        <v>OK</v>
      </c>
    </row>
    <row r="2553" spans="1:4" x14ac:dyDescent="0.2">
      <c r="A2553" s="5">
        <v>2492</v>
      </c>
      <c r="B2553" s="138">
        <f>'Acct Summary 7-8'!C6</f>
        <v>830499</v>
      </c>
      <c r="C2553" s="2" t="s">
        <v>594</v>
      </c>
      <c r="D2553" s="2" t="str">
        <f t="shared" si="38"/>
        <v>Error?</v>
      </c>
    </row>
    <row r="2554" spans="1:4" x14ac:dyDescent="0.2">
      <c r="A2554" s="5">
        <v>2493</v>
      </c>
      <c r="B2554" s="138">
        <f>'Acct Summary 7-8'!C7</f>
        <v>3508868</v>
      </c>
      <c r="C2554" s="2" t="s">
        <v>594</v>
      </c>
      <c r="D2554" s="2" t="str">
        <f t="shared" si="38"/>
        <v>Error?</v>
      </c>
    </row>
    <row r="2555" spans="1:4" x14ac:dyDescent="0.2">
      <c r="A2555" s="5">
        <v>2494</v>
      </c>
      <c r="B2555" s="138">
        <f>'Acct Summary 7-8'!C8</f>
        <v>6868589</v>
      </c>
      <c r="C2555" s="2" t="s">
        <v>594</v>
      </c>
      <c r="D2555" s="2" t="str">
        <f t="shared" si="38"/>
        <v>Error?</v>
      </c>
    </row>
    <row r="2556" spans="1:4" x14ac:dyDescent="0.2">
      <c r="A2556" s="5">
        <v>2495</v>
      </c>
      <c r="B2556" s="138">
        <f>'Acct Summary 7-8'!C12</f>
        <v>2319096</v>
      </c>
      <c r="C2556" s="2" t="s">
        <v>594</v>
      </c>
      <c r="D2556" s="2" t="str">
        <f t="shared" si="38"/>
        <v>Error?</v>
      </c>
    </row>
    <row r="2557" spans="1:4" x14ac:dyDescent="0.2">
      <c r="A2557" s="5">
        <v>2496</v>
      </c>
      <c r="B2557" s="138">
        <f>'Acct Summary 7-8'!C13</f>
        <v>3997417</v>
      </c>
      <c r="C2557" s="2" t="s">
        <v>594</v>
      </c>
      <c r="D2557" s="2" t="str">
        <f t="shared" si="38"/>
        <v>Error?</v>
      </c>
    </row>
    <row r="2558" spans="1:4" x14ac:dyDescent="0.2">
      <c r="A2558" s="5">
        <v>2497</v>
      </c>
      <c r="B2558" s="138">
        <f>'Acct Summary 7-8'!C14</f>
        <v>88</v>
      </c>
      <c r="C2558" s="2" t="s">
        <v>594</v>
      </c>
      <c r="D2558" s="2" t="str">
        <f t="shared" si="38"/>
        <v>Error?</v>
      </c>
    </row>
    <row r="2559" spans="1:4" x14ac:dyDescent="0.2">
      <c r="A2559" s="5">
        <v>2498</v>
      </c>
      <c r="B2559" s="138">
        <f>'Acct Summary 7-8'!C15</f>
        <v>161426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6478027</v>
      </c>
      <c r="C2561" s="2" t="s">
        <v>594</v>
      </c>
      <c r="D2561" s="2" t="str">
        <f t="shared" si="39"/>
        <v>Error?</v>
      </c>
    </row>
    <row r="2562" spans="1:4" x14ac:dyDescent="0.2">
      <c r="A2562" s="5">
        <v>2501</v>
      </c>
      <c r="B2562" s="138">
        <f>'Acct Summary 7-8'!C20</f>
        <v>390562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3765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3765</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3765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64227</v>
      </c>
      <c r="D2855" s="2" t="str">
        <f t="shared" si="43"/>
        <v>Error?</v>
      </c>
    </row>
    <row r="2856" spans="1:4" x14ac:dyDescent="0.2">
      <c r="A2856" s="5">
        <v>2795</v>
      </c>
      <c r="B2856" s="138">
        <f>'ICR Computation 30'!E12</f>
        <v>453</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105519</v>
      </c>
      <c r="D2860" s="2" t="str">
        <f t="shared" si="43"/>
        <v>Error?</v>
      </c>
    </row>
    <row r="2861" spans="1:4" x14ac:dyDescent="0.2">
      <c r="A2861" s="10">
        <v>2800</v>
      </c>
      <c r="D2861" s="2" t="str">
        <f t="shared" si="43"/>
        <v>OK</v>
      </c>
    </row>
    <row r="2862" spans="1:4" x14ac:dyDescent="0.2">
      <c r="A2862" s="5">
        <v>2801</v>
      </c>
      <c r="B2862" s="138">
        <f>'ICR Computation 30'!E9</f>
        <v>183442</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5176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5176</v>
      </c>
      <c r="D2914" s="2" t="str">
        <f t="shared" si="44"/>
        <v>Error?</v>
      </c>
    </row>
    <row r="2915" spans="1:4" x14ac:dyDescent="0.2">
      <c r="A2915" s="10">
        <v>2854</v>
      </c>
      <c r="D2915" s="2" t="str">
        <f t="shared" si="44"/>
        <v>OK</v>
      </c>
    </row>
    <row r="2916" spans="1:4" x14ac:dyDescent="0.2">
      <c r="A2916" s="5">
        <v>2855</v>
      </c>
      <c r="B2916" s="138">
        <f>'Assets-Liab 5-6'!L34</f>
        <v>5176</v>
      </c>
      <c r="C2916" s="2" t="s">
        <v>594</v>
      </c>
      <c r="D2916" s="2" t="str">
        <f t="shared" si="44"/>
        <v>Error?</v>
      </c>
    </row>
    <row r="2917" spans="1:4" x14ac:dyDescent="0.2">
      <c r="A2917" s="5">
        <v>2856</v>
      </c>
      <c r="B2917" s="138">
        <f>'Assets-Liab 5-6'!L41</f>
        <v>5176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129931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129931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390562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3765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1614741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635524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33594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31703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3534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2319096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2464826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292503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5176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25397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2018774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8887363</v>
      </c>
      <c r="C4122" s="2" t="s">
        <v>594</v>
      </c>
      <c r="D4122" s="2" t="str">
        <f t="shared" si="63"/>
        <v>Error?</v>
      </c>
    </row>
    <row r="4123" spans="1:4" x14ac:dyDescent="0.2">
      <c r="A4123" s="5">
        <v>4062</v>
      </c>
      <c r="B4123" s="138">
        <f>'Acct Summary 7-8'!D10</f>
        <v>3765</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2018774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8496801</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2757329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70794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226484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2502728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2502728</v>
      </c>
      <c r="C5087" s="2" t="s">
        <v>594</v>
      </c>
      <c r="D5087" s="2" t="str">
        <f t="shared" si="78"/>
        <v>Error?</v>
      </c>
    </row>
    <row r="5088" spans="1:4" x14ac:dyDescent="0.2">
      <c r="A5088" s="5">
        <v>5027</v>
      </c>
      <c r="B5088" s="138">
        <f>'Revenues 9-14'!C65</f>
        <v>16041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16041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310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7660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820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1583</v>
      </c>
      <c r="D5119" s="2" t="str">
        <f t="shared" ref="D5119:D5182" si="79">IF(ISBLANK(B5119),"OK",IF(A5119-B5119=0,"OK","Error?"))</f>
        <v>Error?</v>
      </c>
    </row>
    <row r="5120" spans="1:4" x14ac:dyDescent="0.2">
      <c r="A5120" s="5">
        <v>5059</v>
      </c>
      <c r="B5120" s="138">
        <f>'Revenues 9-14'!C108</f>
        <v>10063</v>
      </c>
      <c r="C5120" s="2" t="s">
        <v>594</v>
      </c>
      <c r="D5120" s="2" t="str">
        <f t="shared" si="79"/>
        <v>Error?</v>
      </c>
    </row>
    <row r="5121" spans="1:4" x14ac:dyDescent="0.2">
      <c r="A5121" s="5">
        <v>5060</v>
      </c>
      <c r="B5121" s="138">
        <f>'Revenues 9-14'!C109</f>
        <v>2529222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553297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553297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276534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276534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668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277202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830499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24663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12061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36724</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143514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3031352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3174866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3508868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3508868</v>
      </c>
      <c r="C5326" s="2" t="s">
        <v>594</v>
      </c>
      <c r="D5326" s="2" t="str">
        <f t="shared" si="82"/>
        <v>Error?</v>
      </c>
    </row>
    <row r="5327" spans="1:4" x14ac:dyDescent="0.2">
      <c r="A5327" s="5">
        <v>5266</v>
      </c>
      <c r="B5327" s="138">
        <f>'Revenues 9-14'!C275</f>
        <v>6868589</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3765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3765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3765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3765</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3921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390562</v>
      </c>
      <c r="D6267" s="2" t="str">
        <f t="shared" si="96"/>
        <v>Error?</v>
      </c>
      <c r="E6267" s="2" t="s">
        <v>199</v>
      </c>
    </row>
    <row r="6268" spans="1:5" x14ac:dyDescent="0.2">
      <c r="A6268">
        <v>6207</v>
      </c>
      <c r="B6268" s="138">
        <f>'Acct Summary 7-8'!D82</f>
        <v>3765</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0.15845418702983496</v>
      </c>
      <c r="D6276" s="2" t="str">
        <f t="shared" si="97"/>
        <v>Error?</v>
      </c>
      <c r="E6276" s="2" t="s">
        <v>199</v>
      </c>
    </row>
    <row r="6277" spans="1:5" x14ac:dyDescent="0.2">
      <c r="A6277">
        <v>6216</v>
      </c>
      <c r="B6277" s="138">
        <f>'Acct Summary 7-8'!D83</f>
        <v>1.2871662854739951E-2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60549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60549</v>
      </c>
      <c r="D6940" s="2" t="str">
        <f t="shared" si="107"/>
        <v>Error?</v>
      </c>
    </row>
    <row r="6941" spans="1:4" x14ac:dyDescent="0.2">
      <c r="A6941">
        <v>6880</v>
      </c>
      <c r="B6941" s="138">
        <f>'Expenditures 15-22'!L52</f>
        <v>72100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31495</v>
      </c>
      <c r="D7009" s="2" t="str">
        <f t="shared" si="108"/>
        <v>Error?</v>
      </c>
    </row>
    <row r="7010" spans="1:4" x14ac:dyDescent="0.2">
      <c r="A7010">
        <v>6949</v>
      </c>
      <c r="B7010" s="138">
        <f>'Expenditures 15-22'!K99</f>
        <v>31495</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31495</v>
      </c>
      <c r="D7012" s="2" t="str">
        <f t="shared" si="108"/>
        <v>Error?</v>
      </c>
    </row>
    <row r="7013" spans="1:4" x14ac:dyDescent="0.2">
      <c r="A7013">
        <v>6952</v>
      </c>
      <c r="B7013" s="138">
        <f>'Expenditures 15-22'!K100</f>
        <v>31495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214857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214857</v>
      </c>
      <c r="D7618" s="2" t="str">
        <f t="shared" si="124"/>
        <v>Error?</v>
      </c>
      <c r="E7618" s="2" t="s">
        <v>19</v>
      </c>
    </row>
    <row r="7619" spans="1:5" x14ac:dyDescent="0.2">
      <c r="A7619">
        <f t="shared" si="123"/>
        <v>7558</v>
      </c>
      <c r="B7619" s="138">
        <f>'Cap Outlay Deprec 26'!H14</f>
        <v>214857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214857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90411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31174</v>
      </c>
      <c r="D7797" s="2" t="str">
        <f t="shared" si="127"/>
        <v>Error?</v>
      </c>
      <c r="E7797" s="4" t="s">
        <v>2017</v>
      </c>
    </row>
    <row r="7798" spans="1:5" x14ac:dyDescent="0.2">
      <c r="A7798">
        <v>7737</v>
      </c>
      <c r="B7798" s="138">
        <f>'Contracts Paid in CY 29'!F141</f>
        <v>25000</v>
      </c>
      <c r="D7798" s="2" t="str">
        <f t="shared" si="127"/>
        <v>Error?</v>
      </c>
      <c r="E7798" s="4" t="s">
        <v>2017</v>
      </c>
    </row>
    <row r="7799" spans="1:5" x14ac:dyDescent="0.2">
      <c r="A7799">
        <v>7738</v>
      </c>
      <c r="B7799" s="138">
        <f>'Contracts Paid in CY 29'!G141</f>
        <v>6174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C60"/>
  <sheetViews>
    <sheetView showGridLines="0" showZeros="0" topLeftCell="A3" zoomScale="110" zoomScaleNormal="110" workbookViewId="0">
      <selection activeCell="B44" sqref="B4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8" t="s">
        <v>1253</v>
      </c>
      <c r="B2" s="2438"/>
      <c r="C2" s="2438"/>
      <c r="D2" s="2438"/>
      <c r="E2" s="2438"/>
      <c r="F2" s="2438"/>
      <c r="G2" s="2438"/>
      <c r="H2" s="2438"/>
      <c r="I2" s="2438"/>
      <c r="J2" s="2438"/>
      <c r="K2" s="2438"/>
      <c r="L2" s="2438"/>
    </row>
    <row r="3" spans="1:29" ht="13.5" customHeight="1" x14ac:dyDescent="0.2">
      <c r="A3" s="2424" t="s">
        <v>1252</v>
      </c>
      <c r="B3" s="2424"/>
      <c r="C3" s="2424"/>
      <c r="D3" s="2424"/>
      <c r="E3" s="2424"/>
      <c r="F3" s="2424"/>
      <c r="G3" s="2424"/>
      <c r="H3" s="2424"/>
      <c r="I3" s="2424"/>
      <c r="J3" s="2424"/>
      <c r="K3" s="2424"/>
      <c r="L3" s="2424"/>
    </row>
    <row r="4" spans="1:29" ht="13.5" customHeight="1" x14ac:dyDescent="0.2">
      <c r="A4" s="2438" t="s">
        <v>1799</v>
      </c>
      <c r="B4" s="2455"/>
      <c r="C4" s="2455"/>
      <c r="D4" s="2455"/>
      <c r="E4" s="2455"/>
      <c r="F4" s="2455"/>
      <c r="G4" s="2455"/>
      <c r="H4" s="2455"/>
      <c r="I4" s="2455"/>
      <c r="J4" s="2455"/>
      <c r="K4" s="2455"/>
      <c r="L4" s="245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8" t="str">
        <f>COVER!A17</f>
        <v>Four Rivers Special Education District</v>
      </c>
      <c r="B7" s="2419"/>
      <c r="C7" s="2419"/>
      <c r="D7" s="2456"/>
      <c r="E7" s="2457">
        <f>COVER!A13</f>
        <v>1069801060</v>
      </c>
      <c r="F7" s="2458"/>
      <c r="G7" s="2425" t="str">
        <f>COVER!T23</f>
        <v>066-004993</v>
      </c>
      <c r="H7" s="2426"/>
      <c r="I7" s="2426"/>
      <c r="J7" s="2426"/>
      <c r="K7" s="2426"/>
      <c r="L7" s="242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8"/>
      <c r="B9" s="2429"/>
      <c r="C9" s="2429"/>
      <c r="D9" s="2429"/>
      <c r="E9" s="2429"/>
      <c r="F9" s="2430"/>
      <c r="G9" s="2431" t="str">
        <f>COVER!T13</f>
        <v>Zumbahlen, Eyth, Surratt, Foote &amp; Flynn, LTD.</v>
      </c>
      <c r="H9" s="2432"/>
      <c r="I9" s="2432"/>
      <c r="J9" s="2432"/>
      <c r="K9" s="2432"/>
      <c r="L9" s="2433"/>
    </row>
    <row r="10" spans="1:29" ht="13.5" customHeight="1" x14ac:dyDescent="0.2">
      <c r="A10" s="2415" t="str">
        <f>COVER!A38</f>
        <v>Christiane Pennell</v>
      </c>
      <c r="B10" s="2416"/>
      <c r="C10" s="2416"/>
      <c r="D10" s="2416"/>
      <c r="E10" s="2416"/>
      <c r="F10" s="2417"/>
      <c r="G10" s="2431" t="str">
        <f>COVER!T17</f>
        <v>1395 Lincoln Ave.</v>
      </c>
      <c r="H10" s="2444"/>
      <c r="I10" s="2444"/>
      <c r="J10" s="2444"/>
      <c r="K10" s="2444"/>
      <c r="L10" s="2445"/>
    </row>
    <row r="11" spans="1:29" ht="13.5" customHeight="1" x14ac:dyDescent="0.2">
      <c r="A11" s="1185" t="s">
        <v>1599</v>
      </c>
      <c r="B11" s="1186"/>
      <c r="C11" s="1187"/>
      <c r="D11" s="1192"/>
      <c r="E11" s="1187"/>
      <c r="F11" s="1191"/>
      <c r="G11" s="2431" t="str">
        <f>COVER!T19</f>
        <v>Jacksonville</v>
      </c>
      <c r="H11" s="2444"/>
      <c r="I11" s="2444"/>
      <c r="J11" s="2444"/>
      <c r="K11" s="2444"/>
      <c r="L11" s="2445"/>
    </row>
    <row r="12" spans="1:29" ht="13.5" customHeight="1" x14ac:dyDescent="0.2">
      <c r="A12" s="2449" t="s">
        <v>1598</v>
      </c>
      <c r="B12" s="2450"/>
      <c r="C12" s="2450"/>
      <c r="D12" s="2450"/>
      <c r="E12" s="2450"/>
      <c r="F12" s="2451"/>
      <c r="G12" s="2446"/>
      <c r="H12" s="2447"/>
      <c r="I12" s="2447"/>
      <c r="J12" s="2447"/>
      <c r="K12" s="2447"/>
      <c r="L12" s="2448"/>
    </row>
    <row r="13" spans="1:29" ht="13.5" customHeight="1" x14ac:dyDescent="0.2">
      <c r="A13" s="2431"/>
      <c r="B13" s="2444"/>
      <c r="C13" s="2444"/>
      <c r="D13" s="2444"/>
      <c r="E13" s="2444"/>
      <c r="F13" s="2445"/>
      <c r="G13" s="2439" t="s">
        <v>1600</v>
      </c>
      <c r="H13" s="2440"/>
      <c r="I13" s="2452" t="str">
        <f>COVER!T25</f>
        <v>awithee@zescpa.com</v>
      </c>
      <c r="J13" s="2453"/>
      <c r="K13" s="2453"/>
      <c r="L13" s="2454"/>
    </row>
    <row r="14" spans="1:29" ht="13.5" customHeight="1" x14ac:dyDescent="0.2">
      <c r="A14" s="2431" t="str">
        <f>COVER!A19</f>
        <v>936 W. Michigan Ave.</v>
      </c>
      <c r="B14" s="2444"/>
      <c r="C14" s="2444"/>
      <c r="D14" s="2444"/>
      <c r="E14" s="2444"/>
      <c r="F14" s="2445"/>
      <c r="G14" s="1196" t="s">
        <v>1247</v>
      </c>
      <c r="H14" s="1194"/>
      <c r="I14" s="1194"/>
      <c r="J14" s="1194"/>
      <c r="K14" s="1194"/>
      <c r="L14" s="1195"/>
    </row>
    <row r="15" spans="1:29" ht="13.5" customHeight="1" x14ac:dyDescent="0.2">
      <c r="A15" s="2431" t="str">
        <f>COVER!A21</f>
        <v>Jacksonville</v>
      </c>
      <c r="B15" s="2444"/>
      <c r="C15" s="2444"/>
      <c r="D15" s="2444"/>
      <c r="E15" s="2444"/>
      <c r="F15" s="2445"/>
      <c r="G15" s="2441" t="str">
        <f>COVER!T15</f>
        <v>Adam Withee</v>
      </c>
      <c r="H15" s="2442"/>
      <c r="I15" s="2442"/>
      <c r="J15" s="2442"/>
      <c r="K15" s="2442"/>
      <c r="L15" s="2443"/>
    </row>
    <row r="16" spans="1:29" ht="12.2" customHeight="1" x14ac:dyDescent="0.2">
      <c r="A16" s="2421">
        <f>COVER!A25</f>
        <v>62650</v>
      </c>
      <c r="B16" s="2422"/>
      <c r="C16" s="2422"/>
      <c r="D16" s="2422"/>
      <c r="E16" s="2422"/>
      <c r="F16" s="2423"/>
      <c r="G16" s="2434"/>
      <c r="H16" s="2435"/>
      <c r="I16" s="2435"/>
      <c r="J16" s="2435"/>
      <c r="K16" s="2435"/>
      <c r="L16" s="2436"/>
    </row>
    <row r="17" spans="1:13" ht="12.2" customHeight="1" x14ac:dyDescent="0.2">
      <c r="A17" s="2437"/>
      <c r="B17" s="2422"/>
      <c r="C17" s="2422"/>
      <c r="D17" s="2422"/>
      <c r="E17" s="2422"/>
      <c r="F17" s="2423"/>
      <c r="G17" s="1196" t="s">
        <v>1246</v>
      </c>
      <c r="H17" s="1194"/>
      <c r="I17" s="1194"/>
      <c r="J17" s="1194"/>
      <c r="K17" s="1198" t="s">
        <v>1245</v>
      </c>
      <c r="L17" s="1191"/>
      <c r="M17" s="1184"/>
    </row>
    <row r="18" spans="1:13" ht="12.2" customHeight="1" x14ac:dyDescent="0.2">
      <c r="A18" s="2415"/>
      <c r="B18" s="2416"/>
      <c r="C18" s="2416"/>
      <c r="D18" s="2416"/>
      <c r="E18" s="2416"/>
      <c r="F18" s="2417"/>
      <c r="G18" s="2418" t="str">
        <f>COVER!T21</f>
        <v>217-245-5121</v>
      </c>
      <c r="H18" s="2419"/>
      <c r="I18" s="2419"/>
      <c r="J18" s="2419"/>
      <c r="K18" s="2418" t="str">
        <f>COVER!X21</f>
        <v>217-243-3356</v>
      </c>
      <c r="L18" s="242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K127"/>
  <sheetViews>
    <sheetView showGridLines="0" topLeftCell="A69" zoomScale="125" zoomScaleNormal="125" workbookViewId="0">
      <selection activeCell="D126" sqref="D126"/>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9" t="str">
        <f>'Single Audit Cover'!A7</f>
        <v>Four Rivers Special Education District</v>
      </c>
      <c r="B1" s="2455"/>
      <c r="C1" s="2455"/>
      <c r="D1" s="2455"/>
    </row>
    <row r="2" spans="1:11" s="1215" customFormat="1" ht="12.75" x14ac:dyDescent="0.2">
      <c r="A2" s="2460">
        <f>'Single Audit Cover'!E7</f>
        <v>1069801060</v>
      </c>
      <c r="B2" s="2461"/>
      <c r="C2" s="2461"/>
      <c r="D2" s="2461"/>
    </row>
    <row r="3" spans="1:11" s="1215" customFormat="1" ht="12.75" x14ac:dyDescent="0.2">
      <c r="A3" s="2459" t="s">
        <v>1593</v>
      </c>
      <c r="B3" s="2455"/>
      <c r="C3" s="2455"/>
      <c r="D3" s="245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2074</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2074</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2074</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2074</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2074</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2074</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2074</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2074</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2074</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2074</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2074</v>
      </c>
      <c r="C42" s="1232">
        <v>11</v>
      </c>
      <c r="D42" s="1243" t="s">
        <v>1655</v>
      </c>
      <c r="E42" s="312"/>
    </row>
    <row r="43" spans="1:5" ht="3" customHeight="1" x14ac:dyDescent="0.2">
      <c r="A43" s="1222"/>
      <c r="B43" s="1239"/>
      <c r="C43" s="1240"/>
      <c r="D43" s="1221"/>
    </row>
    <row r="44" spans="1:5" x14ac:dyDescent="0.2">
      <c r="A44" s="1222"/>
      <c r="B44" s="1225" t="s">
        <v>2074</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2074</v>
      </c>
      <c r="C48" s="1226">
        <f>C44+1</f>
        <v>13</v>
      </c>
      <c r="D48" s="1237" t="s">
        <v>1656</v>
      </c>
    </row>
    <row r="49" spans="1:4" ht="3" customHeight="1" x14ac:dyDescent="0.2">
      <c r="A49" s="1222"/>
      <c r="B49" s="1229"/>
      <c r="C49" s="1226"/>
      <c r="D49" s="1237"/>
    </row>
    <row r="50" spans="1:4" x14ac:dyDescent="0.2">
      <c r="A50" s="1222"/>
      <c r="B50" s="1225" t="s">
        <v>2074</v>
      </c>
      <c r="C50" s="1226">
        <f>C48+1</f>
        <v>14</v>
      </c>
      <c r="D50" s="1237" t="s">
        <v>1274</v>
      </c>
    </row>
    <row r="51" spans="1:4" ht="3" customHeight="1" x14ac:dyDescent="0.2">
      <c r="A51" s="1222"/>
      <c r="B51" s="1229"/>
      <c r="C51" s="1226"/>
      <c r="D51" s="1237"/>
    </row>
    <row r="52" spans="1:4" x14ac:dyDescent="0.2">
      <c r="A52" s="1222"/>
      <c r="B52" s="1225" t="s">
        <v>2074</v>
      </c>
      <c r="C52" s="1226">
        <f>C50+1</f>
        <v>15</v>
      </c>
      <c r="D52" s="1237" t="s">
        <v>1273</v>
      </c>
    </row>
    <row r="53" spans="1:4" ht="3" customHeight="1" x14ac:dyDescent="0.2">
      <c r="A53" s="1222"/>
      <c r="B53" s="1229"/>
      <c r="C53" s="1226"/>
      <c r="D53" s="1237"/>
    </row>
    <row r="54" spans="1:4" x14ac:dyDescent="0.2">
      <c r="A54" s="1222"/>
      <c r="B54" s="1225" t="s">
        <v>2074</v>
      </c>
      <c r="C54" s="1226">
        <f>C52+1</f>
        <v>16</v>
      </c>
      <c r="D54" s="1237" t="s">
        <v>1272</v>
      </c>
    </row>
    <row r="55" spans="1:4" ht="3" customHeight="1" x14ac:dyDescent="0.2">
      <c r="A55" s="1222"/>
      <c r="B55" s="1229"/>
      <c r="C55" s="1226"/>
      <c r="D55" s="1237"/>
    </row>
    <row r="56" spans="1:4" x14ac:dyDescent="0.2">
      <c r="A56" s="1222"/>
      <c r="B56" s="1225" t="s">
        <v>2074</v>
      </c>
      <c r="C56" s="1226">
        <f>C54+1</f>
        <v>17</v>
      </c>
      <c r="D56" s="1221" t="s">
        <v>1811</v>
      </c>
    </row>
    <row r="57" spans="1:4" ht="10.5" customHeight="1" x14ac:dyDescent="0.2">
      <c r="A57" s="1222"/>
      <c r="D57" s="1237" t="s">
        <v>1812</v>
      </c>
    </row>
    <row r="58" spans="1:4" x14ac:dyDescent="0.2">
      <c r="A58" s="1222"/>
      <c r="C58" s="1244" t="s">
        <v>2074</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t="s">
        <v>2074</v>
      </c>
      <c r="C72" s="1226">
        <f>C56+1</f>
        <v>18</v>
      </c>
      <c r="D72" s="1247" t="s">
        <v>1817</v>
      </c>
    </row>
    <row r="73" spans="1:4" ht="3" customHeight="1" x14ac:dyDescent="0.2">
      <c r="A73" s="1222"/>
      <c r="B73" s="1229"/>
      <c r="C73" s="1226"/>
      <c r="D73" s="1247"/>
    </row>
    <row r="74" spans="1:4" x14ac:dyDescent="0.2">
      <c r="A74" s="1222"/>
      <c r="B74" s="1225" t="s">
        <v>2074</v>
      </c>
      <c r="C74" s="1226">
        <f>C72+1</f>
        <v>19</v>
      </c>
      <c r="D74" s="1237" t="s">
        <v>1267</v>
      </c>
    </row>
    <row r="75" spans="1:4" ht="3" customHeight="1" x14ac:dyDescent="0.2">
      <c r="A75" s="1222"/>
      <c r="B75" s="1229"/>
      <c r="C75" s="1226"/>
      <c r="D75" s="1237"/>
    </row>
    <row r="76" spans="1:4" x14ac:dyDescent="0.2">
      <c r="A76" s="1222"/>
      <c r="B76" s="1225" t="s">
        <v>2074</v>
      </c>
      <c r="C76" s="1226">
        <f>C74+1</f>
        <v>20</v>
      </c>
      <c r="D76" s="1248" t="s">
        <v>1818</v>
      </c>
    </row>
    <row r="77" spans="1:4" ht="3" customHeight="1" x14ac:dyDescent="0.2">
      <c r="A77" s="1222"/>
      <c r="B77" s="1229"/>
      <c r="C77" s="1226"/>
      <c r="D77" s="1248"/>
    </row>
    <row r="78" spans="1:4" x14ac:dyDescent="0.2">
      <c r="A78" s="1222"/>
      <c r="B78" s="1225" t="s">
        <v>2074</v>
      </c>
      <c r="C78" s="1226">
        <f>C76+1</f>
        <v>21</v>
      </c>
      <c r="D78" s="1221" t="s">
        <v>1819</v>
      </c>
    </row>
    <row r="79" spans="1:4" ht="3" customHeight="1" x14ac:dyDescent="0.2">
      <c r="A79" s="1222"/>
      <c r="B79" s="1229"/>
      <c r="C79" s="1226"/>
      <c r="D79" s="1221"/>
    </row>
    <row r="80" spans="1:4" x14ac:dyDescent="0.2">
      <c r="A80" s="1222"/>
      <c r="B80" s="1225" t="s">
        <v>2074</v>
      </c>
      <c r="C80" s="1226">
        <f>C78+1</f>
        <v>22</v>
      </c>
      <c r="D80" s="1249" t="s">
        <v>1820</v>
      </c>
    </row>
    <row r="81" spans="1:4" ht="3" customHeight="1" x14ac:dyDescent="0.2">
      <c r="A81" s="1222"/>
      <c r="B81" s="1229"/>
      <c r="C81" s="1226"/>
      <c r="D81" s="1249"/>
    </row>
    <row r="82" spans="1:4" x14ac:dyDescent="0.2">
      <c r="A82" s="1222"/>
      <c r="B82" s="1225" t="s">
        <v>2074</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2074</v>
      </c>
      <c r="C85" s="1226">
        <f>C82+1</f>
        <v>24</v>
      </c>
      <c r="D85" s="1237" t="s">
        <v>1265</v>
      </c>
    </row>
    <row r="86" spans="1:4" ht="3" customHeight="1" x14ac:dyDescent="0.2">
      <c r="A86" s="1222"/>
      <c r="B86" s="1229"/>
      <c r="C86" s="1226"/>
      <c r="D86" s="1237"/>
    </row>
    <row r="87" spans="1:4" x14ac:dyDescent="0.2">
      <c r="A87" s="1222"/>
      <c r="B87" s="1225" t="s">
        <v>2074</v>
      </c>
      <c r="C87" s="1226">
        <f>C85+1</f>
        <v>25</v>
      </c>
      <c r="D87" s="1237" t="s">
        <v>1264</v>
      </c>
    </row>
    <row r="88" spans="1:4" ht="3" customHeight="1" x14ac:dyDescent="0.2">
      <c r="A88" s="1222"/>
      <c r="B88" s="1229"/>
      <c r="C88" s="1226"/>
      <c r="D88" s="1237"/>
    </row>
    <row r="89" spans="1:4" x14ac:dyDescent="0.2">
      <c r="A89" s="1222"/>
      <c r="B89" s="1225" t="s">
        <v>2074</v>
      </c>
      <c r="C89" s="1226">
        <f>C87+1</f>
        <v>26</v>
      </c>
      <c r="D89" s="1237" t="s">
        <v>1263</v>
      </c>
    </row>
    <row r="90" spans="1:4" ht="3" customHeight="1" x14ac:dyDescent="0.2">
      <c r="A90" s="1222"/>
      <c r="B90" s="1229"/>
      <c r="C90" s="1226"/>
      <c r="D90" s="1237"/>
    </row>
    <row r="91" spans="1:4" x14ac:dyDescent="0.2">
      <c r="A91" s="1222"/>
      <c r="B91" s="1225" t="s">
        <v>2074</v>
      </c>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2074</v>
      </c>
      <c r="C96" s="1226">
        <f>C91+1</f>
        <v>28</v>
      </c>
      <c r="D96" s="1237" t="s">
        <v>1823</v>
      </c>
    </row>
    <row r="97" spans="1:4" ht="3" customHeight="1" x14ac:dyDescent="0.2">
      <c r="A97" s="1222"/>
      <c r="B97" s="1229"/>
      <c r="C97" s="1226"/>
      <c r="D97" s="1237"/>
    </row>
    <row r="98" spans="1:4" x14ac:dyDescent="0.2">
      <c r="A98" s="1222"/>
      <c r="B98" s="1225" t="s">
        <v>2074</v>
      </c>
      <c r="C98" s="1226">
        <f>C96+1</f>
        <v>29</v>
      </c>
      <c r="D98" s="1251" t="s">
        <v>1824</v>
      </c>
    </row>
    <row r="99" spans="1:4" ht="3" customHeight="1" x14ac:dyDescent="0.2">
      <c r="A99" s="1222"/>
      <c r="B99" s="1229"/>
      <c r="C99" s="1226"/>
      <c r="D99" s="1251"/>
    </row>
    <row r="100" spans="1:4" x14ac:dyDescent="0.2">
      <c r="A100" s="1222"/>
      <c r="B100" s="1225" t="s">
        <v>2074</v>
      </c>
      <c r="C100" s="1226">
        <f>C98+1</f>
        <v>30</v>
      </c>
      <c r="D100" s="1237" t="s">
        <v>1825</v>
      </c>
    </row>
    <row r="101" spans="1:4" ht="3" customHeight="1" x14ac:dyDescent="0.2">
      <c r="A101" s="1222"/>
      <c r="B101" s="1229"/>
      <c r="C101" s="1226"/>
      <c r="D101" s="1252"/>
    </row>
    <row r="102" spans="1:4" x14ac:dyDescent="0.2">
      <c r="A102" s="1222"/>
      <c r="B102" s="1225" t="s">
        <v>2074</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2074</v>
      </c>
      <c r="C106" s="1226">
        <f>C102+1</f>
        <v>32</v>
      </c>
      <c r="D106" s="1221" t="s">
        <v>1661</v>
      </c>
    </row>
    <row r="107" spans="1:4" ht="3" customHeight="1" x14ac:dyDescent="0.2">
      <c r="A107" s="1222"/>
      <c r="B107" s="1229"/>
      <c r="C107" s="1226"/>
      <c r="D107" s="1221"/>
    </row>
    <row r="108" spans="1:4" x14ac:dyDescent="0.2">
      <c r="A108" s="1222"/>
      <c r="B108" s="1225" t="s">
        <v>2074</v>
      </c>
      <c r="C108" s="1226">
        <v>33</v>
      </c>
      <c r="D108" s="1221" t="s">
        <v>1826</v>
      </c>
    </row>
    <row r="109" spans="1:4" ht="3" customHeight="1" x14ac:dyDescent="0.2">
      <c r="A109" s="1222"/>
      <c r="B109" s="1229"/>
      <c r="C109" s="1226"/>
      <c r="D109" s="1221"/>
    </row>
    <row r="110" spans="1:4" x14ac:dyDescent="0.2">
      <c r="A110" s="1222"/>
      <c r="B110" s="1225" t="s">
        <v>2074</v>
      </c>
      <c r="C110" s="1226">
        <f>C108+1</f>
        <v>34</v>
      </c>
      <c r="D110" s="1221" t="s">
        <v>1260</v>
      </c>
    </row>
    <row r="111" spans="1:4" ht="3" customHeight="1" x14ac:dyDescent="0.2">
      <c r="A111" s="1222"/>
      <c r="B111" s="1229"/>
      <c r="C111" s="1226"/>
      <c r="D111" s="1221"/>
    </row>
    <row r="112" spans="1:4" x14ac:dyDescent="0.2">
      <c r="A112" s="1222"/>
      <c r="B112" s="1225" t="s">
        <v>2074</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2074</v>
      </c>
      <c r="C115" s="1226">
        <f>C112+1</f>
        <v>36</v>
      </c>
      <c r="D115" s="1237" t="s">
        <v>1257</v>
      </c>
    </row>
    <row r="116" spans="1:4" ht="3" customHeight="1" x14ac:dyDescent="0.2">
      <c r="A116" s="1222"/>
      <c r="B116" s="1229"/>
      <c r="C116" s="1226"/>
      <c r="D116" s="1237"/>
    </row>
    <row r="117" spans="1:4" x14ac:dyDescent="0.2">
      <c r="A117" s="1222"/>
      <c r="B117" s="1225" t="s">
        <v>2074</v>
      </c>
      <c r="C117" s="1226">
        <f>C115+1</f>
        <v>37</v>
      </c>
      <c r="D117" s="1237" t="s">
        <v>1827</v>
      </c>
    </row>
    <row r="118" spans="1:4" ht="3" customHeight="1" x14ac:dyDescent="0.2">
      <c r="A118" s="1222"/>
      <c r="B118" s="1229"/>
      <c r="C118" s="1226"/>
      <c r="D118" s="1237"/>
    </row>
    <row r="119" spans="1:4" x14ac:dyDescent="0.2">
      <c r="A119" s="1222"/>
      <c r="B119" s="1225" t="s">
        <v>2074</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2074</v>
      </c>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3" t="str">
        <f>'Single Audit Cover'!A7</f>
        <v>Four Rivers Special Education District</v>
      </c>
      <c r="B1" s="2463"/>
      <c r="C1" s="2463"/>
      <c r="D1" s="2463"/>
      <c r="E1" s="2463"/>
    </row>
    <row r="2" spans="1:5" x14ac:dyDescent="0.2">
      <c r="A2" s="2464">
        <f>'Single Audit Cover'!E7</f>
        <v>1069801060</v>
      </c>
      <c r="B2" s="2464"/>
      <c r="C2" s="2464"/>
      <c r="D2" s="2464"/>
      <c r="E2" s="2464"/>
    </row>
    <row r="3" spans="1:5" ht="4.5" customHeight="1" x14ac:dyDescent="0.2"/>
    <row r="4" spans="1:5" x14ac:dyDescent="0.2">
      <c r="A4" s="2463" t="s">
        <v>1307</v>
      </c>
      <c r="B4" s="2463"/>
      <c r="C4" s="2463"/>
      <c r="D4" s="2463"/>
      <c r="E4" s="2463"/>
    </row>
    <row r="5" spans="1:5" x14ac:dyDescent="0.2">
      <c r="A5" s="2466" t="str">
        <f>'Single Audit Cover'!A4</f>
        <v>Year Ending June 30, 2018</v>
      </c>
      <c r="B5" s="2466"/>
      <c r="C5" s="2466"/>
      <c r="D5" s="2466"/>
      <c r="E5" s="2466"/>
    </row>
    <row r="6" spans="1:5" x14ac:dyDescent="0.2">
      <c r="A6" s="2463" t="s">
        <v>1306</v>
      </c>
      <c r="B6" s="2463"/>
      <c r="C6" s="2463"/>
      <c r="D6" s="2463"/>
      <c r="E6" s="2463"/>
    </row>
    <row r="8" spans="1:5" x14ac:dyDescent="0.2">
      <c r="A8" s="1260" t="s">
        <v>1305</v>
      </c>
    </row>
    <row r="10" spans="1:5" x14ac:dyDescent="0.2">
      <c r="A10" s="1261" t="s">
        <v>1304</v>
      </c>
      <c r="B10" s="1262" t="s">
        <v>1303</v>
      </c>
      <c r="C10" s="1262"/>
      <c r="D10" s="1263">
        <f>SUM('Acct Summary 7-8'!C7:K7)</f>
        <v>3508868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3921</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-226484</v>
      </c>
    </row>
    <row r="19" spans="1:4" ht="13.5" thickBot="1" x14ac:dyDescent="0.25">
      <c r="A19" s="1265" t="s">
        <v>1297</v>
      </c>
      <c r="D19" s="1266">
        <f>SUM(D10:D17)</f>
        <v>3286305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5"/>
      <c r="B24" s="2465"/>
      <c r="D24" s="1268"/>
    </row>
    <row r="25" spans="1:4" x14ac:dyDescent="0.2">
      <c r="A25" s="2462"/>
      <c r="B25" s="2462"/>
      <c r="D25" s="1268"/>
    </row>
    <row r="26" spans="1:4" x14ac:dyDescent="0.2">
      <c r="A26" s="2462"/>
      <c r="B26" s="2462"/>
      <c r="D26" s="1268"/>
    </row>
    <row r="27" spans="1:4" x14ac:dyDescent="0.2">
      <c r="A27" s="2462"/>
      <c r="B27" s="2462"/>
      <c r="D27" s="1268"/>
    </row>
    <row r="28" spans="1:4" x14ac:dyDescent="0.2">
      <c r="A28" s="2462"/>
      <c r="B28" s="2462"/>
      <c r="D28" s="1268"/>
    </row>
    <row r="29" spans="1:4" x14ac:dyDescent="0.2">
      <c r="A29" s="2462"/>
      <c r="B29" s="2462"/>
      <c r="D29" s="1268"/>
    </row>
    <row r="30" spans="1:4" x14ac:dyDescent="0.2">
      <c r="A30" s="2462"/>
      <c r="B30" s="2462"/>
      <c r="D30" s="1268"/>
    </row>
    <row r="32" spans="1:4" x14ac:dyDescent="0.2">
      <c r="A32" s="1260" t="s">
        <v>1295</v>
      </c>
      <c r="D32" s="1263">
        <f>SUM(D19:D30)</f>
        <v>3286305</v>
      </c>
    </row>
    <row r="33" spans="1:4" x14ac:dyDescent="0.2">
      <c r="D33" s="1269"/>
    </row>
    <row r="34" spans="1:4" x14ac:dyDescent="0.2">
      <c r="A34" s="317" t="s">
        <v>1294</v>
      </c>
    </row>
    <row r="35" spans="1:4" x14ac:dyDescent="0.2">
      <c r="A35" s="317" t="s">
        <v>1293</v>
      </c>
      <c r="B35" s="1258" t="s">
        <v>1292</v>
      </c>
      <c r="D35" s="1270">
        <v>3286305</v>
      </c>
    </row>
    <row r="37" spans="1:4" x14ac:dyDescent="0.2">
      <c r="A37" s="1260" t="s">
        <v>1291</v>
      </c>
    </row>
    <row r="39" spans="1:4" ht="13.35" customHeight="1" x14ac:dyDescent="0.2">
      <c r="A39" s="1267" t="s">
        <v>1290</v>
      </c>
    </row>
    <row r="40" spans="1:4" x14ac:dyDescent="0.2">
      <c r="A40" s="2462"/>
      <c r="B40" s="2462"/>
      <c r="D40" s="1268"/>
    </row>
    <row r="41" spans="1:4" x14ac:dyDescent="0.2">
      <c r="A41" s="2462"/>
      <c r="B41" s="2462"/>
      <c r="D41" s="1271"/>
    </row>
    <row r="42" spans="1:4" x14ac:dyDescent="0.2">
      <c r="A42" s="2462"/>
      <c r="B42" s="2462"/>
      <c r="D42" s="1271"/>
    </row>
    <row r="43" spans="1:4" x14ac:dyDescent="0.2">
      <c r="A43" s="2462"/>
      <c r="B43" s="2462"/>
      <c r="D43" s="1271"/>
    </row>
    <row r="44" spans="1:4" x14ac:dyDescent="0.2">
      <c r="A44" s="2462"/>
      <c r="B44" s="2462"/>
      <c r="D44" s="1271"/>
    </row>
    <row r="45" spans="1:4" x14ac:dyDescent="0.2">
      <c r="A45" s="2462"/>
      <c r="B45" s="2462"/>
      <c r="D45" s="1271"/>
    </row>
    <row r="47" spans="1:4" x14ac:dyDescent="0.2">
      <c r="B47" s="1272" t="s">
        <v>1289</v>
      </c>
      <c r="C47" s="1272"/>
      <c r="D47" s="1273">
        <f>SUM(D35:D45)</f>
        <v>3286305</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Four Rivers Special Education District</v>
      </c>
      <c r="B1" s="2468"/>
      <c r="C1" s="2468"/>
      <c r="D1" s="2468"/>
      <c r="E1" s="2468"/>
      <c r="F1" s="2468"/>
    </row>
    <row r="2" spans="1:7" ht="13.5" customHeight="1" x14ac:dyDescent="0.2">
      <c r="A2" s="2469">
        <f>'Single Audit Cover'!E7</f>
        <v>1069801060</v>
      </c>
      <c r="B2" s="2469"/>
      <c r="C2" s="2469"/>
      <c r="D2" s="2469"/>
      <c r="E2" s="2469"/>
      <c r="F2" s="2469"/>
      <c r="G2" s="1275"/>
    </row>
    <row r="3" spans="1:7" ht="15.75" customHeight="1" x14ac:dyDescent="0.2">
      <c r="A3" s="2470" t="s">
        <v>1333</v>
      </c>
      <c r="B3" s="2470"/>
      <c r="C3" s="2470"/>
      <c r="D3" s="2470"/>
      <c r="E3" s="2470"/>
      <c r="F3" s="2470"/>
    </row>
    <row r="4" spans="1:7" ht="13.5" customHeight="1" x14ac:dyDescent="0.2">
      <c r="A4" s="2471" t="str">
        <f>'Single Audit Cover'!A4</f>
        <v>Year Ending June 30, 2018</v>
      </c>
      <c r="B4" s="2471"/>
      <c r="C4" s="2471"/>
      <c r="D4" s="2471"/>
      <c r="E4" s="2471"/>
      <c r="F4" s="2471"/>
    </row>
    <row r="5" spans="1:7" ht="8.25" customHeight="1" x14ac:dyDescent="0.2">
      <c r="C5" s="317"/>
      <c r="D5" s="317"/>
    </row>
    <row r="6" spans="1:7" ht="13.5" customHeight="1" x14ac:dyDescent="0.2">
      <c r="A6" s="1276" t="s">
        <v>1831</v>
      </c>
      <c r="C6" s="317"/>
      <c r="D6" s="317"/>
    </row>
    <row r="7" spans="1:7" ht="60.95" customHeight="1" x14ac:dyDescent="0.2">
      <c r="A7" s="2467" t="s">
        <v>2129</v>
      </c>
      <c r="B7" s="2467"/>
      <c r="C7" s="2467"/>
      <c r="D7" s="2467"/>
      <c r="E7" s="2467"/>
      <c r="F7" s="246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0.45" customHeight="1" x14ac:dyDescent="0.2">
      <c r="A13" s="2467" t="s">
        <v>2130</v>
      </c>
      <c r="B13" s="2467"/>
      <c r="C13" s="2467"/>
      <c r="D13" s="2467"/>
      <c r="E13" s="2467"/>
      <c r="F13" s="2467"/>
    </row>
    <row r="14" spans="1:7" ht="9.75" customHeight="1" x14ac:dyDescent="0.2">
      <c r="C14" s="1260"/>
      <c r="D14" s="1260"/>
    </row>
    <row r="15" spans="1:7" ht="13.5" customHeight="1" x14ac:dyDescent="0.2">
      <c r="C15" s="1871" t="s">
        <v>1332</v>
      </c>
      <c r="D15" s="2473" t="s">
        <v>1331</v>
      </c>
      <c r="E15" s="2473"/>
      <c r="F15" s="2473"/>
    </row>
    <row r="16" spans="1:7" ht="13.5" customHeight="1" x14ac:dyDescent="0.2">
      <c r="A16" s="1282"/>
      <c r="B16" s="1276" t="s">
        <v>1330</v>
      </c>
      <c r="C16" s="1871" t="s">
        <v>1329</v>
      </c>
      <c r="D16" s="2474" t="s">
        <v>1670</v>
      </c>
      <c r="E16" s="2474"/>
      <c r="F16" s="2474"/>
    </row>
    <row r="17" spans="1:6" ht="20.65" customHeight="1" x14ac:dyDescent="0.2">
      <c r="A17" s="1283"/>
      <c r="B17" s="1284" t="s">
        <v>2132</v>
      </c>
      <c r="C17" s="1285">
        <v>84.027000000000001</v>
      </c>
      <c r="D17" s="2472">
        <v>20472</v>
      </c>
      <c r="E17" s="2472"/>
      <c r="F17" s="2472"/>
    </row>
    <row r="18" spans="1:6" ht="20.65" customHeight="1" x14ac:dyDescent="0.2">
      <c r="A18" s="1283"/>
      <c r="B18" s="1284" t="s">
        <v>2141</v>
      </c>
      <c r="C18" s="1285">
        <v>84.027000000000001</v>
      </c>
      <c r="D18" s="2472">
        <v>8651</v>
      </c>
      <c r="E18" s="2472"/>
      <c r="F18" s="2472"/>
    </row>
    <row r="19" spans="1:6" ht="20.65" customHeight="1" x14ac:dyDescent="0.2">
      <c r="A19" s="1283"/>
      <c r="B19" s="1284" t="s">
        <v>2133</v>
      </c>
      <c r="C19" s="1285">
        <v>84.027000000000001</v>
      </c>
      <c r="D19" s="2472">
        <v>27902</v>
      </c>
      <c r="E19" s="2472"/>
      <c r="F19" s="2472"/>
    </row>
    <row r="20" spans="1:6" ht="20.65" customHeight="1" x14ac:dyDescent="0.2">
      <c r="A20" s="1283"/>
      <c r="B20" s="1284" t="s">
        <v>2134</v>
      </c>
      <c r="C20" s="1285">
        <v>84.027000000000001</v>
      </c>
      <c r="D20" s="2472">
        <v>14003</v>
      </c>
      <c r="E20" s="2472"/>
      <c r="F20" s="2472"/>
    </row>
    <row r="21" spans="1:6" ht="20.65" customHeight="1" x14ac:dyDescent="0.2">
      <c r="A21" s="1283"/>
      <c r="B21" s="1284" t="s">
        <v>2135</v>
      </c>
      <c r="C21" s="1285">
        <v>84.027000000000001</v>
      </c>
      <c r="D21" s="2472">
        <v>3660</v>
      </c>
      <c r="E21" s="2472"/>
      <c r="F21" s="2472"/>
    </row>
    <row r="22" spans="1:6" ht="20.65" customHeight="1" x14ac:dyDescent="0.2">
      <c r="A22" s="1283"/>
      <c r="B22" s="1284" t="s">
        <v>2136</v>
      </c>
      <c r="C22" s="1285">
        <v>84.027000000000001</v>
      </c>
      <c r="D22" s="2472">
        <v>43200</v>
      </c>
      <c r="E22" s="2472"/>
      <c r="F22" s="2472"/>
    </row>
    <row r="23" spans="1:6" ht="20.65" customHeight="1" x14ac:dyDescent="0.2">
      <c r="A23" s="1283"/>
      <c r="B23" s="1284"/>
      <c r="C23" s="1285"/>
      <c r="D23" s="1956"/>
      <c r="E23" s="1956"/>
      <c r="F23" s="1956"/>
    </row>
    <row r="24" spans="1:6" ht="20.65" customHeight="1" x14ac:dyDescent="0.2">
      <c r="A24" s="1283"/>
      <c r="B24" s="1284" t="s">
        <v>2137</v>
      </c>
      <c r="C24" s="1285">
        <v>84.173000000000002</v>
      </c>
      <c r="D24" s="2472">
        <v>3994</v>
      </c>
      <c r="E24" s="2472"/>
      <c r="F24" s="2472"/>
    </row>
    <row r="25" spans="1:6" ht="20.65" customHeight="1" x14ac:dyDescent="0.2">
      <c r="A25" s="1283"/>
      <c r="B25" s="1284" t="s">
        <v>2138</v>
      </c>
      <c r="C25" s="1285">
        <v>84.173000000000002</v>
      </c>
      <c r="D25" s="2472">
        <v>3055</v>
      </c>
      <c r="E25" s="2472"/>
      <c r="F25" s="2472"/>
    </row>
    <row r="26" spans="1:6" ht="20.65" customHeight="1" x14ac:dyDescent="0.2">
      <c r="A26" s="1283"/>
      <c r="B26" s="1284" t="s">
        <v>2139</v>
      </c>
      <c r="C26" s="1285">
        <v>84.173000000000002</v>
      </c>
      <c r="D26" s="2472">
        <v>750</v>
      </c>
      <c r="E26" s="2472"/>
      <c r="F26" s="2472"/>
    </row>
    <row r="27" spans="1:6" ht="20.65" customHeight="1" x14ac:dyDescent="0.2">
      <c r="A27" s="1283"/>
      <c r="B27" s="1284" t="s">
        <v>2142</v>
      </c>
      <c r="C27" s="1285">
        <v>84.173000000000002</v>
      </c>
      <c r="D27" s="2472">
        <v>1379</v>
      </c>
      <c r="E27" s="2472"/>
      <c r="F27" s="2472"/>
    </row>
    <row r="28" spans="1:6" ht="20.65" customHeight="1" x14ac:dyDescent="0.2">
      <c r="A28" s="1283"/>
      <c r="B28" s="1284" t="s">
        <v>2140</v>
      </c>
      <c r="C28" s="1285">
        <v>84.173000000000002</v>
      </c>
      <c r="D28" s="2472">
        <v>2865</v>
      </c>
      <c r="E28" s="2472"/>
      <c r="F28" s="2472"/>
    </row>
    <row r="29" spans="1:6" ht="20.65" customHeight="1" x14ac:dyDescent="0.2">
      <c r="A29" s="1283"/>
      <c r="B29" s="1284"/>
      <c r="C29" s="1285"/>
      <c r="D29" s="2472"/>
      <c r="E29" s="2472"/>
      <c r="F29" s="247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6" t="s">
        <v>2131</v>
      </c>
      <c r="B32" s="2476"/>
      <c r="C32" s="2476"/>
      <c r="D32" s="2476"/>
      <c r="E32" s="2476"/>
      <c r="F32" s="2476"/>
    </row>
    <row r="33" spans="1:6" ht="13.5" customHeight="1" x14ac:dyDescent="0.2">
      <c r="A33" s="328" t="s">
        <v>1509</v>
      </c>
      <c r="B33" s="328"/>
      <c r="C33" s="1288">
        <v>3921</v>
      </c>
      <c r="D33" s="1928"/>
      <c r="E33" s="1286"/>
    </row>
    <row r="34" spans="1:6" ht="13.5" customHeight="1" x14ac:dyDescent="0.2">
      <c r="A34" s="328" t="s">
        <v>1946</v>
      </c>
      <c r="B34" s="328"/>
      <c r="C34" s="1289">
        <v>0</v>
      </c>
      <c r="D34" s="1928" t="s">
        <v>1671</v>
      </c>
      <c r="E34" s="2477">
        <f>+C33+C34</f>
        <v>3921</v>
      </c>
      <c r="F34" s="2478"/>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593</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9" t="s">
        <v>1672</v>
      </c>
      <c r="C49" s="2479"/>
      <c r="D49" s="2479"/>
      <c r="E49" s="1399"/>
    </row>
    <row r="50" spans="1:5" s="1300" customFormat="1" ht="3.75" customHeight="1" x14ac:dyDescent="0.2">
      <c r="A50" s="1299"/>
      <c r="B50" s="1870"/>
      <c r="C50" s="1870"/>
      <c r="D50" s="1870"/>
      <c r="E50" s="1399"/>
    </row>
    <row r="51" spans="1:5" s="1300" customFormat="1" ht="20.25" customHeight="1" x14ac:dyDescent="0.2">
      <c r="A51" s="1301">
        <v>6</v>
      </c>
      <c r="B51" s="2475" t="s">
        <v>1632</v>
      </c>
      <c r="C51" s="2475"/>
      <c r="D51" s="2475"/>
    </row>
    <row r="52" spans="1:5" ht="14.25" customHeight="1" x14ac:dyDescent="0.2">
      <c r="A52" s="1301"/>
      <c r="B52" s="2475"/>
      <c r="C52" s="2475"/>
      <c r="D52" s="2475"/>
    </row>
  </sheetData>
  <mergeCells count="25">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4:F24"/>
    <mergeCell ref="D25:F25"/>
    <mergeCell ref="A13:F13"/>
    <mergeCell ref="A7:F7"/>
    <mergeCell ref="A1:F1"/>
    <mergeCell ref="A2:F2"/>
    <mergeCell ref="A3:F3"/>
    <mergeCell ref="A4:F4"/>
  </mergeCells>
  <pageMargins left="0.9" right="0.27" top="0.43" bottom="0" header="0.26" footer="0.5"/>
  <pageSetup scale="94"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B1:N150"/>
  <sheetViews>
    <sheetView showGridLines="0" zoomScaleNormal="100" workbookViewId="0">
      <selection activeCell="I13" sqref="I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4" t="str">
        <f>'Single Audit Cover'!A7</f>
        <v>Four Rivers Special Education District</v>
      </c>
      <c r="C1" s="2480"/>
      <c r="D1" s="2480"/>
      <c r="E1" s="2480"/>
      <c r="F1" s="2480"/>
      <c r="G1" s="2480"/>
      <c r="H1" s="2480"/>
      <c r="I1" s="2480"/>
      <c r="J1" s="2480"/>
      <c r="K1" s="2480"/>
      <c r="L1" s="2480"/>
      <c r="M1" s="2480"/>
    </row>
    <row r="2" spans="2:14" ht="15" x14ac:dyDescent="0.2">
      <c r="B2" s="2469">
        <f>'Single Audit Cover'!E7</f>
        <v>1069801060</v>
      </c>
      <c r="C2" s="2469"/>
      <c r="D2" s="2469"/>
      <c r="E2" s="2469"/>
      <c r="F2" s="2469"/>
      <c r="G2" s="2469"/>
      <c r="H2" s="2469"/>
      <c r="I2" s="2469"/>
      <c r="J2" s="2469"/>
      <c r="K2" s="2469"/>
      <c r="L2" s="2469"/>
      <c r="M2" s="2469"/>
      <c r="N2" s="1302"/>
    </row>
    <row r="3" spans="2:14" ht="15" x14ac:dyDescent="0.2">
      <c r="B3" s="2481" t="s">
        <v>1281</v>
      </c>
      <c r="C3" s="2481"/>
      <c r="D3" s="2481"/>
      <c r="E3" s="2481"/>
      <c r="F3" s="2481"/>
      <c r="G3" s="2481"/>
      <c r="H3" s="2481"/>
      <c r="I3" s="2481"/>
      <c r="J3" s="2481"/>
      <c r="K3" s="2481"/>
      <c r="L3" s="2481"/>
      <c r="M3" s="2481"/>
      <c r="N3" s="1302"/>
    </row>
    <row r="4" spans="2:14" ht="15" x14ac:dyDescent="0.2">
      <c r="B4" s="2482" t="str">
        <f>'Single Audit Cover'!A4</f>
        <v>Year Ending June 30, 2018</v>
      </c>
      <c r="C4" s="2482"/>
      <c r="D4" s="2482"/>
      <c r="E4" s="2482"/>
      <c r="F4" s="2482"/>
      <c r="G4" s="2482"/>
      <c r="H4" s="2482"/>
      <c r="I4" s="2482"/>
      <c r="J4" s="2482"/>
      <c r="K4" s="2482"/>
      <c r="L4" s="2482"/>
      <c r="M4" s="2482"/>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4" x14ac:dyDescent="0.2">
      <c r="B11" s="1958" t="s">
        <v>2098</v>
      </c>
      <c r="C11" s="1338"/>
      <c r="D11" s="1339"/>
      <c r="E11" s="1340"/>
      <c r="F11" s="1340"/>
      <c r="G11" s="1340"/>
      <c r="H11" s="1340"/>
      <c r="I11" s="1340"/>
      <c r="J11" s="1340"/>
      <c r="K11" s="1340"/>
      <c r="L11" s="1340">
        <f>+G11+I11+K11</f>
        <v>0</v>
      </c>
      <c r="M11" s="1340"/>
    </row>
    <row r="12" spans="2:14" ht="20.100000000000001" customHeight="1" x14ac:dyDescent="0.2">
      <c r="B12" s="1337" t="s">
        <v>2099</v>
      </c>
      <c r="C12" s="1341">
        <v>84.027000000000001</v>
      </c>
      <c r="D12" s="1342" t="s">
        <v>2103</v>
      </c>
      <c r="E12" s="1343">
        <v>2602867</v>
      </c>
      <c r="F12" s="1343">
        <v>635753</v>
      </c>
      <c r="G12" s="1343">
        <v>2890114</v>
      </c>
      <c r="H12" s="1343">
        <v>63677</v>
      </c>
      <c r="I12" s="1343">
        <v>348504</v>
      </c>
      <c r="J12" s="1343">
        <v>43218</v>
      </c>
      <c r="K12" s="1343"/>
      <c r="L12" s="1340">
        <f t="shared" ref="L12:L25" si="0">+G12+I12+K12</f>
        <v>3238618</v>
      </c>
      <c r="M12" s="1343">
        <v>3560211</v>
      </c>
    </row>
    <row r="13" spans="2:14" ht="20.100000000000001" customHeight="1" x14ac:dyDescent="0.2">
      <c r="B13" s="1337" t="s">
        <v>2099</v>
      </c>
      <c r="C13" s="1341">
        <v>84.027000000000001</v>
      </c>
      <c r="D13" s="1342" t="s">
        <v>2104</v>
      </c>
      <c r="E13" s="1343"/>
      <c r="F13" s="1343">
        <v>2395599</v>
      </c>
      <c r="G13" s="1343"/>
      <c r="H13" s="1343"/>
      <c r="I13" s="1343">
        <v>2666290</v>
      </c>
      <c r="J13" s="1343">
        <v>74670</v>
      </c>
      <c r="K13" s="1343">
        <v>337138</v>
      </c>
      <c r="L13" s="1340">
        <f t="shared" si="0"/>
        <v>3003428</v>
      </c>
      <c r="M13" s="1343">
        <v>3626900</v>
      </c>
    </row>
    <row r="14" spans="2:14" ht="20.100000000000001" customHeight="1" x14ac:dyDescent="0.2">
      <c r="B14" s="1337" t="s">
        <v>2100</v>
      </c>
      <c r="C14" s="1341"/>
      <c r="D14" s="1342"/>
      <c r="E14" s="1960">
        <f t="shared" ref="E14:K14" si="1">+E12+E13</f>
        <v>2602867</v>
      </c>
      <c r="F14" s="1960">
        <f t="shared" si="1"/>
        <v>3031352</v>
      </c>
      <c r="G14" s="1960">
        <f t="shared" si="1"/>
        <v>2890114</v>
      </c>
      <c r="H14" s="1960">
        <f t="shared" si="1"/>
        <v>63677</v>
      </c>
      <c r="I14" s="1960">
        <f t="shared" si="1"/>
        <v>3014794</v>
      </c>
      <c r="J14" s="1960">
        <f t="shared" si="1"/>
        <v>117888</v>
      </c>
      <c r="K14" s="1960">
        <f t="shared" si="1"/>
        <v>337138</v>
      </c>
      <c r="L14" s="1961">
        <f t="shared" si="0"/>
        <v>6242046</v>
      </c>
      <c r="M14" s="1960">
        <f>+M12+M13</f>
        <v>7187111</v>
      </c>
    </row>
    <row r="15" spans="2:14" ht="20.100000000000001" customHeight="1" x14ac:dyDescent="0.2">
      <c r="B15" s="1337" t="s">
        <v>2101</v>
      </c>
      <c r="C15" s="1341">
        <v>84.173000000000002</v>
      </c>
      <c r="D15" s="1342" t="s">
        <v>2105</v>
      </c>
      <c r="E15" s="1343">
        <v>109676</v>
      </c>
      <c r="F15" s="1343">
        <v>30520</v>
      </c>
      <c r="G15" s="1343">
        <v>120027</v>
      </c>
      <c r="H15" s="1343">
        <v>6994</v>
      </c>
      <c r="I15" s="1343">
        <v>20169</v>
      </c>
      <c r="J15" s="1343">
        <v>4156</v>
      </c>
      <c r="K15" s="1343"/>
      <c r="L15" s="1340">
        <f t="shared" si="0"/>
        <v>140196</v>
      </c>
      <c r="M15" s="1343">
        <v>142767</v>
      </c>
    </row>
    <row r="16" spans="2:14" ht="20.100000000000001" customHeight="1" x14ac:dyDescent="0.2">
      <c r="B16" s="1337" t="s">
        <v>2101</v>
      </c>
      <c r="C16" s="1341">
        <v>84.173000000000002</v>
      </c>
      <c r="D16" s="1342" t="s">
        <v>2106</v>
      </c>
      <c r="E16" s="1343"/>
      <c r="F16" s="1343">
        <v>112994</v>
      </c>
      <c r="G16" s="1343"/>
      <c r="H16" s="1343"/>
      <c r="I16" s="1343">
        <v>123883</v>
      </c>
      <c r="J16" s="1343">
        <v>7887</v>
      </c>
      <c r="K16" s="1343">
        <v>19384</v>
      </c>
      <c r="L16" s="1340">
        <f t="shared" si="0"/>
        <v>143267</v>
      </c>
      <c r="M16" s="1343">
        <v>144309</v>
      </c>
    </row>
    <row r="17" spans="2:14" ht="20.100000000000001" customHeight="1" x14ac:dyDescent="0.2">
      <c r="B17" s="1957" t="s">
        <v>2102</v>
      </c>
      <c r="C17" s="1341"/>
      <c r="D17" s="1342"/>
      <c r="E17" s="1960">
        <f t="shared" ref="E17:K17" si="2">+E15+E16</f>
        <v>109676</v>
      </c>
      <c r="F17" s="1960">
        <f t="shared" si="2"/>
        <v>143514</v>
      </c>
      <c r="G17" s="1960">
        <f t="shared" si="2"/>
        <v>120027</v>
      </c>
      <c r="H17" s="1960">
        <f t="shared" si="2"/>
        <v>6994</v>
      </c>
      <c r="I17" s="1960">
        <f t="shared" si="2"/>
        <v>144052</v>
      </c>
      <c r="J17" s="1960">
        <f t="shared" si="2"/>
        <v>12043</v>
      </c>
      <c r="K17" s="1960">
        <f t="shared" si="2"/>
        <v>19384</v>
      </c>
      <c r="L17" s="1961">
        <f t="shared" si="0"/>
        <v>283463</v>
      </c>
      <c r="M17" s="1960">
        <f>+M15+M16</f>
        <v>287076</v>
      </c>
    </row>
    <row r="18" spans="2:14" ht="20.100000000000001" customHeight="1" x14ac:dyDescent="0.2">
      <c r="B18" s="1337" t="s">
        <v>2108</v>
      </c>
      <c r="C18" s="1341"/>
      <c r="D18" s="1342"/>
      <c r="E18" s="1960">
        <f t="shared" ref="E18:K18" si="3">+E14+E17</f>
        <v>2712543</v>
      </c>
      <c r="F18" s="1960">
        <f t="shared" si="3"/>
        <v>3174866</v>
      </c>
      <c r="G18" s="1960">
        <f t="shared" si="3"/>
        <v>3010141</v>
      </c>
      <c r="H18" s="1960">
        <f t="shared" si="3"/>
        <v>70671</v>
      </c>
      <c r="I18" s="1960">
        <f t="shared" si="3"/>
        <v>3158846</v>
      </c>
      <c r="J18" s="1960">
        <f t="shared" si="3"/>
        <v>129931</v>
      </c>
      <c r="K18" s="1960">
        <f t="shared" si="3"/>
        <v>356522</v>
      </c>
      <c r="L18" s="1961">
        <f t="shared" si="0"/>
        <v>6525509</v>
      </c>
      <c r="M18" s="1960">
        <f>+M14+M17</f>
        <v>7474187</v>
      </c>
    </row>
    <row r="19" spans="2:14" ht="20.100000000000001" customHeight="1" x14ac:dyDescent="0.2">
      <c r="B19" s="1958" t="s">
        <v>2107</v>
      </c>
      <c r="C19" s="1341"/>
      <c r="D19" s="1342"/>
      <c r="E19" s="1962">
        <f t="shared" ref="E19:K19" si="4">E18</f>
        <v>2712543</v>
      </c>
      <c r="F19" s="1962">
        <f t="shared" si="4"/>
        <v>3174866</v>
      </c>
      <c r="G19" s="1962">
        <f t="shared" si="4"/>
        <v>3010141</v>
      </c>
      <c r="H19" s="1962">
        <f t="shared" si="4"/>
        <v>70671</v>
      </c>
      <c r="I19" s="1962">
        <f t="shared" si="4"/>
        <v>3158846</v>
      </c>
      <c r="J19" s="1962">
        <f t="shared" si="4"/>
        <v>129931</v>
      </c>
      <c r="K19" s="1962">
        <f t="shared" si="4"/>
        <v>356522</v>
      </c>
      <c r="L19" s="1963">
        <f t="shared" si="0"/>
        <v>6525509</v>
      </c>
      <c r="M19" s="1962">
        <f>M18</f>
        <v>7474187</v>
      </c>
    </row>
    <row r="20" spans="2:14" ht="48" x14ac:dyDescent="0.2">
      <c r="B20" s="1958" t="s">
        <v>2109</v>
      </c>
      <c r="C20" s="1341"/>
      <c r="D20" s="1342"/>
      <c r="E20" s="1343"/>
      <c r="F20" s="1343"/>
      <c r="G20" s="1343"/>
      <c r="H20" s="1343"/>
      <c r="I20" s="1343"/>
      <c r="J20" s="1343"/>
      <c r="K20" s="1343"/>
      <c r="L20" s="1340">
        <f t="shared" si="0"/>
        <v>0</v>
      </c>
      <c r="M20" s="1343"/>
    </row>
    <row r="21" spans="2:14" ht="20.100000000000001" customHeight="1" x14ac:dyDescent="0.2">
      <c r="B21" s="1337" t="s">
        <v>2110</v>
      </c>
      <c r="C21" s="1341">
        <v>93.778000000000006</v>
      </c>
      <c r="D21" s="1342" t="s">
        <v>2112</v>
      </c>
      <c r="E21" s="1343">
        <v>86942</v>
      </c>
      <c r="F21" s="1343"/>
      <c r="G21" s="1343">
        <v>86942</v>
      </c>
      <c r="H21" s="1343"/>
      <c r="I21" s="1343"/>
      <c r="J21" s="1343"/>
      <c r="K21" s="1343"/>
      <c r="L21" s="1340">
        <f t="shared" si="0"/>
        <v>86942</v>
      </c>
      <c r="M21" s="1343" t="s">
        <v>2114</v>
      </c>
    </row>
    <row r="22" spans="2:14" ht="20.100000000000001" customHeight="1" x14ac:dyDescent="0.2">
      <c r="B22" s="1337" t="s">
        <v>2110</v>
      </c>
      <c r="C22" s="1341">
        <v>93.778000000000006</v>
      </c>
      <c r="D22" s="1342" t="s">
        <v>2113</v>
      </c>
      <c r="E22" s="1343"/>
      <c r="F22" s="1343">
        <v>70794</v>
      </c>
      <c r="G22" s="1343"/>
      <c r="H22" s="1343"/>
      <c r="I22" s="1343">
        <v>70794</v>
      </c>
      <c r="J22" s="1343"/>
      <c r="K22" s="1343"/>
      <c r="L22" s="1340">
        <f t="shared" si="0"/>
        <v>70794</v>
      </c>
      <c r="M22" s="1343" t="s">
        <v>2114</v>
      </c>
    </row>
    <row r="23" spans="2:14" ht="20.100000000000001" customHeight="1" x14ac:dyDescent="0.2">
      <c r="B23" s="1957" t="s">
        <v>2111</v>
      </c>
      <c r="C23" s="1341"/>
      <c r="D23" s="1342"/>
      <c r="E23" s="1960">
        <f t="shared" ref="E23:K23" si="5">+E21+E22</f>
        <v>86942</v>
      </c>
      <c r="F23" s="1960">
        <f t="shared" si="5"/>
        <v>70794</v>
      </c>
      <c r="G23" s="1960">
        <f t="shared" si="5"/>
        <v>86942</v>
      </c>
      <c r="H23" s="1960">
        <f t="shared" si="5"/>
        <v>0</v>
      </c>
      <c r="I23" s="1960">
        <f t="shared" si="5"/>
        <v>70794</v>
      </c>
      <c r="J23" s="1960">
        <f t="shared" si="5"/>
        <v>0</v>
      </c>
      <c r="K23" s="1960">
        <f t="shared" si="5"/>
        <v>0</v>
      </c>
      <c r="L23" s="1961">
        <f t="shared" si="0"/>
        <v>157736</v>
      </c>
      <c r="M23" s="1960" t="s">
        <v>2114</v>
      </c>
    </row>
    <row r="24" spans="2:14" ht="24" x14ac:dyDescent="0.2">
      <c r="B24" s="1958" t="s">
        <v>2115</v>
      </c>
      <c r="C24" s="1341"/>
      <c r="D24" s="1342"/>
      <c r="E24" s="1962">
        <f t="shared" ref="E24:K24" si="6">E23</f>
        <v>86942</v>
      </c>
      <c r="F24" s="1962">
        <f t="shared" si="6"/>
        <v>70794</v>
      </c>
      <c r="G24" s="1962">
        <f t="shared" si="6"/>
        <v>86942</v>
      </c>
      <c r="H24" s="1962">
        <f t="shared" si="6"/>
        <v>0</v>
      </c>
      <c r="I24" s="1962">
        <f t="shared" si="6"/>
        <v>70794</v>
      </c>
      <c r="J24" s="1962">
        <f t="shared" si="6"/>
        <v>0</v>
      </c>
      <c r="K24" s="1962">
        <f t="shared" si="6"/>
        <v>0</v>
      </c>
      <c r="L24" s="1963">
        <f t="shared" si="0"/>
        <v>157736</v>
      </c>
      <c r="M24" s="1962" t="s">
        <v>2114</v>
      </c>
    </row>
    <row r="25" spans="2:14" ht="20.100000000000001" customHeight="1" x14ac:dyDescent="0.2">
      <c r="B25" s="1337"/>
      <c r="C25" s="1341"/>
      <c r="D25" s="1342"/>
      <c r="E25" s="1343"/>
      <c r="F25" s="1343"/>
      <c r="G25" s="1343"/>
      <c r="H25" s="1343"/>
      <c r="I25" s="1343"/>
      <c r="J25" s="1343"/>
      <c r="K25" s="1343"/>
      <c r="L25" s="1340">
        <f t="shared" si="0"/>
        <v>0</v>
      </c>
      <c r="M25" s="1343"/>
      <c r="N25" s="1344"/>
    </row>
    <row r="26" spans="2:14" ht="12.75" customHeight="1" x14ac:dyDescent="0.2">
      <c r="B26" s="1345"/>
      <c r="C26" s="1346"/>
      <c r="D26" s="1347"/>
      <c r="E26" s="1348"/>
      <c r="F26" s="1348"/>
      <c r="G26" s="1348"/>
      <c r="H26" s="1348"/>
      <c r="I26" s="1348"/>
      <c r="J26" s="1348"/>
      <c r="K26" s="1348"/>
      <c r="L26" s="1348"/>
      <c r="M26" s="1348"/>
      <c r="N26" s="1344"/>
    </row>
    <row r="27" spans="2:14" x14ac:dyDescent="0.2">
      <c r="B27" s="1257"/>
      <c r="C27" s="1349"/>
      <c r="D27" s="1350"/>
      <c r="E27" s="1257"/>
      <c r="F27" s="1257"/>
      <c r="G27" s="1250"/>
      <c r="H27" s="1250"/>
      <c r="I27" s="1250"/>
      <c r="J27" s="1250"/>
      <c r="K27" s="1250"/>
      <c r="L27" s="1250"/>
      <c r="M27" s="1257"/>
      <c r="N27" s="1344"/>
    </row>
    <row r="28" spans="2:14" ht="13.5" customHeight="1" x14ac:dyDescent="0.2">
      <c r="B28" s="1282" t="s">
        <v>1837</v>
      </c>
      <c r="C28" s="1349"/>
      <c r="D28" s="1350"/>
      <c r="E28" s="1257"/>
      <c r="F28" s="1257"/>
      <c r="G28" s="1250"/>
      <c r="H28" s="1250"/>
      <c r="I28" s="1250"/>
      <c r="J28" s="1250"/>
      <c r="K28" s="1250"/>
      <c r="L28" s="1250"/>
      <c r="M28" s="1257"/>
      <c r="N28" s="1344"/>
    </row>
    <row r="29" spans="2:14" ht="8.25" customHeight="1" x14ac:dyDescent="0.2">
      <c r="B29" s="1282"/>
      <c r="C29" s="1349"/>
      <c r="D29" s="1350"/>
      <c r="E29" s="1257"/>
      <c r="F29" s="1257"/>
      <c r="G29" s="1250"/>
      <c r="H29" s="1250"/>
      <c r="I29" s="1250"/>
      <c r="J29" s="1250"/>
      <c r="K29" s="1250"/>
      <c r="L29" s="1250"/>
      <c r="M29" s="1257"/>
      <c r="N29" s="1344"/>
    </row>
    <row r="30" spans="2:14" x14ac:dyDescent="0.2">
      <c r="B30" s="1351" t="s">
        <v>1948</v>
      </c>
      <c r="C30" s="1352"/>
      <c r="D30" s="1353"/>
      <c r="E30" s="1354"/>
      <c r="F30" s="1354"/>
      <c r="G30" s="1354"/>
      <c r="H30" s="1354"/>
      <c r="I30" s="317"/>
      <c r="J30" s="317"/>
    </row>
    <row r="31" spans="2:14" x14ac:dyDescent="0.2">
      <c r="B31" s="1277"/>
      <c r="C31" s="1355"/>
      <c r="D31" s="1356"/>
      <c r="E31" s="1278"/>
      <c r="F31" s="1278"/>
      <c r="G31" s="317"/>
      <c r="H31" s="317"/>
      <c r="I31" s="317"/>
      <c r="J31" s="317"/>
    </row>
    <row r="32" spans="2:14" ht="13.5" customHeight="1" x14ac:dyDescent="0.2">
      <c r="B32" s="1276" t="s">
        <v>1308</v>
      </c>
      <c r="G32" s="317"/>
      <c r="H32" s="317"/>
      <c r="I32" s="317"/>
      <c r="J32" s="317"/>
    </row>
    <row r="33" spans="2:13" ht="13.5" customHeight="1" x14ac:dyDescent="0.2">
      <c r="B33" s="1359"/>
      <c r="C33" s="1360"/>
      <c r="D33" s="1361"/>
      <c r="E33" s="1297"/>
      <c r="F33" s="1297"/>
      <c r="G33" s="1297"/>
      <c r="H33" s="1297"/>
      <c r="I33" s="1297"/>
      <c r="J33" s="1297"/>
      <c r="K33" s="1362"/>
      <c r="L33" s="1362"/>
      <c r="M33" s="1297"/>
    </row>
    <row r="34" spans="2:13" ht="9.6" customHeight="1" x14ac:dyDescent="0.2">
      <c r="B34" s="1363"/>
      <c r="G34" s="317"/>
      <c r="H34" s="317"/>
      <c r="I34" s="317"/>
      <c r="J34" s="317"/>
    </row>
    <row r="35" spans="2:13" ht="11.25" customHeight="1" x14ac:dyDescent="0.2">
      <c r="B35" s="1364" t="s">
        <v>1838</v>
      </c>
      <c r="C35" s="1365"/>
      <c r="D35" s="1365"/>
      <c r="E35" s="1365"/>
      <c r="F35" s="1365"/>
      <c r="G35" s="1365"/>
      <c r="H35" s="1365"/>
      <c r="I35" s="1366"/>
      <c r="J35" s="1366"/>
      <c r="K35" s="1366"/>
      <c r="L35" s="1366"/>
      <c r="M35" s="1366"/>
    </row>
    <row r="36" spans="2:13" ht="11.25" customHeight="1" x14ac:dyDescent="0.2">
      <c r="B36" s="1367" t="s">
        <v>1666</v>
      </c>
      <c r="C36" s="1366"/>
      <c r="D36" s="1366"/>
      <c r="E36" s="1366"/>
      <c r="F36" s="1366"/>
      <c r="G36" s="1366"/>
      <c r="H36" s="1366"/>
      <c r="I36" s="1366"/>
      <c r="J36" s="1366"/>
      <c r="K36" s="1366"/>
      <c r="L36" s="1366"/>
      <c r="M36" s="1366"/>
    </row>
    <row r="37" spans="2:13" ht="3.95" customHeight="1" x14ac:dyDescent="0.2">
      <c r="B37" s="1367"/>
      <c r="C37" s="1366"/>
      <c r="D37" s="1366"/>
      <c r="E37" s="1366"/>
      <c r="F37" s="1366"/>
      <c r="G37" s="1366"/>
      <c r="H37" s="1366"/>
      <c r="I37" s="1366"/>
      <c r="J37" s="1366"/>
      <c r="K37" s="1366"/>
      <c r="L37" s="1366"/>
      <c r="M37" s="1366"/>
    </row>
    <row r="38" spans="2:13" ht="11.25" customHeight="1" x14ac:dyDescent="0.2">
      <c r="B38" s="1364" t="s">
        <v>1839</v>
      </c>
      <c r="C38" s="1366"/>
      <c r="D38" s="1366"/>
      <c r="E38" s="1366"/>
      <c r="F38" s="1366"/>
      <c r="G38" s="1366"/>
      <c r="H38" s="1366"/>
      <c r="I38" s="1366"/>
      <c r="J38" s="1366"/>
      <c r="K38" s="1366"/>
      <c r="L38" s="1366"/>
      <c r="M38" s="1366"/>
    </row>
    <row r="39" spans="2:13" ht="11.25" customHeight="1" x14ac:dyDescent="0.2">
      <c r="B39" s="1300" t="s">
        <v>1667</v>
      </c>
      <c r="C39" s="1368"/>
      <c r="D39" s="1369"/>
      <c r="E39" s="1300"/>
      <c r="F39" s="1300"/>
      <c r="G39" s="1300"/>
      <c r="H39" s="1300"/>
      <c r="I39" s="1300"/>
      <c r="J39" s="1300"/>
      <c r="K39" s="1370"/>
      <c r="L39" s="1370"/>
      <c r="M39" s="1300"/>
    </row>
    <row r="40" spans="2:13" ht="3.95" customHeight="1" x14ac:dyDescent="0.2">
      <c r="B40" s="1300"/>
      <c r="C40" s="1368"/>
      <c r="D40" s="1369"/>
      <c r="E40" s="1300"/>
      <c r="F40" s="1300"/>
      <c r="G40" s="1300"/>
      <c r="H40" s="1300"/>
      <c r="I40" s="1300"/>
      <c r="J40" s="1300"/>
      <c r="K40" s="1370"/>
      <c r="L40" s="1370"/>
      <c r="M40" s="1300"/>
    </row>
    <row r="41" spans="2:13" ht="11.25" customHeight="1" x14ac:dyDescent="0.2">
      <c r="B41" s="1371" t="s">
        <v>1840</v>
      </c>
      <c r="C41" s="1368"/>
      <c r="D41" s="1369"/>
      <c r="E41" s="1300"/>
      <c r="F41" s="1300"/>
      <c r="G41" s="1300"/>
      <c r="H41" s="1300"/>
      <c r="I41" s="1300"/>
      <c r="J41" s="1300"/>
      <c r="K41" s="1370"/>
      <c r="L41" s="1370"/>
      <c r="M41" s="1300"/>
    </row>
    <row r="42" spans="2:13" ht="3.95" customHeight="1" x14ac:dyDescent="0.2">
      <c r="B42" s="1371"/>
      <c r="C42" s="1368"/>
      <c r="D42" s="1369"/>
      <c r="E42" s="1300"/>
      <c r="F42" s="1300"/>
      <c r="G42" s="1300"/>
      <c r="H42" s="1300"/>
      <c r="I42" s="1300"/>
      <c r="J42" s="1300"/>
      <c r="K42" s="1370"/>
      <c r="L42" s="1370"/>
      <c r="M42" s="1300"/>
    </row>
    <row r="43" spans="2:13" ht="11.25" customHeight="1" x14ac:dyDescent="0.2">
      <c r="B43" s="1372" t="s">
        <v>1841</v>
      </c>
      <c r="C43" s="1368"/>
      <c r="D43" s="1369"/>
      <c r="E43" s="1300"/>
      <c r="F43" s="1300"/>
      <c r="G43" s="1300"/>
      <c r="H43" s="1300"/>
      <c r="I43" s="1300"/>
      <c r="J43" s="1300"/>
      <c r="K43" s="1370"/>
      <c r="L43" s="1370"/>
      <c r="M43" s="1300"/>
    </row>
    <row r="44" spans="2:13" ht="11.25" customHeight="1" x14ac:dyDescent="0.2">
      <c r="B44" s="1300" t="s">
        <v>1668</v>
      </c>
      <c r="G44" s="317"/>
      <c r="H44" s="317"/>
      <c r="I44" s="317"/>
      <c r="J44" s="317"/>
    </row>
    <row r="45" spans="2:13" ht="11.1" customHeight="1" x14ac:dyDescent="0.2">
      <c r="B45" s="1300"/>
      <c r="G45" s="317"/>
      <c r="H45" s="317"/>
      <c r="I45" s="317"/>
      <c r="J45" s="317"/>
    </row>
    <row r="46" spans="2:13" ht="11.1" customHeight="1" x14ac:dyDescent="0.2">
      <c r="B46" s="1300"/>
      <c r="G46" s="317"/>
      <c r="H46" s="317"/>
      <c r="I46" s="317"/>
      <c r="J46" s="317"/>
    </row>
    <row r="47" spans="2:13" ht="13.5" customHeight="1" x14ac:dyDescent="0.2">
      <c r="M47" s="1373"/>
    </row>
    <row r="48" spans="2:13" ht="13.5" customHeight="1" x14ac:dyDescent="0.2">
      <c r="M48" s="1373"/>
    </row>
    <row r="49" spans="7:13" ht="13.5" customHeight="1" x14ac:dyDescent="0.2">
      <c r="M49" s="1373"/>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tabSelected="1" defaultGridColor="0" view="pageBreakPreview" topLeftCell="A97" colorId="8" zoomScaleNormal="110" zoomScaleSheetLayoutView="100" workbookViewId="0">
      <selection activeCell="A199" sqref="A19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8" t="s">
        <v>1230</v>
      </c>
      <c r="B2" s="2088"/>
      <c r="C2" s="2088"/>
      <c r="D2" s="2088"/>
      <c r="E2" s="2088"/>
      <c r="F2" s="2088"/>
      <c r="G2" s="2088"/>
      <c r="H2" s="2088"/>
      <c r="I2" s="2088"/>
      <c r="J2" s="208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2" t="s">
        <v>1731</v>
      </c>
      <c r="B35" s="2103"/>
      <c r="C35" s="2103"/>
      <c r="D35" s="2103"/>
      <c r="E35" s="2104"/>
      <c r="F35" s="2104"/>
      <c r="G35" s="2104"/>
      <c r="H35" s="2104"/>
      <c r="I35" s="210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2" t="s">
        <v>331</v>
      </c>
      <c r="B47" s="2105"/>
      <c r="C47" s="2105"/>
      <c r="D47" s="2105"/>
      <c r="E47" s="2106"/>
      <c r="F47" s="2106"/>
      <c r="G47" s="2106"/>
      <c r="H47" s="2106"/>
      <c r="I47" s="210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9"/>
      <c r="C57" s="2110"/>
      <c r="D57" s="2110"/>
      <c r="E57" s="2110"/>
      <c r="F57" s="2110"/>
      <c r="G57" s="2110"/>
      <c r="H57" s="2110"/>
      <c r="I57" s="2110"/>
      <c r="J57" s="2111"/>
    </row>
    <row r="58" spans="1:10" s="181" customFormat="1" x14ac:dyDescent="0.2">
      <c r="A58" s="253"/>
      <c r="B58" s="2112"/>
      <c r="C58" s="2113"/>
      <c r="D58" s="2113"/>
      <c r="E58" s="2113"/>
      <c r="F58" s="2113"/>
      <c r="G58" s="2113"/>
      <c r="H58" s="2113"/>
      <c r="I58" s="2113"/>
      <c r="J58" s="2114"/>
    </row>
    <row r="59" spans="1:10" s="181" customFormat="1" x14ac:dyDescent="0.2">
      <c r="A59" s="253"/>
      <c r="B59" s="2112"/>
      <c r="C59" s="2113"/>
      <c r="D59" s="2113"/>
      <c r="E59" s="2113"/>
      <c r="F59" s="2113"/>
      <c r="G59" s="2113"/>
      <c r="H59" s="2113"/>
      <c r="I59" s="2113"/>
      <c r="J59" s="2114"/>
    </row>
    <row r="60" spans="1:10" s="181" customFormat="1" x14ac:dyDescent="0.2">
      <c r="A60" s="253"/>
      <c r="B60" s="2112"/>
      <c r="C60" s="2113"/>
      <c r="D60" s="2113"/>
      <c r="E60" s="2113"/>
      <c r="F60" s="2113"/>
      <c r="G60" s="2113"/>
      <c r="H60" s="2113"/>
      <c r="I60" s="2113"/>
      <c r="J60" s="2114"/>
    </row>
    <row r="61" spans="1:10" s="181" customFormat="1" x14ac:dyDescent="0.2">
      <c r="A61" s="253"/>
      <c r="B61" s="2112"/>
      <c r="C61" s="2113"/>
      <c r="D61" s="2113"/>
      <c r="E61" s="2113"/>
      <c r="F61" s="2113"/>
      <c r="G61" s="2113"/>
      <c r="H61" s="2113"/>
      <c r="I61" s="2113"/>
      <c r="J61" s="2114"/>
    </row>
    <row r="62" spans="1:10" s="181" customFormat="1" x14ac:dyDescent="0.2">
      <c r="A62" s="253"/>
      <c r="B62" s="2112"/>
      <c r="C62" s="2113"/>
      <c r="D62" s="2113"/>
      <c r="E62" s="2113"/>
      <c r="F62" s="2113"/>
      <c r="G62" s="2113"/>
      <c r="H62" s="2113"/>
      <c r="I62" s="2113"/>
      <c r="J62" s="2114"/>
    </row>
    <row r="63" spans="1:10" s="181" customFormat="1" x14ac:dyDescent="0.2">
      <c r="A63" s="253"/>
      <c r="B63" s="2112"/>
      <c r="C63" s="2113"/>
      <c r="D63" s="2113"/>
      <c r="E63" s="2113"/>
      <c r="F63" s="2113"/>
      <c r="G63" s="2113"/>
      <c r="H63" s="2113"/>
      <c r="I63" s="2113"/>
      <c r="J63" s="2114"/>
    </row>
    <row r="64" spans="1:10" s="181" customFormat="1" x14ac:dyDescent="0.2">
      <c r="A64" s="253"/>
      <c r="B64" s="2112"/>
      <c r="C64" s="2113"/>
      <c r="D64" s="2113"/>
      <c r="E64" s="2113"/>
      <c r="F64" s="2113"/>
      <c r="G64" s="2113"/>
      <c r="H64" s="2113"/>
      <c r="I64" s="2113"/>
      <c r="J64" s="2114"/>
    </row>
    <row r="65" spans="1:10" s="181" customFormat="1" x14ac:dyDescent="0.2">
      <c r="A65" s="253"/>
      <c r="B65" s="2112"/>
      <c r="C65" s="2113"/>
      <c r="D65" s="2113"/>
      <c r="E65" s="2113"/>
      <c r="F65" s="2113"/>
      <c r="G65" s="2113"/>
      <c r="H65" s="2113"/>
      <c r="I65" s="2113"/>
      <c r="J65" s="2114"/>
    </row>
    <row r="66" spans="1:10" s="181" customFormat="1" x14ac:dyDescent="0.2">
      <c r="A66" s="253"/>
      <c r="B66" s="2112"/>
      <c r="C66" s="2113"/>
      <c r="D66" s="2113"/>
      <c r="E66" s="2113"/>
      <c r="F66" s="2113"/>
      <c r="G66" s="2113"/>
      <c r="H66" s="2113"/>
      <c r="I66" s="2113"/>
      <c r="J66" s="2114"/>
    </row>
    <row r="67" spans="1:10" s="181" customFormat="1" ht="9" customHeight="1" x14ac:dyDescent="0.2">
      <c r="A67" s="254"/>
      <c r="B67" s="2115"/>
      <c r="C67" s="2116"/>
      <c r="D67" s="2116"/>
      <c r="E67" s="2116"/>
      <c r="F67" s="2116"/>
      <c r="G67" s="2116"/>
      <c r="H67" s="2116"/>
      <c r="I67" s="2116"/>
      <c r="J67" s="211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2" t="s">
        <v>1390</v>
      </c>
      <c r="B70" s="2105"/>
      <c r="C70" s="2105"/>
      <c r="D70" s="2105"/>
      <c r="E70" s="2106"/>
      <c r="F70" s="2106"/>
      <c r="G70" s="2106"/>
      <c r="H70" s="2106"/>
      <c r="I70" s="210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7" t="s">
        <v>1387</v>
      </c>
      <c r="B83" s="2107"/>
      <c r="C83" s="2107"/>
      <c r="D83" s="210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9"/>
      <c r="C102" s="2090"/>
      <c r="D102" s="2090"/>
      <c r="E102" s="2090"/>
      <c r="F102" s="2090"/>
      <c r="G102" s="2090"/>
      <c r="H102" s="2090"/>
      <c r="I102" s="2091"/>
    </row>
    <row r="103" spans="1:9" s="181" customFormat="1" ht="11.25" customHeight="1" x14ac:dyDescent="0.2">
      <c r="A103" s="316"/>
      <c r="B103" s="2092"/>
      <c r="C103" s="2093"/>
      <c r="D103" s="2093"/>
      <c r="E103" s="2093"/>
      <c r="F103" s="2093"/>
      <c r="G103" s="2093"/>
      <c r="H103" s="2093"/>
      <c r="I103" s="2094"/>
    </row>
    <row r="104" spans="1:9" s="181" customFormat="1" ht="11.25" customHeight="1" x14ac:dyDescent="0.2">
      <c r="A104" s="316"/>
      <c r="B104" s="2092"/>
      <c r="C104" s="2093"/>
      <c r="D104" s="2093"/>
      <c r="E104" s="2093"/>
      <c r="F104" s="2093"/>
      <c r="G104" s="2093"/>
      <c r="H104" s="2093"/>
      <c r="I104" s="2094"/>
    </row>
    <row r="105" spans="1:9" s="181" customFormat="1" x14ac:dyDescent="0.2">
      <c r="A105" s="316"/>
      <c r="B105" s="2092"/>
      <c r="C105" s="2093"/>
      <c r="D105" s="2093"/>
      <c r="E105" s="2093"/>
      <c r="F105" s="2093"/>
      <c r="G105" s="2093"/>
      <c r="H105" s="2093"/>
      <c r="I105" s="2094"/>
    </row>
    <row r="106" spans="1:9" s="181" customFormat="1" ht="11.25" customHeight="1" x14ac:dyDescent="0.2">
      <c r="A106" s="316"/>
      <c r="B106" s="2092"/>
      <c r="C106" s="2093"/>
      <c r="D106" s="2093"/>
      <c r="E106" s="2093"/>
      <c r="F106" s="2093"/>
      <c r="G106" s="2093"/>
      <c r="H106" s="2093"/>
      <c r="I106" s="2094"/>
    </row>
    <row r="107" spans="1:9" s="181" customFormat="1" ht="11.25" customHeight="1" x14ac:dyDescent="0.2">
      <c r="A107" s="316"/>
      <c r="B107" s="2092"/>
      <c r="C107" s="2093"/>
      <c r="D107" s="2093"/>
      <c r="E107" s="2093"/>
      <c r="F107" s="2093"/>
      <c r="G107" s="2093"/>
      <c r="H107" s="2093"/>
      <c r="I107" s="2094"/>
    </row>
    <row r="108" spans="1:9" s="181" customFormat="1" ht="11.25" customHeight="1" x14ac:dyDescent="0.2">
      <c r="A108" s="316"/>
      <c r="B108" s="2092"/>
      <c r="C108" s="2093"/>
      <c r="D108" s="2093"/>
      <c r="E108" s="2093"/>
      <c r="F108" s="2093"/>
      <c r="G108" s="2093"/>
      <c r="H108" s="2093"/>
      <c r="I108" s="2094"/>
    </row>
    <row r="109" spans="1:9" s="181" customFormat="1" ht="11.25" customHeight="1" x14ac:dyDescent="0.2">
      <c r="A109" s="316"/>
      <c r="B109" s="2092"/>
      <c r="C109" s="2093"/>
      <c r="D109" s="2093"/>
      <c r="E109" s="2093"/>
      <c r="F109" s="2093"/>
      <c r="G109" s="2093"/>
      <c r="H109" s="2093"/>
      <c r="I109" s="2094"/>
    </row>
    <row r="110" spans="1:9" s="181" customFormat="1" ht="11.25" customHeight="1" x14ac:dyDescent="0.2">
      <c r="A110" s="316"/>
      <c r="B110" s="2092"/>
      <c r="C110" s="2093"/>
      <c r="D110" s="2093"/>
      <c r="E110" s="2093"/>
      <c r="F110" s="2093"/>
      <c r="G110" s="2093"/>
      <c r="H110" s="2093"/>
      <c r="I110" s="2094"/>
    </row>
    <row r="111" spans="1:9" s="181" customFormat="1" ht="11.25" customHeight="1" x14ac:dyDescent="0.2">
      <c r="A111" s="316"/>
      <c r="B111" s="2092"/>
      <c r="C111" s="2093"/>
      <c r="D111" s="2093"/>
      <c r="E111" s="2093"/>
      <c r="F111" s="2093"/>
      <c r="G111" s="2093"/>
      <c r="H111" s="2093"/>
      <c r="I111" s="2094"/>
    </row>
    <row r="112" spans="1:9" s="181" customFormat="1" ht="11.25" customHeight="1" x14ac:dyDescent="0.2">
      <c r="A112" s="316"/>
      <c r="B112" s="2095"/>
      <c r="C112" s="2096"/>
      <c r="D112" s="2096"/>
      <c r="E112" s="2096"/>
      <c r="F112" s="2096"/>
      <c r="G112" s="2096"/>
      <c r="H112" s="2096"/>
      <c r="I112" s="209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8" t="s">
        <v>2091</v>
      </c>
      <c r="D114" s="209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9" t="s">
        <v>1397</v>
      </c>
      <c r="D117" s="2100"/>
      <c r="E117" s="2101"/>
      <c r="F117" s="2101"/>
      <c r="G117" s="2101"/>
      <c r="H117" s="210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B1:N152"/>
  <sheetViews>
    <sheetView showGridLines="0" zoomScaleNormal="100" workbookViewId="0">
      <selection activeCell="J43" sqref="J4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4" t="str">
        <f>'Single Audit Cover'!A7</f>
        <v>Four Rivers Special Education District</v>
      </c>
      <c r="C1" s="2480"/>
      <c r="D1" s="2480"/>
      <c r="E1" s="2480"/>
      <c r="F1" s="2480"/>
      <c r="G1" s="2480"/>
      <c r="H1" s="2480"/>
      <c r="I1" s="2480"/>
      <c r="J1" s="2480"/>
      <c r="K1" s="2480"/>
      <c r="L1" s="2480"/>
      <c r="M1" s="2480"/>
    </row>
    <row r="2" spans="2:14" ht="15" x14ac:dyDescent="0.2">
      <c r="B2" s="2469">
        <f>'Single Audit Cover'!E7</f>
        <v>1069801060</v>
      </c>
      <c r="C2" s="2469"/>
      <c r="D2" s="2469"/>
      <c r="E2" s="2469"/>
      <c r="F2" s="2469"/>
      <c r="G2" s="2469"/>
      <c r="H2" s="2469"/>
      <c r="I2" s="2469"/>
      <c r="J2" s="2469"/>
      <c r="K2" s="2469"/>
      <c r="L2" s="2469"/>
      <c r="M2" s="2469"/>
      <c r="N2" s="1302"/>
    </row>
    <row r="3" spans="2:14" ht="15" x14ac:dyDescent="0.2">
      <c r="B3" s="2481" t="s">
        <v>1281</v>
      </c>
      <c r="C3" s="2481"/>
      <c r="D3" s="2481"/>
      <c r="E3" s="2481"/>
      <c r="F3" s="2481"/>
      <c r="G3" s="2481"/>
      <c r="H3" s="2481"/>
      <c r="I3" s="2481"/>
      <c r="J3" s="2481"/>
      <c r="K3" s="2481"/>
      <c r="L3" s="2481"/>
      <c r="M3" s="2481"/>
      <c r="N3" s="1302"/>
    </row>
    <row r="4" spans="2:14" ht="15" x14ac:dyDescent="0.2">
      <c r="B4" s="2482" t="str">
        <f>'Single Audit Cover'!A4</f>
        <v>Year Ending June 30, 2018</v>
      </c>
      <c r="C4" s="2482"/>
      <c r="D4" s="2482"/>
      <c r="E4" s="2482"/>
      <c r="F4" s="2482"/>
      <c r="G4" s="2482"/>
      <c r="H4" s="2482"/>
      <c r="I4" s="2482"/>
      <c r="J4" s="2482"/>
      <c r="K4" s="2482"/>
      <c r="L4" s="2482"/>
      <c r="M4" s="2482"/>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4" x14ac:dyDescent="0.2">
      <c r="B11" s="1958" t="s">
        <v>2116</v>
      </c>
      <c r="C11" s="1338"/>
      <c r="D11" s="1339"/>
      <c r="E11" s="1340"/>
      <c r="F11" s="1340"/>
      <c r="G11" s="1340"/>
      <c r="H11" s="1340"/>
      <c r="I11" s="1340"/>
      <c r="J11" s="1340"/>
      <c r="K11" s="1340"/>
      <c r="L11" s="1340">
        <f>+G11+I11+K11</f>
        <v>0</v>
      </c>
      <c r="M11" s="1340"/>
    </row>
    <row r="12" spans="2:14" ht="20.100000000000001" customHeight="1" x14ac:dyDescent="0.2">
      <c r="B12" s="1337" t="s">
        <v>2117</v>
      </c>
      <c r="C12" s="1341">
        <v>10.555</v>
      </c>
      <c r="D12" s="1342" t="s">
        <v>2120</v>
      </c>
      <c r="E12" s="1343">
        <v>23924</v>
      </c>
      <c r="F12" s="1343">
        <v>4230</v>
      </c>
      <c r="G12" s="1343">
        <v>23924</v>
      </c>
      <c r="H12" s="1343"/>
      <c r="I12" s="1343">
        <v>4230</v>
      </c>
      <c r="J12" s="1343"/>
      <c r="K12" s="1343"/>
      <c r="L12" s="1340">
        <f t="shared" ref="L12:L27" si="0">+G12+I12+K12</f>
        <v>28154</v>
      </c>
      <c r="M12" s="1343" t="s">
        <v>2114</v>
      </c>
    </row>
    <row r="13" spans="2:14" ht="20.100000000000001" customHeight="1" x14ac:dyDescent="0.2">
      <c r="B13" s="1337" t="s">
        <v>2117</v>
      </c>
      <c r="C13" s="1341">
        <v>10.555</v>
      </c>
      <c r="D13" s="1342" t="s">
        <v>2121</v>
      </c>
      <c r="E13" s="1343"/>
      <c r="F13" s="1343">
        <v>20433</v>
      </c>
      <c r="G13" s="1343"/>
      <c r="H13" s="1343"/>
      <c r="I13" s="1970">
        <v>20433</v>
      </c>
      <c r="J13" s="1343"/>
      <c r="K13" s="1343"/>
      <c r="L13" s="1340">
        <f t="shared" si="0"/>
        <v>20433</v>
      </c>
      <c r="M13" s="1343" t="s">
        <v>2114</v>
      </c>
    </row>
    <row r="14" spans="2:14" ht="20.100000000000001" customHeight="1" x14ac:dyDescent="0.2">
      <c r="B14" s="1337" t="s">
        <v>2118</v>
      </c>
      <c r="C14" s="1341">
        <v>10.555</v>
      </c>
      <c r="D14" s="1342">
        <v>2017</v>
      </c>
      <c r="E14" s="1343">
        <v>5235</v>
      </c>
      <c r="F14" s="1343"/>
      <c r="G14" s="1343">
        <v>5235</v>
      </c>
      <c r="H14" s="1343"/>
      <c r="I14" s="1343"/>
      <c r="J14" s="1343"/>
      <c r="K14" s="1343"/>
      <c r="L14" s="1340">
        <f t="shared" si="0"/>
        <v>5235</v>
      </c>
      <c r="M14" s="1343" t="s">
        <v>2114</v>
      </c>
    </row>
    <row r="15" spans="2:14" ht="20.100000000000001" customHeight="1" x14ac:dyDescent="0.2">
      <c r="B15" s="1337" t="s">
        <v>2118</v>
      </c>
      <c r="C15" s="1341">
        <v>10.555</v>
      </c>
      <c r="D15" s="1342">
        <v>2018</v>
      </c>
      <c r="E15" s="1343"/>
      <c r="F15" s="1343">
        <v>3921</v>
      </c>
      <c r="G15" s="1343"/>
      <c r="H15" s="1343"/>
      <c r="I15" s="1343">
        <v>3921</v>
      </c>
      <c r="J15" s="1343"/>
      <c r="K15" s="1343"/>
      <c r="L15" s="1340">
        <f t="shared" si="0"/>
        <v>3921</v>
      </c>
      <c r="M15" s="1343" t="s">
        <v>2114</v>
      </c>
    </row>
    <row r="16" spans="2:14" ht="20.100000000000001" customHeight="1" x14ac:dyDescent="0.2">
      <c r="B16" s="1957" t="s">
        <v>2119</v>
      </c>
      <c r="C16" s="1341"/>
      <c r="D16" s="1342"/>
      <c r="E16" s="1960">
        <f t="shared" ref="E16:K16" si="1">SUM(E12:E15)</f>
        <v>29159</v>
      </c>
      <c r="F16" s="1960">
        <f t="shared" si="1"/>
        <v>28584</v>
      </c>
      <c r="G16" s="1960">
        <f t="shared" si="1"/>
        <v>29159</v>
      </c>
      <c r="H16" s="1960">
        <f t="shared" si="1"/>
        <v>0</v>
      </c>
      <c r="I16" s="1960">
        <f t="shared" si="1"/>
        <v>28584</v>
      </c>
      <c r="J16" s="1960">
        <f t="shared" si="1"/>
        <v>0</v>
      </c>
      <c r="K16" s="1960">
        <f t="shared" si="1"/>
        <v>0</v>
      </c>
      <c r="L16" s="1961">
        <f t="shared" si="0"/>
        <v>57743</v>
      </c>
      <c r="M16" s="1960" t="s">
        <v>2114</v>
      </c>
    </row>
    <row r="17" spans="2:14" ht="20.100000000000001" customHeight="1" x14ac:dyDescent="0.2">
      <c r="B17" s="1337" t="s">
        <v>2122</v>
      </c>
      <c r="C17" s="1341">
        <v>10.553000000000001</v>
      </c>
      <c r="D17" s="1342" t="s">
        <v>2123</v>
      </c>
      <c r="E17" s="1343">
        <v>10712</v>
      </c>
      <c r="F17" s="1343">
        <v>1896</v>
      </c>
      <c r="G17" s="1343">
        <v>10712</v>
      </c>
      <c r="H17" s="1343"/>
      <c r="I17" s="1343">
        <v>1896</v>
      </c>
      <c r="J17" s="1343"/>
      <c r="K17" s="1343"/>
      <c r="L17" s="1340">
        <f t="shared" si="0"/>
        <v>12608</v>
      </c>
      <c r="M17" s="1343" t="s">
        <v>2114</v>
      </c>
    </row>
    <row r="18" spans="2:14" ht="20.100000000000001" customHeight="1" x14ac:dyDescent="0.2">
      <c r="B18" s="1337" t="s">
        <v>2122</v>
      </c>
      <c r="C18" s="1341">
        <v>10.553000000000001</v>
      </c>
      <c r="D18" s="1342" t="s">
        <v>2124</v>
      </c>
      <c r="E18" s="1343"/>
      <c r="F18" s="1343">
        <v>10165</v>
      </c>
      <c r="G18" s="1343"/>
      <c r="H18" s="1343"/>
      <c r="I18" s="1970">
        <v>10165</v>
      </c>
      <c r="J18" s="1343"/>
      <c r="K18" s="1343"/>
      <c r="L18" s="1340">
        <f t="shared" si="0"/>
        <v>10165</v>
      </c>
      <c r="M18" s="1343" t="s">
        <v>2114</v>
      </c>
    </row>
    <row r="19" spans="2:14" ht="20.100000000000001" customHeight="1" x14ac:dyDescent="0.2">
      <c r="B19" s="1957" t="s">
        <v>2125</v>
      </c>
      <c r="C19" s="1341"/>
      <c r="D19" s="1342"/>
      <c r="E19" s="1960">
        <f t="shared" ref="E19:K19" si="2">+E17+E18</f>
        <v>10712</v>
      </c>
      <c r="F19" s="1960">
        <f t="shared" si="2"/>
        <v>12061</v>
      </c>
      <c r="G19" s="1960">
        <f t="shared" si="2"/>
        <v>10712</v>
      </c>
      <c r="H19" s="1960">
        <f t="shared" si="2"/>
        <v>0</v>
      </c>
      <c r="I19" s="1960">
        <f t="shared" si="2"/>
        <v>12061</v>
      </c>
      <c r="J19" s="1960">
        <f t="shared" si="2"/>
        <v>0</v>
      </c>
      <c r="K19" s="1960">
        <f t="shared" si="2"/>
        <v>0</v>
      </c>
      <c r="L19" s="1961">
        <f t="shared" si="0"/>
        <v>22773</v>
      </c>
      <c r="M19" s="1960" t="s">
        <v>2114</v>
      </c>
    </row>
    <row r="20" spans="2:14" ht="20.100000000000001" customHeight="1" x14ac:dyDescent="0.2">
      <c r="B20" s="1337" t="s">
        <v>2126</v>
      </c>
      <c r="C20" s="1341"/>
      <c r="D20" s="1342"/>
      <c r="E20" s="1960">
        <f t="shared" ref="E20:K20" si="3">+E16+E19</f>
        <v>39871</v>
      </c>
      <c r="F20" s="1960">
        <f t="shared" si="3"/>
        <v>40645</v>
      </c>
      <c r="G20" s="1960">
        <f t="shared" si="3"/>
        <v>39871</v>
      </c>
      <c r="H20" s="1960">
        <f t="shared" si="3"/>
        <v>0</v>
      </c>
      <c r="I20" s="1960">
        <f t="shared" si="3"/>
        <v>40645</v>
      </c>
      <c r="J20" s="1960">
        <f t="shared" si="3"/>
        <v>0</v>
      </c>
      <c r="K20" s="1960">
        <f t="shared" si="3"/>
        <v>0</v>
      </c>
      <c r="L20" s="1961">
        <f t="shared" si="0"/>
        <v>80516</v>
      </c>
      <c r="M20" s="1960" t="s">
        <v>2114</v>
      </c>
    </row>
    <row r="21" spans="2:14" ht="20.100000000000001" customHeight="1" x14ac:dyDescent="0.2">
      <c r="B21" s="1958" t="s">
        <v>2127</v>
      </c>
      <c r="C21" s="1964"/>
      <c r="D21" s="1965"/>
      <c r="E21" s="1962">
        <f t="shared" ref="E21:K21" si="4">E20</f>
        <v>39871</v>
      </c>
      <c r="F21" s="1962">
        <f t="shared" si="4"/>
        <v>40645</v>
      </c>
      <c r="G21" s="1962">
        <f t="shared" si="4"/>
        <v>39871</v>
      </c>
      <c r="H21" s="1962">
        <f t="shared" si="4"/>
        <v>0</v>
      </c>
      <c r="I21" s="1962">
        <f t="shared" si="4"/>
        <v>40645</v>
      </c>
      <c r="J21" s="1962">
        <f t="shared" si="4"/>
        <v>0</v>
      </c>
      <c r="K21" s="1962">
        <f t="shared" si="4"/>
        <v>0</v>
      </c>
      <c r="L21" s="1963">
        <f t="shared" si="0"/>
        <v>80516</v>
      </c>
      <c r="M21" s="1962" t="s">
        <v>2114</v>
      </c>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959" t="s">
        <v>2128</v>
      </c>
      <c r="C23" s="1966"/>
      <c r="D23" s="1967"/>
      <c r="E23" s="1968">
        <f>' SEFA'!E19+' SEFA'!E24+' SEFA (2)'!E21</f>
        <v>2839356</v>
      </c>
      <c r="F23" s="1968">
        <f>' SEFA'!F19+' SEFA'!F24+' SEFA (2)'!F21</f>
        <v>3286305</v>
      </c>
      <c r="G23" s="1968">
        <f>' SEFA'!G19+' SEFA'!G24+' SEFA (2)'!G21</f>
        <v>3136954</v>
      </c>
      <c r="H23" s="1968">
        <f>' SEFA'!H19+' SEFA'!H24+' SEFA (2)'!H21</f>
        <v>70671</v>
      </c>
      <c r="I23" s="1968">
        <f>' SEFA'!I19+' SEFA'!I24+' SEFA (2)'!I21</f>
        <v>3270285</v>
      </c>
      <c r="J23" s="1968">
        <f>' SEFA'!J19+' SEFA'!J24+' SEFA (2)'!J21</f>
        <v>129931</v>
      </c>
      <c r="K23" s="1968">
        <f>' SEFA'!K19+' SEFA'!K24+' SEFA (2)'!K21</f>
        <v>356522</v>
      </c>
      <c r="L23" s="1969">
        <f t="shared" si="0"/>
        <v>6763761</v>
      </c>
      <c r="M23" s="1968">
        <f>' SEFA'!M19</f>
        <v>7474187</v>
      </c>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J63"/>
  <sheetViews>
    <sheetView showGridLines="0" zoomScale="110" zoomScaleNormal="110" workbookViewId="0">
      <selection activeCell="B1" sqref="B1:I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7" t="str">
        <f>'Single Audit Cover'!A7</f>
        <v>Four Rivers Special Education District</v>
      </c>
      <c r="C1" s="2488"/>
      <c r="D1" s="2488"/>
      <c r="E1" s="2488"/>
      <c r="F1" s="2488"/>
      <c r="G1" s="2488"/>
      <c r="H1" s="2488"/>
      <c r="I1" s="2488"/>
      <c r="J1" s="1422"/>
    </row>
    <row r="2" spans="2:10" s="317" customFormat="1" ht="12.75" customHeight="1" x14ac:dyDescent="0.2">
      <c r="B2" s="2489">
        <f>'Single Audit Cover'!E7</f>
        <v>1069801060</v>
      </c>
      <c r="C2" s="2490"/>
      <c r="D2" s="2490"/>
      <c r="E2" s="2490"/>
      <c r="F2" s="2490"/>
      <c r="G2" s="2490"/>
      <c r="H2" s="2490"/>
      <c r="I2" s="2490"/>
      <c r="J2" s="1422"/>
    </row>
    <row r="3" spans="2:10" s="317" customFormat="1" ht="12.75" customHeight="1" x14ac:dyDescent="0.2">
      <c r="B3" s="2491" t="s">
        <v>1347</v>
      </c>
      <c r="C3" s="2492"/>
      <c r="D3" s="2492"/>
      <c r="E3" s="2492"/>
      <c r="F3" s="2492"/>
      <c r="G3" s="2492"/>
      <c r="H3" s="2492"/>
      <c r="I3" s="2492"/>
      <c r="J3" s="1423"/>
    </row>
    <row r="4" spans="2:10" s="317" customFormat="1" ht="12.75" customHeight="1" x14ac:dyDescent="0.2">
      <c r="B4" s="2491" t="str">
        <f>'Single Audit Cover'!A4</f>
        <v>Year Ending June 30, 2018</v>
      </c>
      <c r="C4" s="2492"/>
      <c r="D4" s="2492"/>
      <c r="E4" s="2492"/>
      <c r="F4" s="2492"/>
      <c r="G4" s="2492"/>
      <c r="H4" s="2492"/>
      <c r="I4" s="249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1" t="s">
        <v>1346</v>
      </c>
      <c r="C7" s="2492"/>
      <c r="D7" s="2492"/>
      <c r="E7" s="2492"/>
      <c r="F7" s="2492"/>
      <c r="G7" s="2492"/>
      <c r="H7" s="2492"/>
      <c r="I7" s="249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3" t="s">
        <v>1226</v>
      </c>
      <c r="D11" s="249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2074</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t="s">
        <v>2074</v>
      </c>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4" t="s">
        <v>2143</v>
      </c>
      <c r="E29" s="2494"/>
      <c r="F29" s="2494"/>
      <c r="G29" s="2494"/>
      <c r="H29" s="2494"/>
      <c r="I29" s="2494"/>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2074</v>
      </c>
      <c r="F33" s="1300" t="s">
        <v>940</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5" t="s">
        <v>1851</v>
      </c>
      <c r="D37" s="2496"/>
      <c r="E37" s="2496"/>
      <c r="F37" s="2497"/>
      <c r="G37" s="2495" t="s">
        <v>1674</v>
      </c>
      <c r="H37" s="2496"/>
      <c r="I37" s="2497"/>
    </row>
    <row r="38" spans="2:9" ht="16.5" customHeight="1" x14ac:dyDescent="0.2">
      <c r="B38" s="1444" t="s">
        <v>2144</v>
      </c>
      <c r="C38" s="2483" t="s">
        <v>2145</v>
      </c>
      <c r="D38" s="2484"/>
      <c r="E38" s="2484"/>
      <c r="F38" s="2485"/>
      <c r="G38" s="2498">
        <v>3158846</v>
      </c>
      <c r="H38" s="2499"/>
      <c r="I38" s="2500"/>
    </row>
    <row r="39" spans="2:9" ht="16.5" customHeight="1" x14ac:dyDescent="0.2">
      <c r="B39" s="1444"/>
      <c r="C39" s="2483"/>
      <c r="D39" s="2484"/>
      <c r="E39" s="2484"/>
      <c r="F39" s="2485"/>
      <c r="G39" s="2486"/>
      <c r="H39" s="2486"/>
      <c r="I39" s="2486"/>
    </row>
    <row r="40" spans="2:9" ht="16.5" customHeight="1" x14ac:dyDescent="0.2">
      <c r="B40" s="1444"/>
      <c r="C40" s="2483"/>
      <c r="D40" s="2484"/>
      <c r="E40" s="2484"/>
      <c r="F40" s="2485"/>
      <c r="G40" s="2486"/>
      <c r="H40" s="2486"/>
      <c r="I40" s="2486"/>
    </row>
    <row r="41" spans="2:9" ht="16.5" customHeight="1" x14ac:dyDescent="0.2">
      <c r="B41" s="1444"/>
      <c r="C41" s="2483"/>
      <c r="D41" s="2484"/>
      <c r="E41" s="2484"/>
      <c r="F41" s="2485"/>
      <c r="G41" s="2486"/>
      <c r="H41" s="2486"/>
      <c r="I41" s="2486"/>
    </row>
    <row r="42" spans="2:9" ht="16.5" customHeight="1" x14ac:dyDescent="0.2">
      <c r="B42" s="1444"/>
      <c r="C42" s="2483"/>
      <c r="D42" s="2484"/>
      <c r="E42" s="2484"/>
      <c r="F42" s="2485"/>
      <c r="G42" s="2486"/>
      <c r="H42" s="2486"/>
      <c r="I42" s="2486"/>
    </row>
    <row r="43" spans="2:9" ht="16.5" customHeight="1" x14ac:dyDescent="0.2">
      <c r="B43" s="1444"/>
      <c r="C43" s="2501" t="s">
        <v>1675</v>
      </c>
      <c r="D43" s="2502"/>
      <c r="E43" s="2502"/>
      <c r="F43" s="2503"/>
      <c r="G43" s="2504">
        <f>SUM(G38:I42)</f>
        <v>3158846</v>
      </c>
      <c r="H43" s="2504"/>
      <c r="I43" s="2504"/>
    </row>
    <row r="44" spans="2:9" ht="12.75" customHeight="1" x14ac:dyDescent="0.2"/>
    <row r="45" spans="2:9" ht="12.75" customHeight="1" x14ac:dyDescent="0.2">
      <c r="B45" s="1435" t="s">
        <v>1949</v>
      </c>
      <c r="D45" s="2505">
        <v>3270285</v>
      </c>
      <c r="E45" s="2506"/>
    </row>
    <row r="46" spans="2:9" ht="5.25" customHeight="1" x14ac:dyDescent="0.2">
      <c r="B46" s="1445"/>
      <c r="D46" s="1446"/>
      <c r="E46" s="1447"/>
    </row>
    <row r="47" spans="2:9" ht="12.75" customHeight="1" x14ac:dyDescent="0.2">
      <c r="B47" s="1300" t="s">
        <v>1676</v>
      </c>
      <c r="C47" s="1300"/>
      <c r="D47" s="1448">
        <f>+G43/D45</f>
        <v>0.96592376505411603</v>
      </c>
      <c r="E47" s="1449"/>
      <c r="F47" s="1450"/>
      <c r="I47" s="1451"/>
    </row>
    <row r="48" spans="2:9" ht="9.9499999999999993" customHeight="1" x14ac:dyDescent="0.2"/>
    <row r="49" spans="1:9" x14ac:dyDescent="0.2">
      <c r="B49" s="1368" t="s">
        <v>1335</v>
      </c>
      <c r="C49" s="1282"/>
      <c r="D49" s="1282"/>
      <c r="E49" s="2507">
        <v>750000</v>
      </c>
      <c r="F49" s="2507"/>
      <c r="G49" s="2507"/>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M41"/>
  <sheetViews>
    <sheetView showGridLines="0" topLeftCell="A6"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Four Rivers Special Education District</v>
      </c>
      <c r="C1" s="2487"/>
      <c r="D1" s="2487"/>
      <c r="E1" s="2487"/>
      <c r="F1" s="2487"/>
      <c r="G1" s="2487"/>
      <c r="H1" s="2487"/>
      <c r="I1" s="2487"/>
      <c r="J1" s="2487"/>
      <c r="K1" s="2487"/>
      <c r="L1" s="1374"/>
      <c r="M1" s="1374"/>
    </row>
    <row r="2" spans="1:13" ht="12" customHeight="1" x14ac:dyDescent="0.2">
      <c r="B2" s="2489">
        <f>'Single Audit Cover'!E7</f>
        <v>1069801060</v>
      </c>
      <c r="C2" s="2489"/>
      <c r="D2" s="2489"/>
      <c r="E2" s="2489"/>
      <c r="F2" s="2489"/>
      <c r="G2" s="2489"/>
      <c r="H2" s="2489"/>
      <c r="I2" s="2489"/>
      <c r="J2" s="2489"/>
      <c r="K2" s="2489"/>
      <c r="L2" s="1375"/>
      <c r="M2" s="1376"/>
    </row>
    <row r="3" spans="1:13" ht="10.35" customHeight="1" x14ac:dyDescent="0.2">
      <c r="B3" s="2510" t="s">
        <v>1347</v>
      </c>
      <c r="C3" s="2510"/>
      <c r="D3" s="2510"/>
      <c r="E3" s="2510"/>
      <c r="F3" s="2510"/>
      <c r="G3" s="2510"/>
      <c r="H3" s="2510"/>
      <c r="I3" s="2510"/>
      <c r="J3" s="2510"/>
      <c r="K3" s="2510"/>
      <c r="L3" s="1377"/>
      <c r="M3" s="1377"/>
    </row>
    <row r="4" spans="1:13" ht="14.25" customHeight="1" x14ac:dyDescent="0.2">
      <c r="B4" s="2511" t="str">
        <f>'Single Audit Cover'!A4</f>
        <v>Year Ending June 30, 2018</v>
      </c>
      <c r="C4" s="2511"/>
      <c r="D4" s="2511"/>
      <c r="E4" s="2511"/>
      <c r="F4" s="2511"/>
      <c r="G4" s="2511"/>
      <c r="H4" s="2511"/>
      <c r="I4" s="2511"/>
      <c r="J4" s="2511"/>
      <c r="K4" s="251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1" t="s">
        <v>1363</v>
      </c>
      <c r="C7" s="2511"/>
      <c r="D7" s="2512"/>
      <c r="E7" s="2512"/>
      <c r="F7" s="2512"/>
      <c r="G7" s="2512"/>
      <c r="H7" s="2512"/>
      <c r="I7" s="2512"/>
      <c r="J7" s="2512"/>
      <c r="K7" s="251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1</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9" t="s">
        <v>2149</v>
      </c>
      <c r="C14" s="2509"/>
      <c r="D14" s="2509"/>
      <c r="E14" s="2509"/>
      <c r="F14" s="2509"/>
      <c r="G14" s="2509"/>
      <c r="H14" s="2509"/>
      <c r="I14" s="2509"/>
      <c r="J14" s="2509"/>
      <c r="K14" s="250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9" t="s">
        <v>2150</v>
      </c>
      <c r="C17" s="2509"/>
      <c r="D17" s="2509"/>
      <c r="E17" s="2509"/>
      <c r="F17" s="2509"/>
      <c r="G17" s="2509"/>
      <c r="H17" s="2509"/>
      <c r="I17" s="2509"/>
      <c r="J17" s="2509"/>
      <c r="K17" s="2509"/>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3" t="s">
        <v>2151</v>
      </c>
      <c r="C20" s="2513"/>
      <c r="D20" s="2509"/>
      <c r="E20" s="2509"/>
      <c r="F20" s="2509"/>
      <c r="G20" s="2509"/>
      <c r="H20" s="2509"/>
      <c r="I20" s="2509"/>
      <c r="J20" s="2509"/>
      <c r="K20" s="250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9" t="s">
        <v>2152</v>
      </c>
      <c r="C23" s="2509"/>
      <c r="D23" s="2509"/>
      <c r="E23" s="2509"/>
      <c r="F23" s="2509"/>
      <c r="G23" s="2509"/>
      <c r="H23" s="2509"/>
      <c r="I23" s="2509"/>
      <c r="J23" s="2509"/>
      <c r="K23" s="250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9" t="s">
        <v>2153</v>
      </c>
      <c r="C26" s="2509"/>
      <c r="D26" s="2509"/>
      <c r="E26" s="2509"/>
      <c r="F26" s="2509"/>
      <c r="G26" s="2509"/>
      <c r="H26" s="2509"/>
      <c r="I26" s="2509"/>
      <c r="J26" s="2509"/>
      <c r="K26" s="250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8" t="s">
        <v>2154</v>
      </c>
      <c r="C29" s="2508"/>
      <c r="D29" s="2509"/>
      <c r="E29" s="2509"/>
      <c r="F29" s="2509"/>
      <c r="G29" s="2509"/>
      <c r="H29" s="2509"/>
      <c r="I29" s="2509"/>
      <c r="J29" s="2509"/>
      <c r="K29" s="250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8" t="s">
        <v>2155</v>
      </c>
      <c r="C32" s="2508"/>
      <c r="D32" s="2509"/>
      <c r="E32" s="2509"/>
      <c r="F32" s="2509"/>
      <c r="G32" s="2509"/>
      <c r="H32" s="2509"/>
      <c r="I32" s="2509"/>
      <c r="J32" s="2509"/>
      <c r="K32" s="250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L52"/>
  <sheetViews>
    <sheetView showGridLines="0" topLeftCell="A7" zoomScale="110" zoomScaleNormal="110" workbookViewId="0">
      <selection activeCell="B27" sqref="B2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4" t="str">
        <f>'Single Audit Cover'!A7</f>
        <v>Four Rivers Special Education District</v>
      </c>
      <c r="C1" s="2514"/>
      <c r="D1" s="2514"/>
      <c r="E1" s="2514"/>
      <c r="F1" s="2514"/>
      <c r="G1" s="2514"/>
      <c r="H1" s="2514"/>
      <c r="I1" s="2514"/>
      <c r="J1" s="2514"/>
      <c r="K1" s="2514"/>
      <c r="L1" s="1465"/>
    </row>
    <row r="2" spans="1:12" ht="12.75" customHeight="1" x14ac:dyDescent="0.2">
      <c r="B2" s="2515">
        <f>'Single Audit Cover'!E7</f>
        <v>1069801060</v>
      </c>
      <c r="C2" s="2515"/>
      <c r="D2" s="2515"/>
      <c r="E2" s="2515"/>
      <c r="F2" s="2515"/>
      <c r="G2" s="2515"/>
      <c r="H2" s="2515"/>
      <c r="I2" s="2515"/>
      <c r="J2" s="2515"/>
      <c r="K2" s="2515"/>
      <c r="L2" s="1466"/>
    </row>
    <row r="3" spans="1:12" ht="12.75" customHeight="1" x14ac:dyDescent="0.2">
      <c r="B3" s="2510" t="s">
        <v>1347</v>
      </c>
      <c r="C3" s="2510"/>
      <c r="D3" s="2510"/>
      <c r="E3" s="2510"/>
      <c r="F3" s="2510"/>
      <c r="G3" s="2510"/>
      <c r="H3" s="2510"/>
      <c r="I3" s="2510"/>
      <c r="J3" s="2510"/>
      <c r="K3" s="2510"/>
      <c r="L3" s="1377"/>
    </row>
    <row r="4" spans="1:12" ht="12.75" customHeight="1" x14ac:dyDescent="0.2">
      <c r="B4" s="2510" t="str">
        <f>'Single Audit Cover'!A4</f>
        <v>Year Ending June 30, 2018</v>
      </c>
      <c r="C4" s="2510"/>
      <c r="D4" s="2510"/>
      <c r="E4" s="2510"/>
      <c r="F4" s="2510"/>
      <c r="G4" s="2510"/>
      <c r="H4" s="2510"/>
      <c r="I4" s="2510"/>
      <c r="J4" s="2510"/>
      <c r="K4" s="2510"/>
      <c r="L4" s="1377"/>
    </row>
    <row r="5" spans="1:12" ht="5.25" customHeight="1" x14ac:dyDescent="0.2">
      <c r="B5" s="1260" t="s">
        <v>1231</v>
      </c>
      <c r="C5" s="1260"/>
      <c r="L5" s="322"/>
    </row>
    <row r="6" spans="1:12" ht="30.75" customHeight="1" x14ac:dyDescent="0.2">
      <c r="A6" s="322"/>
      <c r="B6" s="2516" t="s">
        <v>1375</v>
      </c>
      <c r="C6" s="2516"/>
      <c r="D6" s="2516"/>
      <c r="E6" s="2516"/>
      <c r="F6" s="2516"/>
      <c r="G6" s="2516"/>
      <c r="H6" s="2516"/>
      <c r="I6" s="2516"/>
      <c r="J6" s="2516"/>
      <c r="K6" s="2516"/>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2</v>
      </c>
      <c r="E8" s="322"/>
      <c r="F8" s="1384" t="s">
        <v>1362</v>
      </c>
      <c r="G8" s="1469"/>
      <c r="H8" s="1470" t="s">
        <v>1374</v>
      </c>
      <c r="I8" s="1469" t="s">
        <v>2074</v>
      </c>
      <c r="J8" s="1471" t="s">
        <v>1373</v>
      </c>
      <c r="L8" s="322"/>
    </row>
    <row r="9" spans="1:12" ht="13.5" customHeight="1" x14ac:dyDescent="0.2">
      <c r="D9" s="322"/>
      <c r="E9" s="322"/>
      <c r="F9" s="322"/>
      <c r="G9" s="1383"/>
      <c r="H9" s="322"/>
      <c r="I9" s="1472" t="s">
        <v>1359</v>
      </c>
      <c r="J9" s="322"/>
      <c r="K9" s="1473">
        <v>2007</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4" t="s">
        <v>2156</v>
      </c>
      <c r="G12" s="2494"/>
      <c r="H12" s="2494"/>
      <c r="I12" s="2494"/>
      <c r="J12" s="2494"/>
      <c r="K12" s="249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7" t="s">
        <v>2157</v>
      </c>
      <c r="E14" s="2517"/>
      <c r="F14" s="2517"/>
      <c r="H14" s="1475" t="s">
        <v>1370</v>
      </c>
      <c r="I14" s="2518" t="s">
        <v>2144</v>
      </c>
      <c r="J14" s="2518"/>
      <c r="K14" s="251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8" t="s">
        <v>2158</v>
      </c>
      <c r="E16" s="2518"/>
      <c r="F16" s="2518"/>
      <c r="G16" s="2518"/>
      <c r="H16" s="2518"/>
      <c r="I16" s="2518"/>
      <c r="J16" s="2518"/>
      <c r="K16" s="2518"/>
      <c r="L16" s="322"/>
    </row>
    <row r="17" spans="2:12" ht="13.5" customHeight="1" x14ac:dyDescent="0.2">
      <c r="B17" s="1387" t="s">
        <v>1368</v>
      </c>
      <c r="C17" s="1387"/>
      <c r="D17" s="2519" t="s">
        <v>2159</v>
      </c>
      <c r="E17" s="2519"/>
      <c r="F17" s="2519"/>
      <c r="G17" s="2519"/>
      <c r="H17" s="2519"/>
      <c r="I17" s="2519"/>
      <c r="J17" s="2519"/>
      <c r="K17" s="251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9" t="s">
        <v>2160</v>
      </c>
      <c r="C20" s="2509"/>
      <c r="D20" s="2509"/>
      <c r="E20" s="2509"/>
      <c r="F20" s="2509"/>
      <c r="G20" s="2509"/>
      <c r="H20" s="2509"/>
      <c r="I20" s="2509"/>
      <c r="J20" s="2509"/>
      <c r="K20" s="250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9"/>
      <c r="C23" s="2509"/>
      <c r="D23" s="2509"/>
      <c r="E23" s="2509"/>
      <c r="F23" s="2509"/>
      <c r="G23" s="2509"/>
      <c r="H23" s="2509"/>
      <c r="I23" s="2509"/>
      <c r="J23" s="2509"/>
      <c r="K23" s="250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9" t="s">
        <v>2161</v>
      </c>
      <c r="C26" s="2509"/>
      <c r="D26" s="2509"/>
      <c r="E26" s="2509"/>
      <c r="F26" s="2509"/>
      <c r="G26" s="2509"/>
      <c r="H26" s="2509"/>
      <c r="I26" s="2509"/>
      <c r="J26" s="2509"/>
      <c r="K26" s="250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9"/>
      <c r="C29" s="2509"/>
      <c r="D29" s="2509"/>
      <c r="E29" s="2509"/>
      <c r="F29" s="2509"/>
      <c r="G29" s="2509"/>
      <c r="H29" s="2509"/>
      <c r="I29" s="2509"/>
      <c r="J29" s="2509"/>
      <c r="K29" s="250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9"/>
      <c r="C32" s="2509"/>
      <c r="D32" s="2509"/>
      <c r="E32" s="2509"/>
      <c r="F32" s="2509"/>
      <c r="G32" s="2509"/>
      <c r="H32" s="2509"/>
      <c r="I32" s="2509"/>
      <c r="J32" s="2509"/>
      <c r="K32" s="250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9"/>
      <c r="C35" s="2509"/>
      <c r="D35" s="2509"/>
      <c r="E35" s="2509"/>
      <c r="F35" s="2509"/>
      <c r="G35" s="2509"/>
      <c r="H35" s="2509"/>
      <c r="I35" s="2509"/>
      <c r="J35" s="2509"/>
      <c r="K35" s="250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9"/>
      <c r="C38" s="2509"/>
      <c r="D38" s="2509"/>
      <c r="E38" s="2509"/>
      <c r="F38" s="2509"/>
      <c r="G38" s="2509"/>
      <c r="H38" s="2509"/>
      <c r="I38" s="2509"/>
      <c r="J38" s="2509"/>
      <c r="K38" s="250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9"/>
      <c r="C41" s="2509"/>
      <c r="D41" s="2509"/>
      <c r="E41" s="2509"/>
      <c r="F41" s="2509"/>
      <c r="G41" s="2509"/>
      <c r="H41" s="2509"/>
      <c r="I41" s="2509"/>
      <c r="J41" s="2509"/>
      <c r="K41" s="250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B1:E73"/>
  <sheetViews>
    <sheetView showGridLines="0" zoomScale="110" zoomScaleNormal="110" workbookViewId="0">
      <selection activeCell="C5" sqref="C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7" t="str">
        <f>'Single Audit Cover'!A7</f>
        <v>Four Rivers Special Education District</v>
      </c>
      <c r="C1" s="2487"/>
      <c r="D1" s="2487"/>
      <c r="E1" s="1491"/>
    </row>
    <row r="2" spans="2:5" s="1282" customFormat="1" ht="12.75" customHeight="1" x14ac:dyDescent="0.2">
      <c r="B2" s="2489">
        <f>'Single Audit Cover'!E7</f>
        <v>1069801060</v>
      </c>
      <c r="C2" s="2489"/>
      <c r="D2" s="2489"/>
      <c r="E2" s="1492"/>
    </row>
    <row r="3" spans="2:5" ht="12.75" customHeight="1" x14ac:dyDescent="0.2">
      <c r="B3" s="2510" t="s">
        <v>1866</v>
      </c>
      <c r="C3" s="2510"/>
      <c r="D3" s="2510"/>
      <c r="E3" s="1274"/>
    </row>
    <row r="4" spans="2:5" s="1282" customFormat="1" ht="12.75" customHeight="1" x14ac:dyDescent="0.2">
      <c r="B4" s="2520" t="str">
        <f>'Single Audit Cover'!A4</f>
        <v>Year Ending June 30, 2018</v>
      </c>
      <c r="C4" s="2520"/>
      <c r="D4" s="2520"/>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2171</v>
      </c>
      <c r="C8" s="324" t="s">
        <v>2162</v>
      </c>
      <c r="D8" s="324"/>
      <c r="E8" s="324"/>
    </row>
    <row r="9" spans="2:5" ht="13.5" customHeight="1" x14ac:dyDescent="0.2">
      <c r="B9" s="1497"/>
      <c r="C9" s="323" t="s">
        <v>2163</v>
      </c>
      <c r="D9" s="323" t="s">
        <v>2160</v>
      </c>
      <c r="E9" s="323"/>
    </row>
    <row r="10" spans="2:5" ht="13.5" customHeight="1" x14ac:dyDescent="0.2">
      <c r="B10" s="1496"/>
      <c r="C10" s="323" t="s">
        <v>2164</v>
      </c>
      <c r="D10" s="323"/>
      <c r="E10" s="323"/>
    </row>
    <row r="11" spans="2:5" ht="13.5" customHeight="1" x14ac:dyDescent="0.2">
      <c r="B11" s="1496"/>
      <c r="C11" s="323"/>
      <c r="D11" s="323"/>
      <c r="E11" s="323"/>
    </row>
    <row r="12" spans="2:5" ht="13.5" customHeight="1" x14ac:dyDescent="0.2">
      <c r="B12" s="1496" t="s">
        <v>2172</v>
      </c>
      <c r="C12" s="323" t="s">
        <v>2165</v>
      </c>
      <c r="D12" s="323" t="s">
        <v>2167</v>
      </c>
      <c r="E12" s="323"/>
    </row>
    <row r="13" spans="2:5" ht="13.5" customHeight="1" x14ac:dyDescent="0.2">
      <c r="B13" s="1496"/>
      <c r="C13" s="323" t="s">
        <v>2166</v>
      </c>
      <c r="D13" s="323" t="s">
        <v>2168</v>
      </c>
      <c r="E13" s="323"/>
    </row>
    <row r="14" spans="2:5" ht="13.5" customHeight="1" x14ac:dyDescent="0.2">
      <c r="B14" s="1496"/>
      <c r="C14" s="323"/>
      <c r="D14" s="323" t="s">
        <v>2169</v>
      </c>
      <c r="E14" s="323"/>
    </row>
    <row r="15" spans="2:5" ht="13.5" customHeight="1" x14ac:dyDescent="0.2">
      <c r="B15" s="1496"/>
      <c r="C15" s="323"/>
      <c r="D15" s="323" t="s">
        <v>2170</v>
      </c>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tabSelected="1" defaultGridColor="0" colorId="8" zoomScale="110" zoomScaleNormal="110" workbookViewId="0">
      <selection activeCell="A199" sqref="A19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8" t="s">
        <v>404</v>
      </c>
      <c r="B1" s="2118"/>
      <c r="C1" s="2118"/>
      <c r="D1" s="2118"/>
      <c r="E1" s="2118"/>
      <c r="F1" s="2118"/>
      <c r="G1" s="2118"/>
      <c r="H1" s="2118"/>
      <c r="I1" s="2118"/>
      <c r="J1" s="2118"/>
      <c r="K1" s="2118"/>
      <c r="L1" s="2118"/>
      <c r="M1" s="211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28" t="str">
        <f>IF(SUM(J10)&lt;=0.0999999,"","Enter the Tax Rates by moving the decimal two places to the left.")</f>
        <v/>
      </c>
      <c r="E11" s="2129"/>
      <c r="F11" s="2129"/>
      <c r="G11" s="2129"/>
      <c r="H11" s="2129"/>
      <c r="I11" s="2129"/>
      <c r="J11" s="212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6872354</v>
      </c>
      <c r="E16" s="356"/>
      <c r="F16" s="1755">
        <f>SUM('Acct Summary 7-8'!C17,'Acct Summary 7-8'!D17,'Acct Summary 7-8'!F17)</f>
        <v>6478027</v>
      </c>
      <c r="G16" s="356"/>
      <c r="H16" s="1755">
        <f>SUM(D16-F16)</f>
        <v>394327</v>
      </c>
      <c r="I16" s="222"/>
      <c r="J16" s="1755">
        <f>SUM('Acct Summary 7-8'!C81,'Acct Summary 7-8'!D81,'Acct Summary 7-8'!F81,'Acct Summary 7-8'!I81)</f>
        <v>2757329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9"/>
      <c r="C54" s="2120"/>
      <c r="D54" s="2120"/>
      <c r="E54" s="2120"/>
      <c r="F54" s="2120"/>
      <c r="G54" s="2120"/>
      <c r="H54" s="2120"/>
      <c r="I54" s="2120"/>
      <c r="J54" s="2120"/>
      <c r="K54" s="2120"/>
      <c r="L54" s="2121"/>
      <c r="M54" s="380"/>
    </row>
    <row r="55" spans="1:13" ht="12.75" customHeight="1" x14ac:dyDescent="0.2">
      <c r="B55" s="2122"/>
      <c r="C55" s="2123"/>
      <c r="D55" s="2123"/>
      <c r="E55" s="2123"/>
      <c r="F55" s="2123"/>
      <c r="G55" s="2123"/>
      <c r="H55" s="2123"/>
      <c r="I55" s="2123"/>
      <c r="J55" s="2123"/>
      <c r="K55" s="2123"/>
      <c r="L55" s="2124"/>
      <c r="M55" s="380"/>
    </row>
    <row r="56" spans="1:13" ht="12.75" customHeight="1" x14ac:dyDescent="0.2">
      <c r="B56" s="2122"/>
      <c r="C56" s="2123"/>
      <c r="D56" s="2123"/>
      <c r="E56" s="2123"/>
      <c r="F56" s="2123"/>
      <c r="G56" s="2123"/>
      <c r="H56" s="2123"/>
      <c r="I56" s="2123"/>
      <c r="J56" s="2123"/>
      <c r="K56" s="2123"/>
      <c r="L56" s="2124"/>
      <c r="M56" s="222"/>
    </row>
    <row r="57" spans="1:13" ht="12.75" customHeight="1" x14ac:dyDescent="0.2">
      <c r="B57" s="2122"/>
      <c r="C57" s="2123"/>
      <c r="D57" s="2123"/>
      <c r="E57" s="2123"/>
      <c r="F57" s="2123"/>
      <c r="G57" s="2123"/>
      <c r="H57" s="2123"/>
      <c r="I57" s="2123"/>
      <c r="J57" s="2123"/>
      <c r="K57" s="2123"/>
      <c r="L57" s="2124"/>
      <c r="M57" s="222"/>
    </row>
    <row r="58" spans="1:13" x14ac:dyDescent="0.2">
      <c r="B58" s="2125"/>
      <c r="C58" s="2126"/>
      <c r="D58" s="2126"/>
      <c r="E58" s="2126"/>
      <c r="F58" s="2126"/>
      <c r="G58" s="2126"/>
      <c r="H58" s="2126"/>
      <c r="I58" s="2126"/>
      <c r="J58" s="2126"/>
      <c r="K58" s="2126"/>
      <c r="L58" s="212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0"/>
      <c r="D61" s="213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abSelected="1" topLeftCell="A7" zoomScale="110" zoomScaleNormal="110" workbookViewId="0">
      <selection activeCell="A199" sqref="A19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3"/>
      <c r="B1" s="2134"/>
      <c r="C1" s="2134"/>
      <c r="D1" s="384"/>
      <c r="E1" s="384"/>
      <c r="F1" s="384"/>
      <c r="G1" s="384"/>
      <c r="H1" s="384"/>
      <c r="I1" s="384"/>
      <c r="J1" s="384"/>
      <c r="K1" s="384"/>
      <c r="L1" s="384"/>
      <c r="M1" s="384"/>
      <c r="N1" s="384"/>
      <c r="O1" s="2133"/>
      <c r="P1" s="2134"/>
      <c r="Q1" s="2134"/>
    </row>
    <row r="2" spans="1:18" ht="15" x14ac:dyDescent="0.2">
      <c r="A2" s="2137" t="s">
        <v>577</v>
      </c>
      <c r="B2" s="2137"/>
      <c r="C2" s="2137"/>
      <c r="D2" s="2137"/>
      <c r="E2" s="2137"/>
      <c r="F2" s="2137"/>
      <c r="G2" s="2137"/>
      <c r="H2" s="2137"/>
      <c r="I2" s="2137"/>
      <c r="J2" s="2137"/>
      <c r="K2" s="2137"/>
      <c r="L2" s="2137"/>
      <c r="M2" s="2137"/>
      <c r="N2" s="2137"/>
      <c r="O2" s="2137"/>
      <c r="P2" s="2137"/>
      <c r="Q2" s="2137"/>
      <c r="R2" s="2137"/>
    </row>
    <row r="3" spans="1:18" ht="12.75" x14ac:dyDescent="0.2">
      <c r="A3" s="2138" t="s">
        <v>1480</v>
      </c>
      <c r="B3" s="2138"/>
      <c r="C3" s="2138"/>
      <c r="D3" s="2138"/>
      <c r="E3" s="2138"/>
      <c r="F3" s="2138"/>
      <c r="G3" s="2138"/>
      <c r="H3" s="2138"/>
      <c r="I3" s="2138"/>
      <c r="J3" s="2138"/>
      <c r="K3" s="2138"/>
      <c r="L3" s="2138"/>
      <c r="M3" s="2138"/>
      <c r="N3" s="2138"/>
      <c r="O3" s="2138"/>
      <c r="P3" s="2138"/>
      <c r="Q3" s="2138"/>
      <c r="R3" s="2138"/>
    </row>
    <row r="4" spans="1:18" x14ac:dyDescent="0.2">
      <c r="A4" s="2139" t="s">
        <v>1635</v>
      </c>
      <c r="B4" s="2139"/>
      <c r="C4" s="2139"/>
      <c r="D4" s="2139"/>
      <c r="E4" s="2139"/>
      <c r="F4" s="2139"/>
      <c r="G4" s="2139"/>
      <c r="H4" s="2139"/>
      <c r="I4" s="2139"/>
      <c r="J4" s="2139"/>
      <c r="K4" s="2139"/>
      <c r="L4" s="2139"/>
      <c r="M4" s="2139"/>
      <c r="N4" s="2139"/>
      <c r="O4" s="2139"/>
      <c r="P4" s="2139"/>
      <c r="Q4" s="2139"/>
      <c r="R4" s="213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Four Rivers Special Education District</v>
      </c>
      <c r="E7" s="391"/>
      <c r="G7" s="252"/>
      <c r="H7" s="387"/>
      <c r="I7" s="387"/>
      <c r="J7" s="387"/>
      <c r="K7" s="387"/>
      <c r="L7" s="329"/>
      <c r="M7" s="329"/>
      <c r="N7" s="329"/>
      <c r="O7" s="329"/>
      <c r="P7" s="329"/>
    </row>
    <row r="8" spans="1:18" ht="12.75" x14ac:dyDescent="0.2">
      <c r="A8" s="329"/>
      <c r="B8" s="329"/>
      <c r="C8" s="389" t="s">
        <v>1187</v>
      </c>
      <c r="D8" s="392">
        <f>COVER!A13</f>
        <v>1069801060</v>
      </c>
      <c r="E8" s="393"/>
      <c r="G8" s="329"/>
      <c r="H8" s="329"/>
      <c r="I8" s="329"/>
      <c r="J8" s="329"/>
      <c r="K8" s="329"/>
      <c r="L8" s="329"/>
      <c r="M8" s="329"/>
      <c r="N8" s="329"/>
      <c r="O8" s="329"/>
      <c r="P8" s="329"/>
    </row>
    <row r="9" spans="1:18" ht="12.75" x14ac:dyDescent="0.2">
      <c r="A9" s="329"/>
      <c r="B9" s="329"/>
      <c r="C9" s="389" t="s">
        <v>737</v>
      </c>
      <c r="D9" s="394" t="str">
        <f>COVER!A15</f>
        <v>Morgan, Cass, Brown, Calhoun, Pike, Greene, Macoupin, Scott</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2757329</v>
      </c>
      <c r="I12" s="404"/>
      <c r="J12" s="404"/>
      <c r="K12" s="405">
        <f>TRUNC((H12/H13*100000),5)/100000</f>
        <v>0.40122045510000004</v>
      </c>
      <c r="L12" s="406"/>
      <c r="M12" s="360" t="s">
        <v>1206</v>
      </c>
      <c r="N12" s="360"/>
      <c r="O12" s="407">
        <v>0.35</v>
      </c>
      <c r="P12" s="218"/>
      <c r="Q12" s="218"/>
    </row>
    <row r="13" spans="1:18" s="408" customFormat="1" ht="12.75" x14ac:dyDescent="0.2">
      <c r="A13" s="218"/>
      <c r="B13" s="401"/>
      <c r="C13" s="2135" t="s">
        <v>1391</v>
      </c>
      <c r="D13" s="2136"/>
      <c r="E13" s="218"/>
      <c r="F13" s="409" t="s">
        <v>826</v>
      </c>
      <c r="G13" s="402"/>
      <c r="H13" s="403">
        <f>SUM('Acct Summary 7-8'!C8+'Acct Summary 7-8'!D8+'Acct Summary 7-8'!F8+'Acct Summary 7-8'!I8)+H14</f>
        <v>6872354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6478027</v>
      </c>
      <c r="I17" s="404"/>
      <c r="J17" s="416"/>
      <c r="K17" s="405">
        <f>TRUNC((H17/H18*100000),5)/100000</f>
        <v>0.94262126189999995</v>
      </c>
      <c r="L17" s="406"/>
      <c r="M17" s="417" t="s">
        <v>1233</v>
      </c>
      <c r="O17" s="418" t="str">
        <f>IF(AND(O16="2", J20 &gt; 2),"1",IF(AND(O16 = "1", J20 &gt; 2),"2",IF(AND(O16="1", J20 &gt;1),"1","0")))</f>
        <v>0</v>
      </c>
      <c r="P17" s="218"/>
    </row>
    <row r="18" spans="1:18" s="408" customFormat="1" ht="11.25" x14ac:dyDescent="0.2">
      <c r="A18" s="218"/>
      <c r="B18" s="401"/>
      <c r="C18" s="2135" t="s">
        <v>1384</v>
      </c>
      <c r="D18" s="2136"/>
      <c r="E18" s="218"/>
      <c r="F18" s="419" t="s">
        <v>827</v>
      </c>
      <c r="G18" s="402"/>
      <c r="H18" s="403">
        <f>SUM('Acct Summary 7-8'!C8+'Acct Summary 7-8'!D8+'Acct Summary 7-8'!F8+'Acct Summary 7-8'!I8)+H19</f>
        <v>6872354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2" t="s">
        <v>1479</v>
      </c>
      <c r="D24" s="2132"/>
      <c r="E24" s="218"/>
      <c r="F24" s="218" t="s">
        <v>465</v>
      </c>
      <c r="G24" s="402"/>
      <c r="H24" s="403">
        <f>SUM('Assets-Liab 5-6'!C4+'Assets-Liab 5-6'!D4+'Assets-Liab 5-6'!F4+'Assets-Liab 5-6'!I4+'Assets-Liab 5-6'!C5+'Assets-Liab 5-6'!D5+'Assets-Liab 5-6'!F5+'Assets-Liab 5-6'!I5)</f>
        <v>2757329</v>
      </c>
      <c r="I24" s="422"/>
      <c r="J24" s="422"/>
      <c r="K24" s="423">
        <f>TRUNC(((H24/H25*100000)/100000),2)</f>
        <v>153.22999999999999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17994.51944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tabSelected="1" defaultGridColor="0" colorId="8" zoomScale="110" zoomScaleNormal="110" workbookViewId="0">
      <pane ySplit="2" topLeftCell="A3" activePane="bottomLeft" state="frozen"/>
      <selection activeCell="A199" sqref="A199"/>
      <selection pane="bottomLeft" activeCell="A199" sqref="A19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2" t="s">
        <v>1030</v>
      </c>
      <c r="B3" s="2143"/>
      <c r="C3" s="1581"/>
      <c r="D3" s="1582"/>
      <c r="E3" s="1582"/>
      <c r="F3" s="1582"/>
      <c r="G3" s="1582"/>
      <c r="H3" s="1582"/>
      <c r="I3" s="1582"/>
      <c r="J3" s="1582"/>
      <c r="K3" s="1582"/>
      <c r="L3" s="1582"/>
      <c r="M3" s="1583"/>
      <c r="N3" s="1584"/>
    </row>
    <row r="4" spans="1:14" ht="13.5" customHeight="1" x14ac:dyDescent="0.2">
      <c r="A4" s="463" t="s">
        <v>1750</v>
      </c>
      <c r="B4" s="464"/>
      <c r="C4" s="465">
        <v>2464826</v>
      </c>
      <c r="D4" s="466">
        <v>292503</v>
      </c>
      <c r="E4" s="466"/>
      <c r="F4" s="466"/>
      <c r="G4" s="466"/>
      <c r="H4" s="466"/>
      <c r="I4" s="466"/>
      <c r="J4" s="467"/>
      <c r="K4" s="466"/>
      <c r="L4" s="466">
        <v>5176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2464826</v>
      </c>
      <c r="D13" s="1759">
        <f t="shared" ref="D13:L13" si="0">SUM(D4:D12)</f>
        <v>292503</v>
      </c>
      <c r="E13" s="1759">
        <f t="shared" si="0"/>
        <v>0</v>
      </c>
      <c r="F13" s="1759">
        <f t="shared" si="0"/>
        <v>0</v>
      </c>
      <c r="G13" s="1759">
        <f t="shared" si="0"/>
        <v>0</v>
      </c>
      <c r="H13" s="1759">
        <f t="shared" si="0"/>
        <v>0</v>
      </c>
      <c r="I13" s="1759">
        <f t="shared" si="0"/>
        <v>0</v>
      </c>
      <c r="J13" s="1759">
        <f t="shared" si="0"/>
        <v>0</v>
      </c>
      <c r="K13" s="1759">
        <f t="shared" si="0"/>
        <v>0</v>
      </c>
      <c r="L13" s="1759">
        <f t="shared" si="0"/>
        <v>5176</v>
      </c>
      <c r="M13" s="468"/>
      <c r="N13" s="469"/>
    </row>
    <row r="14" spans="1:14" ht="18" customHeight="1" thickTop="1" x14ac:dyDescent="0.2">
      <c r="A14" s="2144" t="s">
        <v>149</v>
      </c>
      <c r="B14" s="214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100665</v>
      </c>
      <c r="N16" s="484"/>
    </row>
    <row r="17" spans="1:14" s="485" customFormat="1" ht="12.75" customHeight="1" x14ac:dyDescent="0.2">
      <c r="A17" s="482" t="s">
        <v>1470</v>
      </c>
      <c r="B17" s="483">
        <v>230</v>
      </c>
      <c r="C17" s="477"/>
      <c r="D17" s="477"/>
      <c r="E17" s="477"/>
      <c r="F17" s="477"/>
      <c r="G17" s="477"/>
      <c r="H17" s="477"/>
      <c r="I17" s="477"/>
      <c r="J17" s="477"/>
      <c r="K17" s="477"/>
      <c r="L17" s="477"/>
      <c r="M17" s="467">
        <v>2136301</v>
      </c>
      <c r="N17" s="484"/>
    </row>
    <row r="18" spans="1:14" s="485" customFormat="1" ht="12.75" customHeight="1" x14ac:dyDescent="0.2">
      <c r="A18" s="482" t="s">
        <v>1471</v>
      </c>
      <c r="B18" s="483">
        <v>240</v>
      </c>
      <c r="C18" s="477"/>
      <c r="D18" s="477"/>
      <c r="E18" s="477"/>
      <c r="F18" s="477"/>
      <c r="G18" s="477"/>
      <c r="H18" s="477"/>
      <c r="I18" s="477"/>
      <c r="J18" s="477"/>
      <c r="K18" s="477"/>
      <c r="L18" s="477"/>
      <c r="M18" s="467">
        <v>264560</v>
      </c>
      <c r="N18" s="484"/>
    </row>
    <row r="19" spans="1:14" s="485" customFormat="1" ht="12.75" customHeight="1" x14ac:dyDescent="0.2">
      <c r="A19" s="482" t="s">
        <v>1472</v>
      </c>
      <c r="B19" s="483">
        <v>250</v>
      </c>
      <c r="C19" s="477"/>
      <c r="D19" s="477"/>
      <c r="E19" s="477"/>
      <c r="F19" s="477"/>
      <c r="G19" s="477"/>
      <c r="H19" s="477"/>
      <c r="I19" s="477"/>
      <c r="J19" s="477"/>
      <c r="K19" s="477"/>
      <c r="L19" s="477"/>
      <c r="M19" s="467">
        <v>2777526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5279052</v>
      </c>
      <c r="N23" s="1710">
        <f>SUM(N21:N22)</f>
        <v>0</v>
      </c>
    </row>
    <row r="24" spans="1:14" ht="18" customHeight="1" thickTop="1" x14ac:dyDescent="0.2">
      <c r="A24" s="2146" t="s">
        <v>619</v>
      </c>
      <c r="B24" s="214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5176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5176</v>
      </c>
      <c r="M34" s="468"/>
      <c r="N34" s="480"/>
    </row>
    <row r="35" spans="1:14" ht="18" customHeight="1" thickTop="1" x14ac:dyDescent="0.2">
      <c r="A35" s="2148" t="s">
        <v>550</v>
      </c>
      <c r="B35" s="214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2464826</v>
      </c>
      <c r="D39" s="466">
        <v>292503</v>
      </c>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5279052</v>
      </c>
      <c r="N40" s="497"/>
    </row>
    <row r="41" spans="1:14" ht="13.5" customHeight="1" thickBot="1" x14ac:dyDescent="0.25">
      <c r="A41" s="1758" t="s">
        <v>676</v>
      </c>
      <c r="B41" s="1728"/>
      <c r="C41" s="1710">
        <f>(SUM(C34,C37,C38,C39))</f>
        <v>2464826</v>
      </c>
      <c r="D41" s="1710">
        <f t="shared" ref="D41:L41" si="2">SUM(D34,D37,D38:D39)</f>
        <v>292503</v>
      </c>
      <c r="E41" s="1710">
        <f t="shared" si="2"/>
        <v>0</v>
      </c>
      <c r="F41" s="1710">
        <f t="shared" si="2"/>
        <v>0</v>
      </c>
      <c r="G41" s="1710">
        <f t="shared" si="2"/>
        <v>0</v>
      </c>
      <c r="H41" s="1710">
        <f t="shared" si="2"/>
        <v>0</v>
      </c>
      <c r="I41" s="1710">
        <f t="shared" si="2"/>
        <v>0</v>
      </c>
      <c r="J41" s="1710">
        <f t="shared" si="2"/>
        <v>0</v>
      </c>
      <c r="K41" s="1710">
        <f t="shared" si="2"/>
        <v>0</v>
      </c>
      <c r="L41" s="1710">
        <f t="shared" si="2"/>
        <v>5176</v>
      </c>
      <c r="M41" s="1710">
        <f>SUM(M40)</f>
        <v>5279052</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tabSelected="1" defaultGridColor="0" colorId="8" zoomScale="110" zoomScaleNormal="110" zoomScaleSheetLayoutView="100" workbookViewId="0">
      <pane ySplit="2" topLeftCell="A17" activePane="bottomLeft" state="frozenSplit"/>
      <selection activeCell="A199" sqref="A199"/>
      <selection pane="bottomLeft" activeCell="A199" sqref="A19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0" t="s">
        <v>1237</v>
      </c>
      <c r="B3" s="2171"/>
      <c r="C3" s="1595"/>
      <c r="D3" s="1596"/>
      <c r="E3" s="1596"/>
      <c r="F3" s="1596"/>
      <c r="G3" s="1596"/>
      <c r="H3" s="1596"/>
      <c r="I3" s="1596"/>
      <c r="J3" s="1596"/>
      <c r="K3" s="1597"/>
      <c r="L3" s="506"/>
    </row>
    <row r="4" spans="1:13" ht="15.75" customHeight="1" x14ac:dyDescent="0.2">
      <c r="A4" s="1954" t="s">
        <v>1579</v>
      </c>
      <c r="B4" s="1955">
        <v>1000</v>
      </c>
      <c r="C4" s="1764">
        <f>'Revenues 9-14'!C109</f>
        <v>2529222</v>
      </c>
      <c r="D4" s="1764">
        <f>'Revenues 9-14'!D109</f>
        <v>3765</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830499</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3508868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6868589</v>
      </c>
      <c r="D8" s="1710">
        <f t="shared" ref="D8:K8" si="0">SUM(D4:D7)</f>
        <v>3765</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f>1985452+33322</f>
        <v>2018774</v>
      </c>
      <c r="D9" s="516"/>
      <c r="E9" s="481"/>
      <c r="F9" s="481"/>
      <c r="G9" s="517"/>
      <c r="H9" s="481"/>
      <c r="I9" s="509" t="s">
        <v>1231</v>
      </c>
      <c r="J9" s="478"/>
      <c r="K9" s="481"/>
      <c r="L9" s="347"/>
    </row>
    <row r="10" spans="1:13" s="519" customFormat="1" ht="13.5" thickBot="1" x14ac:dyDescent="0.25">
      <c r="A10" s="1758" t="s">
        <v>1235</v>
      </c>
      <c r="B10" s="1731"/>
      <c r="C10" s="1710">
        <f>SUM(C8:C9)</f>
        <v>8887363</v>
      </c>
      <c r="D10" s="1710">
        <f t="shared" ref="D10:K10" si="1">SUM(D8:D9)</f>
        <v>3765</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44" t="s">
        <v>1238</v>
      </c>
      <c r="B11" s="2145"/>
      <c r="C11" s="1592"/>
      <c r="D11" s="1593"/>
      <c r="E11" s="1593"/>
      <c r="F11" s="1593"/>
      <c r="G11" s="1593"/>
      <c r="H11" s="1593"/>
      <c r="I11" s="1593"/>
      <c r="J11" s="1593"/>
      <c r="K11" s="1594"/>
      <c r="L11" s="518"/>
    </row>
    <row r="12" spans="1:13" ht="15.75" customHeight="1" x14ac:dyDescent="0.2">
      <c r="A12" s="1598" t="s">
        <v>476</v>
      </c>
      <c r="B12" s="1600">
        <v>1000</v>
      </c>
      <c r="C12" s="1764">
        <f>'Expenditures 15-22'!K33</f>
        <v>2319096</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3997417</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88</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161426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6478027</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2018774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8496801</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60" t="s">
        <v>1754</v>
      </c>
      <c r="B20" s="2161"/>
      <c r="C20" s="1768">
        <f>C8-C17</f>
        <v>390562</v>
      </c>
      <c r="D20" s="1768">
        <f t="shared" ref="D20:K20" si="5">D8-D17</f>
        <v>3765</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72" t="s">
        <v>616</v>
      </c>
      <c r="B21" s="2173"/>
      <c r="C21" s="1592"/>
      <c r="D21" s="1593"/>
      <c r="E21" s="1593"/>
      <c r="F21" s="1593"/>
      <c r="G21" s="1593"/>
      <c r="H21" s="1593"/>
      <c r="I21" s="1593"/>
      <c r="J21" s="1593"/>
      <c r="K21" s="1594"/>
      <c r="L21" s="524"/>
    </row>
    <row r="22" spans="1:12" ht="15.75" customHeight="1" collapsed="1" x14ac:dyDescent="0.2">
      <c r="A22" s="2168" t="s">
        <v>617</v>
      </c>
      <c r="B22" s="2169"/>
      <c r="C22" s="477"/>
      <c r="D22" s="477"/>
      <c r="E22" s="477"/>
      <c r="F22" s="477"/>
      <c r="G22" s="477"/>
      <c r="H22" s="477"/>
      <c r="I22" s="477"/>
      <c r="J22" s="477"/>
      <c r="K22" s="477"/>
      <c r="L22" s="347"/>
    </row>
    <row r="23" spans="1:12" s="485" customFormat="1" ht="15.75" customHeight="1" x14ac:dyDescent="0.2">
      <c r="A23" s="2164" t="s">
        <v>311</v>
      </c>
      <c r="B23" s="216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66" t="s">
        <v>1038</v>
      </c>
      <c r="B32" s="216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4" t="s">
        <v>392</v>
      </c>
      <c r="B44" s="2175"/>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8" t="s">
        <v>110</v>
      </c>
      <c r="B45" s="2169"/>
      <c r="C45" s="528"/>
      <c r="D45" s="528"/>
      <c r="E45" s="528"/>
      <c r="F45" s="528"/>
      <c r="G45" s="528"/>
      <c r="H45" s="528"/>
      <c r="I45" s="528"/>
      <c r="J45" s="528"/>
      <c r="K45" s="528"/>
      <c r="L45" s="347"/>
    </row>
    <row r="46" spans="1:12" s="485" customFormat="1" ht="15.75" customHeight="1" x14ac:dyDescent="0.2">
      <c r="A46" s="2176" t="s">
        <v>111</v>
      </c>
      <c r="B46" s="217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0" t="s">
        <v>460</v>
      </c>
      <c r="B76" s="2151"/>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52" t="s">
        <v>1239</v>
      </c>
      <c r="B77" s="2153"/>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56" t="s">
        <v>618</v>
      </c>
      <c r="B78" s="2157"/>
      <c r="C78" s="1724">
        <f t="shared" ref="C78:K78" si="9">C20+C77</f>
        <v>390562</v>
      </c>
      <c r="D78" s="1724">
        <f t="shared" si="9"/>
        <v>3765</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2070</v>
      </c>
      <c r="B79" s="534"/>
      <c r="C79" s="478">
        <v>2074264</v>
      </c>
      <c r="D79" s="535">
        <v>288738</v>
      </c>
      <c r="E79" s="535"/>
      <c r="F79" s="535"/>
      <c r="G79" s="535"/>
      <c r="H79" s="535"/>
      <c r="I79" s="535"/>
      <c r="J79" s="535"/>
      <c r="K79" s="535"/>
      <c r="L79" s="347"/>
    </row>
    <row r="80" spans="1:12" x14ac:dyDescent="0.2">
      <c r="A80" s="2162" t="s">
        <v>1895</v>
      </c>
      <c r="B80" s="2163"/>
      <c r="C80" s="467"/>
      <c r="D80" s="467"/>
      <c r="E80" s="467"/>
      <c r="F80" s="467"/>
      <c r="G80" s="467"/>
      <c r="H80" s="467"/>
      <c r="I80" s="467"/>
      <c r="J80" s="467"/>
      <c r="K80" s="467"/>
      <c r="L80" s="347"/>
    </row>
    <row r="81" spans="1:12" ht="13.5" thickBot="1" x14ac:dyDescent="0.25">
      <c r="A81" s="2154" t="s">
        <v>2071</v>
      </c>
      <c r="B81" s="2155"/>
      <c r="C81" s="1710">
        <f>(SUM(C78:C80))</f>
        <v>2464826</v>
      </c>
      <c r="D81" s="1710">
        <f>SUM(D78:D80)</f>
        <v>292503</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390562</v>
      </c>
      <c r="D82" s="538">
        <f t="shared" ref="D82:K82" si="11">(D81-D79)</f>
        <v>3765</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0.15845418702983496</v>
      </c>
      <c r="D83" s="540">
        <f t="shared" ref="D83:K83" si="12">D82/D81</f>
        <v>1.2871662854739951E-2</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tabSelected="1" defaultGridColor="0" colorId="8" zoomScale="110" zoomScaleNormal="110" zoomScaleSheetLayoutView="75" workbookViewId="0">
      <pane ySplit="2" topLeftCell="A3" activePane="bottomLeft" state="frozen"/>
      <selection activeCell="A199" sqref="A199"/>
      <selection pane="bottomLeft" activeCell="A199" sqref="A19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8" t="s">
        <v>1902</v>
      </c>
      <c r="B1" s="452"/>
      <c r="C1" s="453" t="s">
        <v>445</v>
      </c>
      <c r="D1" s="453" t="s">
        <v>446</v>
      </c>
      <c r="E1" s="453" t="s">
        <v>447</v>
      </c>
      <c r="F1" s="453" t="s">
        <v>448</v>
      </c>
      <c r="G1" s="453" t="s">
        <v>449</v>
      </c>
      <c r="H1" s="453" t="s">
        <v>450</v>
      </c>
      <c r="I1" s="453" t="s">
        <v>451</v>
      </c>
      <c r="J1" s="453" t="s">
        <v>452</v>
      </c>
      <c r="K1" s="453" t="s">
        <v>780</v>
      </c>
    </row>
    <row r="2" spans="1:12" ht="36" x14ac:dyDescent="0.2">
      <c r="A2" s="215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2502728</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2502728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16041</v>
      </c>
      <c r="D65" s="466">
        <v>3765</v>
      </c>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16041</v>
      </c>
      <c r="D67" s="1710">
        <f t="shared" ref="D67:K67" si="2">SUM(D65:D66)</f>
        <v>3765</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51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80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310</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310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7660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820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1583</v>
      </c>
      <c r="D107" s="466"/>
      <c r="E107" s="466"/>
      <c r="F107" s="466"/>
      <c r="G107" s="466"/>
      <c r="H107" s="466"/>
      <c r="I107" s="466"/>
      <c r="J107" s="467"/>
      <c r="K107" s="466"/>
    </row>
    <row r="108" spans="1:12" ht="12.75" customHeight="1" thickBot="1" x14ac:dyDescent="0.25">
      <c r="A108" s="1730" t="s">
        <v>508</v>
      </c>
      <c r="B108" s="1734"/>
      <c r="C108" s="1729">
        <f>SUM(C95:C107)</f>
        <v>10063</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2529222</v>
      </c>
      <c r="D109" s="1737">
        <f t="shared" si="4"/>
        <v>3765</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553297</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553297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276534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276534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668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78" t="s">
        <v>418</v>
      </c>
      <c r="B172" s="2179"/>
      <c r="C172" s="1744">
        <f t="shared" ref="C172:K172" si="6">SUM(C131,C140,C144,C145:C149,C154,C155:C170,C171)</f>
        <v>277202</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830499</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80" t="s">
        <v>1572</v>
      </c>
      <c r="B175" s="218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4" t="s">
        <v>1764</v>
      </c>
      <c r="B178" s="218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8" t="s">
        <v>1763</v>
      </c>
      <c r="B179" s="218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6" t="s">
        <v>818</v>
      </c>
      <c r="B184" s="218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82" t="s">
        <v>1903</v>
      </c>
      <c r="B185" s="218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24663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12061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36724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143514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3031352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3174866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70794</v>
      </c>
      <c r="D270" s="576"/>
      <c r="E270" s="468"/>
      <c r="F270" s="576"/>
      <c r="G270" s="576"/>
      <c r="H270" s="468"/>
      <c r="I270" s="468"/>
      <c r="J270" s="468"/>
      <c r="K270" s="468"/>
    </row>
    <row r="271" spans="1:11" ht="12.75" customHeight="1" thickTop="1" thickBot="1" x14ac:dyDescent="0.25">
      <c r="A271" s="463" t="s">
        <v>395</v>
      </c>
      <c r="B271" s="470">
        <v>4992</v>
      </c>
      <c r="C271" s="575">
        <v>226484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3508868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3508868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6868589</v>
      </c>
      <c r="D275" s="1737">
        <f t="shared" si="12"/>
        <v>3765</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368"/>
  <sheetViews>
    <sheetView showGridLines="0" tabSelected="1" defaultGridColor="0" colorId="8" zoomScale="110" zoomScaleNormal="110" workbookViewId="0">
      <pane ySplit="2" topLeftCell="A54" activePane="bottomLeft" state="frozen"/>
      <selection activeCell="A199" sqref="A199"/>
      <selection pane="bottomLeft" activeCell="A199" sqref="A19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8"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8" t="s">
        <v>315</v>
      </c>
      <c r="B3" s="219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1614741</v>
      </c>
      <c r="D8" s="466">
        <v>635524</v>
      </c>
      <c r="E8" s="466">
        <v>33594</v>
      </c>
      <c r="F8" s="466">
        <v>31703</v>
      </c>
      <c r="G8" s="466">
        <v>3534</v>
      </c>
      <c r="H8" s="466"/>
      <c r="I8" s="467"/>
      <c r="J8" s="467"/>
      <c r="K8" s="1693">
        <f t="shared" si="0"/>
        <v>2319096</v>
      </c>
      <c r="L8" s="466">
        <v>2510943</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1614741</v>
      </c>
      <c r="D33" s="1692">
        <f t="shared" ref="D33:L33" si="1">SUM(D5:D32)</f>
        <v>635524</v>
      </c>
      <c r="E33" s="1692">
        <f t="shared" si="1"/>
        <v>33594</v>
      </c>
      <c r="F33" s="1692">
        <f t="shared" si="1"/>
        <v>31703</v>
      </c>
      <c r="G33" s="1692">
        <f t="shared" si="1"/>
        <v>3534</v>
      </c>
      <c r="H33" s="1692">
        <f t="shared" si="1"/>
        <v>0</v>
      </c>
      <c r="I33" s="1692">
        <f t="shared" si="1"/>
        <v>0</v>
      </c>
      <c r="J33" s="1692">
        <f t="shared" si="1"/>
        <v>0</v>
      </c>
      <c r="K33" s="1692">
        <f t="shared" si="1"/>
        <v>2319096</v>
      </c>
      <c r="L33" s="1692">
        <f t="shared" si="1"/>
        <v>2510943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111841</v>
      </c>
      <c r="D36" s="481">
        <v>19999</v>
      </c>
      <c r="E36" s="481">
        <v>390</v>
      </c>
      <c r="F36" s="481"/>
      <c r="G36" s="481"/>
      <c r="H36" s="481"/>
      <c r="I36" s="467"/>
      <c r="J36" s="467"/>
      <c r="K36" s="1693">
        <f t="shared" ref="K36:K41" si="2">SUM(C36:J36)</f>
        <v>132230</v>
      </c>
      <c r="L36" s="466">
        <v>134037</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532982</v>
      </c>
      <c r="D38" s="466">
        <v>203555</v>
      </c>
      <c r="E38" s="466">
        <v>51400</v>
      </c>
      <c r="F38" s="466">
        <v>2736</v>
      </c>
      <c r="G38" s="466"/>
      <c r="H38" s="466"/>
      <c r="I38" s="467"/>
      <c r="J38" s="467"/>
      <c r="K38" s="1693">
        <f t="shared" si="2"/>
        <v>790673</v>
      </c>
      <c r="L38" s="466">
        <v>803050</v>
      </c>
    </row>
    <row r="39" spans="1:14" x14ac:dyDescent="0.2">
      <c r="A39" s="1526" t="s">
        <v>208</v>
      </c>
      <c r="B39" s="615">
        <v>2140</v>
      </c>
      <c r="C39" s="466">
        <v>920762</v>
      </c>
      <c r="D39" s="466">
        <v>127900</v>
      </c>
      <c r="E39" s="466">
        <v>38747</v>
      </c>
      <c r="F39" s="466">
        <v>13001</v>
      </c>
      <c r="G39" s="466"/>
      <c r="H39" s="466"/>
      <c r="I39" s="467"/>
      <c r="J39" s="467"/>
      <c r="K39" s="1693">
        <f t="shared" si="2"/>
        <v>1100410</v>
      </c>
      <c r="L39" s="466">
        <v>1296659</v>
      </c>
    </row>
    <row r="40" spans="1:14" x14ac:dyDescent="0.2">
      <c r="A40" s="1526" t="s">
        <v>209</v>
      </c>
      <c r="B40" s="615">
        <v>2150</v>
      </c>
      <c r="C40" s="466">
        <v>67859</v>
      </c>
      <c r="D40" s="466">
        <v>10539</v>
      </c>
      <c r="E40" s="466">
        <v>2370</v>
      </c>
      <c r="F40" s="466">
        <v>2463</v>
      </c>
      <c r="G40" s="466"/>
      <c r="H40" s="466"/>
      <c r="I40" s="467"/>
      <c r="J40" s="467"/>
      <c r="K40" s="1693">
        <f t="shared" si="2"/>
        <v>83231</v>
      </c>
      <c r="L40" s="466">
        <v>92431</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1633444</v>
      </c>
      <c r="D42" s="1692">
        <f t="shared" ref="D42:L42" si="3">SUM(D36:D41)</f>
        <v>361993</v>
      </c>
      <c r="E42" s="1692">
        <f t="shared" si="3"/>
        <v>92907</v>
      </c>
      <c r="F42" s="1692">
        <f t="shared" si="3"/>
        <v>18200</v>
      </c>
      <c r="G42" s="1692">
        <f t="shared" si="3"/>
        <v>0</v>
      </c>
      <c r="H42" s="1692">
        <f t="shared" si="3"/>
        <v>0</v>
      </c>
      <c r="I42" s="1692">
        <f t="shared" si="3"/>
        <v>0</v>
      </c>
      <c r="J42" s="1692">
        <f t="shared" si="3"/>
        <v>0</v>
      </c>
      <c r="K42" s="1692">
        <f t="shared" si="3"/>
        <v>2106544</v>
      </c>
      <c r="L42" s="1692">
        <f t="shared" si="3"/>
        <v>2326177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45753</v>
      </c>
      <c r="D44" s="481">
        <v>16625</v>
      </c>
      <c r="E44" s="481">
        <v>98392</v>
      </c>
      <c r="F44" s="481">
        <v>17521</v>
      </c>
      <c r="G44" s="481"/>
      <c r="H44" s="481"/>
      <c r="I44" s="467"/>
      <c r="J44" s="467"/>
      <c r="K44" s="1694">
        <f>SUM(C44:J44)</f>
        <v>178291</v>
      </c>
      <c r="L44" s="481">
        <v>254428</v>
      </c>
    </row>
    <row r="45" spans="1:14" x14ac:dyDescent="0.2">
      <c r="A45" s="1526" t="s">
        <v>869</v>
      </c>
      <c r="B45" s="615">
        <v>2220</v>
      </c>
      <c r="C45" s="466"/>
      <c r="D45" s="466"/>
      <c r="E45" s="466">
        <v>38393</v>
      </c>
      <c r="F45" s="466">
        <v>7865</v>
      </c>
      <c r="G45" s="466">
        <v>16590</v>
      </c>
      <c r="H45" s="466"/>
      <c r="I45" s="467"/>
      <c r="J45" s="467"/>
      <c r="K45" s="1694">
        <f>SUM(C45:J45)</f>
        <v>62848</v>
      </c>
      <c r="L45" s="466">
        <v>79200</v>
      </c>
    </row>
    <row r="46" spans="1:14" x14ac:dyDescent="0.2">
      <c r="A46" s="1526" t="s">
        <v>870</v>
      </c>
      <c r="B46" s="615">
        <v>2230</v>
      </c>
      <c r="C46" s="466"/>
      <c r="D46" s="466"/>
      <c r="E46" s="466">
        <v>1500</v>
      </c>
      <c r="F46" s="466"/>
      <c r="G46" s="466"/>
      <c r="H46" s="466"/>
      <c r="I46" s="467"/>
      <c r="J46" s="467"/>
      <c r="K46" s="1694">
        <f>SUM(C46:J46)</f>
        <v>1500</v>
      </c>
      <c r="L46" s="466">
        <v>1500</v>
      </c>
    </row>
    <row r="47" spans="1:14" ht="12.75" customHeight="1" thickBot="1" x14ac:dyDescent="0.25">
      <c r="A47" s="1690" t="s">
        <v>582</v>
      </c>
      <c r="B47" s="1691" t="s">
        <v>32</v>
      </c>
      <c r="C47" s="1692">
        <f>SUM(C44:C46)</f>
        <v>45753</v>
      </c>
      <c r="D47" s="1692">
        <f t="shared" ref="D47:K47" si="4">SUM(D44:D46)</f>
        <v>16625</v>
      </c>
      <c r="E47" s="1692">
        <f t="shared" si="4"/>
        <v>138285</v>
      </c>
      <c r="F47" s="1692">
        <f t="shared" si="4"/>
        <v>25386</v>
      </c>
      <c r="G47" s="1692">
        <f t="shared" si="4"/>
        <v>16590</v>
      </c>
      <c r="H47" s="1692">
        <f t="shared" si="4"/>
        <v>0</v>
      </c>
      <c r="I47" s="1692">
        <f t="shared" si="4"/>
        <v>0</v>
      </c>
      <c r="J47" s="1692">
        <f t="shared" si="4"/>
        <v>0</v>
      </c>
      <c r="K47" s="1692">
        <f t="shared" si="4"/>
        <v>242639</v>
      </c>
      <c r="L47" s="1692">
        <f>SUM(L44:L46)</f>
        <v>335128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17380</v>
      </c>
      <c r="F49" s="481"/>
      <c r="G49" s="481"/>
      <c r="H49" s="481"/>
      <c r="I49" s="467"/>
      <c r="J49" s="467"/>
      <c r="K49" s="1694">
        <f>SUM(C49:J49)</f>
        <v>17380</v>
      </c>
      <c r="L49" s="481">
        <v>22000</v>
      </c>
    </row>
    <row r="50" spans="1:14" x14ac:dyDescent="0.2">
      <c r="A50" s="1526" t="s">
        <v>872</v>
      </c>
      <c r="B50" s="615">
        <v>2320</v>
      </c>
      <c r="C50" s="466">
        <v>290232</v>
      </c>
      <c r="D50" s="466">
        <v>61657</v>
      </c>
      <c r="E50" s="466">
        <v>53799</v>
      </c>
      <c r="F50" s="466">
        <v>7172</v>
      </c>
      <c r="G50" s="466"/>
      <c r="H50" s="466"/>
      <c r="I50" s="467"/>
      <c r="J50" s="467"/>
      <c r="K50" s="1694">
        <f>SUM(C50:J50)</f>
        <v>412860</v>
      </c>
      <c r="L50" s="466">
        <v>406398</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v>60549</v>
      </c>
      <c r="F52" s="474"/>
      <c r="G52" s="474"/>
      <c r="H52" s="474"/>
      <c r="I52" s="474"/>
      <c r="J52" s="474"/>
      <c r="K52" s="1694">
        <f>SUM(C52:J52)</f>
        <v>60549</v>
      </c>
      <c r="L52" s="474">
        <v>72100</v>
      </c>
    </row>
    <row r="53" spans="1:14" ht="12.75" customHeight="1" thickBot="1" x14ac:dyDescent="0.25">
      <c r="A53" s="1690" t="s">
        <v>741</v>
      </c>
      <c r="B53" s="1691" t="s">
        <v>33</v>
      </c>
      <c r="C53" s="1692">
        <f>SUM(C49:C52)</f>
        <v>290232</v>
      </c>
      <c r="D53" s="1692">
        <f t="shared" ref="D53:L53" si="5">SUM(D49:D52)</f>
        <v>61657</v>
      </c>
      <c r="E53" s="1692">
        <f t="shared" si="5"/>
        <v>131728</v>
      </c>
      <c r="F53" s="1692">
        <f t="shared" si="5"/>
        <v>7172</v>
      </c>
      <c r="G53" s="1692">
        <f t="shared" si="5"/>
        <v>0</v>
      </c>
      <c r="H53" s="1692">
        <f t="shared" si="5"/>
        <v>0</v>
      </c>
      <c r="I53" s="1692">
        <f t="shared" si="5"/>
        <v>0</v>
      </c>
      <c r="J53" s="1692">
        <f t="shared" si="5"/>
        <v>0</v>
      </c>
      <c r="K53" s="1692">
        <f t="shared" si="5"/>
        <v>490789</v>
      </c>
      <c r="L53" s="1692">
        <f t="shared" si="5"/>
        <v>500498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79320</v>
      </c>
      <c r="D55" s="481">
        <v>10539</v>
      </c>
      <c r="E55" s="481">
        <v>241</v>
      </c>
      <c r="F55" s="481"/>
      <c r="G55" s="481"/>
      <c r="H55" s="481"/>
      <c r="I55" s="467"/>
      <c r="J55" s="467"/>
      <c r="K55" s="1694">
        <f>SUM(C55:J55)</f>
        <v>90100</v>
      </c>
      <c r="L55" s="481">
        <v>91625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79320</v>
      </c>
      <c r="D57" s="1696">
        <f t="shared" ref="D57:K57" si="6">SUM(D55:D56)</f>
        <v>10539</v>
      </c>
      <c r="E57" s="1696">
        <f t="shared" si="6"/>
        <v>241</v>
      </c>
      <c r="F57" s="1696">
        <f t="shared" si="6"/>
        <v>0</v>
      </c>
      <c r="G57" s="1696">
        <f t="shared" si="6"/>
        <v>0</v>
      </c>
      <c r="H57" s="1696">
        <f t="shared" si="6"/>
        <v>0</v>
      </c>
      <c r="I57" s="1696">
        <f t="shared" si="6"/>
        <v>0</v>
      </c>
      <c r="J57" s="1696">
        <f t="shared" si="6"/>
        <v>0</v>
      </c>
      <c r="K57" s="1696">
        <f t="shared" si="6"/>
        <v>90100</v>
      </c>
      <c r="L57" s="1692">
        <f>SUM(L55:L56)</f>
        <v>91625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45170</v>
      </c>
      <c r="D60" s="466">
        <v>19057</v>
      </c>
      <c r="E60" s="466">
        <v>25761</v>
      </c>
      <c r="F60" s="466">
        <v>5948</v>
      </c>
      <c r="G60" s="466"/>
      <c r="H60" s="466"/>
      <c r="I60" s="467"/>
      <c r="J60" s="467"/>
      <c r="K60" s="1694">
        <f t="shared" si="7"/>
        <v>95936</v>
      </c>
      <c r="L60" s="466">
        <v>95747</v>
      </c>
      <c r="M60" s="610"/>
      <c r="N60" s="610"/>
    </row>
    <row r="61" spans="1:14" s="343" customFormat="1" x14ac:dyDescent="0.2">
      <c r="A61" s="1526" t="s">
        <v>206</v>
      </c>
      <c r="B61" s="615">
        <v>2540</v>
      </c>
      <c r="C61" s="466">
        <v>51929</v>
      </c>
      <c r="D61" s="466">
        <v>20491</v>
      </c>
      <c r="E61" s="466">
        <v>65935</v>
      </c>
      <c r="F61" s="466">
        <v>53014</v>
      </c>
      <c r="G61" s="466">
        <v>18564</v>
      </c>
      <c r="H61" s="466"/>
      <c r="I61" s="467"/>
      <c r="J61" s="467"/>
      <c r="K61" s="1694">
        <f t="shared" si="7"/>
        <v>209933</v>
      </c>
      <c r="L61" s="466">
        <v>212219</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16884</v>
      </c>
      <c r="D63" s="466">
        <v>10653</v>
      </c>
      <c r="E63" s="466"/>
      <c r="F63" s="466">
        <v>25397</v>
      </c>
      <c r="G63" s="466"/>
      <c r="H63" s="466"/>
      <c r="I63" s="467"/>
      <c r="J63" s="467"/>
      <c r="K63" s="1694">
        <f t="shared" si="7"/>
        <v>52934</v>
      </c>
      <c r="L63" s="466">
        <v>64393</v>
      </c>
    </row>
    <row r="64" spans="1:14" s="610" customFormat="1" x14ac:dyDescent="0.2">
      <c r="A64" s="1531" t="s">
        <v>103</v>
      </c>
      <c r="B64" s="631">
        <v>2570</v>
      </c>
      <c r="C64" s="481"/>
      <c r="D64" s="481"/>
      <c r="E64" s="481">
        <v>453</v>
      </c>
      <c r="F64" s="481"/>
      <c r="G64" s="481"/>
      <c r="H64" s="481"/>
      <c r="I64" s="467"/>
      <c r="J64" s="467"/>
      <c r="K64" s="1694">
        <f t="shared" si="7"/>
        <v>453</v>
      </c>
      <c r="L64" s="481">
        <v>1000</v>
      </c>
    </row>
    <row r="65" spans="1:14" s="343" customFormat="1" ht="12.75" customHeight="1" thickBot="1" x14ac:dyDescent="0.25">
      <c r="A65" s="1690" t="s">
        <v>743</v>
      </c>
      <c r="B65" s="1691" t="s">
        <v>35</v>
      </c>
      <c r="C65" s="1692">
        <f>SUM(C59:C64)</f>
        <v>113983</v>
      </c>
      <c r="D65" s="1692">
        <f t="shared" ref="D65:L65" si="8">SUM(D59:D64)</f>
        <v>50201</v>
      </c>
      <c r="E65" s="1692">
        <f t="shared" si="8"/>
        <v>92149</v>
      </c>
      <c r="F65" s="1692">
        <f t="shared" si="8"/>
        <v>84359</v>
      </c>
      <c r="G65" s="1692">
        <f t="shared" si="8"/>
        <v>18564</v>
      </c>
      <c r="H65" s="1692">
        <f t="shared" si="8"/>
        <v>0</v>
      </c>
      <c r="I65" s="1692">
        <f t="shared" si="8"/>
        <v>0</v>
      </c>
      <c r="J65" s="1692">
        <f t="shared" si="8"/>
        <v>0</v>
      </c>
      <c r="K65" s="1692">
        <f t="shared" si="8"/>
        <v>359256</v>
      </c>
      <c r="L65" s="1692">
        <f t="shared" si="8"/>
        <v>373359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44526</v>
      </c>
      <c r="D71" s="466">
        <v>19268</v>
      </c>
      <c r="E71" s="466">
        <v>44223</v>
      </c>
      <c r="F71" s="466"/>
      <c r="G71" s="466"/>
      <c r="H71" s="466"/>
      <c r="I71" s="467"/>
      <c r="J71" s="467"/>
      <c r="K71" s="1694">
        <f>SUM(C71:J71)</f>
        <v>108017</v>
      </c>
      <c r="L71" s="466">
        <v>105435</v>
      </c>
      <c r="M71" s="610"/>
      <c r="N71" s="610"/>
    </row>
    <row r="72" spans="1:14" s="343" customFormat="1" ht="12.75" customHeight="1" thickBot="1" x14ac:dyDescent="0.25">
      <c r="A72" s="1690" t="s">
        <v>37</v>
      </c>
      <c r="B72" s="1697" t="s">
        <v>36</v>
      </c>
      <c r="C72" s="1692">
        <f>SUM(C67:C71)</f>
        <v>44526</v>
      </c>
      <c r="D72" s="1692">
        <f t="shared" ref="D72:K72" si="9">SUM(D67:D71)</f>
        <v>19268</v>
      </c>
      <c r="E72" s="1692">
        <f t="shared" si="9"/>
        <v>44223</v>
      </c>
      <c r="F72" s="1692">
        <f t="shared" si="9"/>
        <v>0</v>
      </c>
      <c r="G72" s="1692">
        <f t="shared" si="9"/>
        <v>0</v>
      </c>
      <c r="H72" s="1692">
        <f t="shared" si="9"/>
        <v>0</v>
      </c>
      <c r="I72" s="1692">
        <f t="shared" si="9"/>
        <v>0</v>
      </c>
      <c r="J72" s="1692">
        <f t="shared" si="9"/>
        <v>0</v>
      </c>
      <c r="K72" s="1692">
        <f t="shared" si="9"/>
        <v>108017</v>
      </c>
      <c r="L72" s="1692">
        <f>SUM(L67:L71)</f>
        <v>105435</v>
      </c>
      <c r="M72" s="610"/>
      <c r="N72" s="610"/>
    </row>
    <row r="73" spans="1:14" s="343" customFormat="1" ht="14.25" thickTop="1" thickBot="1" x14ac:dyDescent="0.25">
      <c r="A73" s="1532" t="s">
        <v>1037</v>
      </c>
      <c r="B73" s="633" t="s">
        <v>595</v>
      </c>
      <c r="C73" s="573">
        <v>411910</v>
      </c>
      <c r="D73" s="573">
        <v>118180</v>
      </c>
      <c r="E73" s="573">
        <v>69952</v>
      </c>
      <c r="F73" s="573">
        <v>30</v>
      </c>
      <c r="G73" s="573"/>
      <c r="H73" s="573"/>
      <c r="I73" s="531"/>
      <c r="J73" s="531"/>
      <c r="K73" s="1692">
        <f>SUM(C73:J73)</f>
        <v>600072</v>
      </c>
      <c r="L73" s="576">
        <v>702832</v>
      </c>
      <c r="M73" s="610"/>
      <c r="N73" s="610"/>
    </row>
    <row r="74" spans="1:14" ht="12.75" customHeight="1" thickTop="1" thickBot="1" x14ac:dyDescent="0.25">
      <c r="A74" s="1690" t="s">
        <v>865</v>
      </c>
      <c r="B74" s="1698">
        <v>2000</v>
      </c>
      <c r="C74" s="1699">
        <f>SUM(C42,C47,C53,C57,C65,C72,C73)</f>
        <v>2619168</v>
      </c>
      <c r="D74" s="1699">
        <f t="shared" ref="D74:K74" si="10">SUM(D42,D47,D53,D57,D65,D72,D73)</f>
        <v>638463</v>
      </c>
      <c r="E74" s="1699">
        <f t="shared" si="10"/>
        <v>569485</v>
      </c>
      <c r="F74" s="1699">
        <f t="shared" si="10"/>
        <v>135147</v>
      </c>
      <c r="G74" s="1699">
        <f t="shared" si="10"/>
        <v>35154</v>
      </c>
      <c r="H74" s="1699">
        <f t="shared" si="10"/>
        <v>0</v>
      </c>
      <c r="I74" s="1699">
        <f t="shared" si="10"/>
        <v>0</v>
      </c>
      <c r="J74" s="1699">
        <f t="shared" si="10"/>
        <v>0</v>
      </c>
      <c r="K74" s="1699">
        <f t="shared" si="10"/>
        <v>3997417</v>
      </c>
      <c r="L74" s="1699">
        <f>SUM(L42,L47,L53,L57,L65,L72,L73)</f>
        <v>4435054</v>
      </c>
    </row>
    <row r="75" spans="1:14" s="259" customFormat="1" ht="15.75" customHeight="1" thickTop="1" thickBot="1" x14ac:dyDescent="0.25">
      <c r="A75" s="1632" t="s">
        <v>49</v>
      </c>
      <c r="B75" s="1633" t="s">
        <v>596</v>
      </c>
      <c r="C75" s="573"/>
      <c r="D75" s="573"/>
      <c r="E75" s="573">
        <v>88</v>
      </c>
      <c r="F75" s="573"/>
      <c r="G75" s="573"/>
      <c r="H75" s="573"/>
      <c r="I75" s="531"/>
      <c r="J75" s="531"/>
      <c r="K75" s="1692">
        <f>SUM(C75:J75)</f>
        <v>88</v>
      </c>
      <c r="L75" s="576">
        <v>5000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129931</v>
      </c>
      <c r="I79" s="477"/>
      <c r="J79" s="477"/>
      <c r="K79" s="1693">
        <f t="shared" si="11"/>
        <v>129931</v>
      </c>
      <c r="L79" s="466">
        <v>131547</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129931</v>
      </c>
      <c r="I84" s="477"/>
      <c r="J84" s="477"/>
      <c r="K84" s="1692">
        <f>SUM(K78:K83)</f>
        <v>129931</v>
      </c>
      <c r="L84" s="1692">
        <f>SUM(L78:L83)</f>
        <v>131547</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v>31495</v>
      </c>
      <c r="I99" s="477"/>
      <c r="J99" s="477"/>
      <c r="K99" s="1699">
        <f>SUM(E99,H99)</f>
        <v>31495</v>
      </c>
      <c r="L99" s="530"/>
    </row>
    <row r="100" spans="1:14" ht="14.25" thickTop="1" thickBot="1" x14ac:dyDescent="0.25">
      <c r="A100" s="1702" t="s">
        <v>1566</v>
      </c>
      <c r="B100" s="1703">
        <v>4300</v>
      </c>
      <c r="C100" s="617"/>
      <c r="D100" s="617"/>
      <c r="E100" s="1699">
        <f>SUM(E93:E99)</f>
        <v>0</v>
      </c>
      <c r="F100" s="617"/>
      <c r="G100" s="617"/>
      <c r="H100" s="1699">
        <f>SUM(H93:H99)</f>
        <v>31495</v>
      </c>
      <c r="I100" s="477"/>
      <c r="J100" s="477"/>
      <c r="K100" s="1699">
        <f>SUM(K93:K99)</f>
        <v>31495</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161426</v>
      </c>
      <c r="I102" s="477"/>
      <c r="J102" s="477"/>
      <c r="K102" s="1699">
        <f>SUM(K84,K92,K100,K101)</f>
        <v>161426</v>
      </c>
      <c r="L102" s="1699">
        <f>SUM(L84,L92,L100,L101)</f>
        <v>131547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4233909</v>
      </c>
      <c r="D114" s="1692">
        <f t="shared" ref="D114:K114" si="13">SUM(D33,D74,D75,D102,D112,D113)</f>
        <v>1273987</v>
      </c>
      <c r="E114" s="1692">
        <f t="shared" si="13"/>
        <v>603167</v>
      </c>
      <c r="F114" s="1692">
        <f t="shared" si="13"/>
        <v>166850</v>
      </c>
      <c r="G114" s="1692">
        <f t="shared" si="13"/>
        <v>38688</v>
      </c>
      <c r="H114" s="1692">
        <f>SUM(H33,H74,H75,H102,H112,H113)</f>
        <v>161426</v>
      </c>
      <c r="I114" s="1692">
        <f t="shared" si="13"/>
        <v>0</v>
      </c>
      <c r="J114" s="1692">
        <f t="shared" si="13"/>
        <v>0</v>
      </c>
      <c r="K114" s="1692">
        <f t="shared" si="13"/>
        <v>6478027</v>
      </c>
      <c r="L114" s="1692">
        <f>SUM(L33,L74,L75,L102,L112,L113)</f>
        <v>7082544</v>
      </c>
    </row>
    <row r="115" spans="1:14" ht="13.5" thickTop="1" x14ac:dyDescent="0.2">
      <c r="A115" s="2190" t="s">
        <v>1053</v>
      </c>
      <c r="B115" s="2191"/>
      <c r="C115" s="619"/>
      <c r="D115" s="619"/>
      <c r="E115" s="619"/>
      <c r="F115" s="619"/>
      <c r="G115" s="619"/>
      <c r="H115" s="619"/>
      <c r="I115" s="619"/>
      <c r="J115" s="619"/>
      <c r="K115" s="1706">
        <f>'Revenues 9-14'!C275-'Expenditures 15-22'!K114</f>
        <v>390562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5" t="s">
        <v>314</v>
      </c>
      <c r="B117" s="219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v>1560000</v>
      </c>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1560000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1560000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7" t="s">
        <v>641</v>
      </c>
      <c r="B151" s="2187"/>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1560000</v>
      </c>
    </row>
    <row r="152" spans="1:14" ht="12.75" customHeight="1" thickTop="1" x14ac:dyDescent="0.2">
      <c r="A152" s="2210" t="s">
        <v>1240</v>
      </c>
      <c r="B152" s="2211"/>
      <c r="C152" s="619"/>
      <c r="D152" s="619"/>
      <c r="E152" s="619"/>
      <c r="F152" s="619"/>
      <c r="G152" s="619"/>
      <c r="H152" s="619"/>
      <c r="I152" s="619"/>
      <c r="J152" s="617"/>
      <c r="K152" s="1706">
        <f>'Revenues 9-14'!D275-'Expenditures 15-22'!K151</f>
        <v>3765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5" t="s">
        <v>642</v>
      </c>
      <c r="B154" s="219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0" t="s">
        <v>1053</v>
      </c>
      <c r="B175" s="2191"/>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0" t="s">
        <v>1053</v>
      </c>
      <c r="B211" s="2191"/>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2" t="s">
        <v>1022</v>
      </c>
      <c r="B213" s="221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8" t="s">
        <v>526</v>
      </c>
      <c r="B295" s="2209"/>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90" t="s">
        <v>1053</v>
      </c>
      <c r="B296" s="2191"/>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0" t="s">
        <v>145</v>
      </c>
      <c r="B298" s="219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5" t="s">
        <v>295</v>
      </c>
      <c r="B312" s="220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201" t="s">
        <v>1053</v>
      </c>
      <c r="B313" s="220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4" t="s">
        <v>151</v>
      </c>
      <c r="B315" s="221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6" t="s">
        <v>954</v>
      </c>
      <c r="B317" s="221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203" t="s">
        <v>1053</v>
      </c>
      <c r="B343" s="2204"/>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3" t="s">
        <v>1023</v>
      </c>
      <c r="B345" s="219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0" t="s">
        <v>1053</v>
      </c>
      <c r="B368" s="2191"/>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www.w3.org/XML/1998/namespace"/>
    <ds:schemaRef ds:uri="http://schemas.microsoft.com/sharepoint/v3"/>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purl.org/dc/elements/1.1/"/>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2018-08-20T16:48:40Z</cp:lastPrinted>
  <dcterms:created xsi:type="dcterms:W3CDTF">2003-10-29T19:06:34Z</dcterms:created>
  <dcterms:modified xsi:type="dcterms:W3CDTF">2018-09-18T18:39:35Z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