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1570" windowHeight="79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F33" i="181"/>
  <c r="G33" i="181" s="1"/>
  <c r="E33" i="181"/>
  <c r="F32" i="181"/>
  <c r="G32" i="181" s="1"/>
  <c r="E32" i="181"/>
  <c r="F31" i="181"/>
  <c r="G31" i="181" s="1"/>
  <c r="E31" i="181"/>
  <c r="F30" i="181"/>
  <c r="G30" i="181" s="1"/>
  <c r="E30" i="181"/>
  <c r="F29" i="181"/>
  <c r="G29" i="181" s="1"/>
  <c r="E29" i="181"/>
  <c r="F28" i="181"/>
  <c r="G28" i="181" s="1"/>
  <c r="E28" i="181"/>
  <c r="E27" i="181"/>
  <c r="F27" i="181" s="1"/>
  <c r="G27" i="181" s="1"/>
  <c r="F26" i="181"/>
  <c r="G26" i="181" s="1"/>
  <c r="E26" i="181"/>
  <c r="F25" i="181"/>
  <c r="G25" i="181" s="1"/>
  <c r="E25" i="181"/>
  <c r="F24" i="181"/>
  <c r="G24" i="181" s="1"/>
  <c r="E24" i="181"/>
  <c r="F23" i="181"/>
  <c r="G23" i="181" s="1"/>
  <c r="E23" i="181"/>
  <c r="E22" i="181"/>
  <c r="F22" i="181" s="1"/>
  <c r="G22" i="181" s="1"/>
  <c r="F21" i="181"/>
  <c r="G21" i="181" s="1"/>
  <c r="E21" i="181"/>
  <c r="F20" i="181"/>
  <c r="G20" i="181" s="1"/>
  <c r="E20" i="181"/>
  <c r="F19" i="181"/>
  <c r="G19" i="181" s="1"/>
  <c r="E19" i="181"/>
  <c r="F35" i="181"/>
  <c r="G35" i="181" s="1"/>
  <c r="E35" i="18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F136" i="34" s="1"/>
  <c r="C259" i="5"/>
  <c r="B7761" i="106"/>
  <c r="L127" i="29"/>
  <c r="L129" i="29" s="1"/>
  <c r="L139" i="29"/>
  <c r="L149" i="29"/>
  <c r="I7" i="145"/>
  <c r="I6" i="145"/>
  <c r="D82" i="36"/>
  <c r="D78" i="36"/>
  <c r="K75" i="29"/>
  <c r="K130" i="29"/>
  <c r="K185" i="29"/>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0"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s="1"/>
  <c r="B5114" i="106"/>
  <c r="D5114" i="106" s="1"/>
  <c r="B5115" i="106"/>
  <c r="D5115" i="106"/>
  <c r="B5116" i="106"/>
  <c r="D5116" i="106" s="1"/>
  <c r="B5117" i="106"/>
  <c r="D5117" i="106"/>
  <c r="B5118" i="106"/>
  <c r="D5118" i="106" s="1"/>
  <c r="B5119" i="106"/>
  <c r="D5119" i="106"/>
  <c r="B5122" i="106"/>
  <c r="D5122" i="106" s="1"/>
  <c r="B5123" i="106"/>
  <c r="D5123" i="106"/>
  <c r="B5124" i="106"/>
  <c r="D5124" i="106" s="1"/>
  <c r="B5126" i="106"/>
  <c r="D5126" i="106"/>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c r="B6303" i="106"/>
  <c r="D6303" i="106" s="1"/>
  <c r="B6304" i="106"/>
  <c r="D6304" i="106"/>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c r="B6360" i="106"/>
  <c r="D6360" i="106" s="1"/>
  <c r="B6361" i="106"/>
  <c r="D6361" i="106" s="1"/>
  <c r="B6362" i="106"/>
  <c r="D6362" i="106" s="1"/>
  <c r="B6363" i="106"/>
  <c r="D6363" i="106"/>
  <c r="B6364" i="106"/>
  <c r="D6364" i="106" s="1"/>
  <c r="B6365" i="106"/>
  <c r="D6365" i="106" s="1"/>
  <c r="B6366" i="106"/>
  <c r="D6366" i="106" s="1"/>
  <c r="B6367" i="106"/>
  <c r="D6367" i="106"/>
  <c r="B6368" i="106"/>
  <c r="D6368" i="106" s="1"/>
  <c r="B6369" i="106"/>
  <c r="D6369" i="106" s="1"/>
  <c r="B6370" i="106"/>
  <c r="D6370" i="106" s="1"/>
  <c r="B6371" i="106"/>
  <c r="D6371" i="106"/>
  <c r="B6372" i="106"/>
  <c r="D6372" i="106" s="1"/>
  <c r="B6373" i="106"/>
  <c r="D6373" i="106" s="1"/>
  <c r="B6374" i="106"/>
  <c r="D6374" i="106" s="1"/>
  <c r="B6375" i="106"/>
  <c r="D6375" i="106"/>
  <c r="B6376" i="106"/>
  <c r="D6376" i="106" s="1"/>
  <c r="B6377" i="106"/>
  <c r="D6377" i="106" s="1"/>
  <c r="B6378" i="106"/>
  <c r="D6378" i="106" s="1"/>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F106" i="34" s="1"/>
  <c r="B5161" i="106"/>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F127" i="34" s="1"/>
  <c r="B5232" i="106"/>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G15" i="4"/>
  <c r="B6032" i="106" s="1"/>
  <c r="D6032" i="106" s="1"/>
  <c r="F13" i="4"/>
  <c r="B2596" i="106" s="1"/>
  <c r="D2596"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4" i="7"/>
  <c r="B1760" i="106" s="1"/>
  <c r="D1760" i="106" s="1"/>
  <c r="D13" i="7"/>
  <c r="B3726" i="106" s="1"/>
  <c r="D3726" i="106" s="1"/>
  <c r="D9" i="7"/>
  <c r="B1767" i="106" s="1"/>
  <c r="D1767" i="106" s="1"/>
  <c r="F130" i="34"/>
  <c r="F128" i="34"/>
  <c r="B5847" i="106"/>
  <c r="D5847" i="106" s="1"/>
  <c r="B5752" i="106"/>
  <c r="D5752" i="106" s="1"/>
  <c r="K274" i="5"/>
  <c r="H173" i="5"/>
  <c r="B5906" i="106" s="1"/>
  <c r="D5906" i="106" s="1"/>
  <c r="D109" i="5"/>
  <c r="B5356" i="106" s="1"/>
  <c r="D5356" i="106" s="1"/>
  <c r="B1746" i="106"/>
  <c r="D1746" i="106" s="1"/>
  <c r="D17" i="7"/>
  <c r="B4104" i="106" s="1"/>
  <c r="D4104" i="106" s="1"/>
  <c r="D12" i="7"/>
  <c r="B1769" i="106" s="1"/>
  <c r="D1769" i="106" s="1"/>
  <c r="D15" i="7"/>
  <c r="B1772" i="106" s="1"/>
  <c r="D1772" i="106" s="1"/>
  <c r="B5304" i="106" l="1"/>
  <c r="D5304" i="106" s="1"/>
  <c r="D54" i="36"/>
  <c r="B3658" i="106"/>
  <c r="D3658" i="106" s="1"/>
  <c r="H365" i="29"/>
  <c r="H44" i="4"/>
  <c r="B6289" i="106"/>
  <c r="D6289" i="106" s="1"/>
  <c r="D11" i="7"/>
  <c r="B1768" i="106" s="1"/>
  <c r="D1768" i="106" s="1"/>
  <c r="G4" i="4"/>
  <c r="B2603" i="106" s="1"/>
  <c r="D2603" i="106" s="1"/>
  <c r="F131" i="34"/>
  <c r="G5" i="4"/>
  <c r="B3409" i="106" s="1"/>
  <c r="D3409" i="106" s="1"/>
  <c r="B7041" i="106"/>
  <c r="D7041" i="106" s="1"/>
  <c r="C109" i="5"/>
  <c r="B5121" i="106" s="1"/>
  <c r="D5121" i="106" s="1"/>
  <c r="B3565" i="106"/>
  <c r="D3565" i="106" s="1"/>
  <c r="K41" i="3"/>
  <c r="E15" i="145"/>
  <c r="G15" i="145" s="1"/>
  <c r="B1126" i="106"/>
  <c r="D1126" i="106" s="1"/>
  <c r="B2836" i="106"/>
  <c r="D2836" i="106" s="1"/>
  <c r="G39" i="108"/>
  <c r="H109" i="5"/>
  <c r="F111" i="34"/>
  <c r="B5096" i="106"/>
  <c r="D5096" i="106" s="1"/>
  <c r="D26" i="108"/>
  <c r="D41" i="108" s="1"/>
  <c r="E43" i="108" s="1"/>
  <c r="H6" i="4"/>
  <c r="B2656" i="106" s="1"/>
  <c r="D2656" i="106" s="1"/>
  <c r="D7" i="7"/>
  <c r="B1763" i="106" s="1"/>
  <c r="D1763" i="106" s="1"/>
  <c r="C172" i="5"/>
  <c r="D5" i="7"/>
  <c r="B1761" i="106" s="1"/>
  <c r="D1761" i="106" s="1"/>
  <c r="F14" i="4"/>
  <c r="B2597" i="106" s="1"/>
  <c r="D2597" i="106" s="1"/>
  <c r="G172" i="5"/>
  <c r="B6238" i="106"/>
  <c r="D6238" i="106" s="1"/>
  <c r="J77" i="4"/>
  <c r="B6262" i="106" s="1"/>
  <c r="D6262" i="106" s="1"/>
  <c r="D4" i="4"/>
  <c r="B2564" i="106" s="1"/>
  <c r="D2564" i="106" s="1"/>
  <c r="B6006" i="106"/>
  <c r="D6006" i="106" s="1"/>
  <c r="K173" i="5"/>
  <c r="K6" i="4" s="1"/>
  <c r="B3570" i="106" s="1"/>
  <c r="D3570" i="106" s="1"/>
  <c r="F62" i="34"/>
  <c r="F26" i="108"/>
  <c r="D69" i="36"/>
  <c r="K26" i="12"/>
  <c r="B7743" i="106" s="1"/>
  <c r="D7743" i="106" s="1"/>
  <c r="B7235" i="106"/>
  <c r="D7235" i="106" s="1"/>
  <c r="B6858" i="106"/>
  <c r="D6858" i="106" s="1"/>
  <c r="F36" i="34"/>
  <c r="F172" i="5"/>
  <c r="B5644" i="106" s="1"/>
  <c r="D5644" i="106" s="1"/>
  <c r="L312" i="29"/>
  <c r="F66" i="34"/>
  <c r="F45" i="34"/>
  <c r="B3670" i="106"/>
  <c r="D3670" i="106" s="1"/>
  <c r="K352" i="29"/>
  <c r="K13" i="4" s="1"/>
  <c r="B3572" i="106" s="1"/>
  <c r="D3572" i="106" s="1"/>
  <c r="B3619" i="106"/>
  <c r="D3619" i="106" s="1"/>
  <c r="C352" i="29"/>
  <c r="B3170" i="106"/>
  <c r="D3170" i="106" s="1"/>
  <c r="H76" i="4"/>
  <c r="B3298" i="106" s="1"/>
  <c r="D3298" i="106" s="1"/>
  <c r="B1995" i="106"/>
  <c r="D1995" i="106" s="1"/>
  <c r="I24" i="12"/>
  <c r="F21" i="8"/>
  <c r="B3689" i="106"/>
  <c r="D3689" i="106" s="1"/>
  <c r="F77" i="4"/>
  <c r="B3255" i="106" s="1"/>
  <c r="D3255" i="106" s="1"/>
  <c r="L15" i="11"/>
  <c r="B3459" i="106" s="1"/>
  <c r="D3459" i="106" s="1"/>
  <c r="G210" i="29"/>
  <c r="D6103" i="106"/>
  <c r="K76" i="4"/>
  <c r="B3586" i="106" s="1"/>
  <c r="D3586" i="106" s="1"/>
  <c r="E174" i="29"/>
  <c r="B1309" i="106" s="1"/>
  <c r="D130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D274" i="5"/>
  <c r="B3447" i="106"/>
  <c r="D3447" i="106" s="1"/>
  <c r="B7270" i="106"/>
  <c r="C114" i="29" l="1"/>
  <c r="B757" i="106" s="1"/>
  <c r="D757" i="106" s="1"/>
  <c r="L114" i="29"/>
  <c r="C4" i="4"/>
  <c r="B2551" i="106" s="1"/>
  <c r="D2551" i="106" s="1"/>
  <c r="D44" i="36"/>
  <c r="B3568" i="106"/>
  <c r="D3568" i="106" s="1"/>
  <c r="D52" i="36"/>
  <c r="B3628" i="106"/>
  <c r="D3628" i="106" s="1"/>
  <c r="B1365" i="106"/>
  <c r="D1365" i="106" s="1"/>
  <c r="F65" i="34"/>
  <c r="B1879" i="106"/>
  <c r="D1879" i="106" s="1"/>
  <c r="H22" i="37"/>
  <c r="B5214" i="106"/>
  <c r="D5214" i="106" s="1"/>
  <c r="C173" i="5"/>
  <c r="H77" i="4"/>
  <c r="B3299" i="106" s="1"/>
  <c r="D3299" i="106" s="1"/>
  <c r="B1317" i="106"/>
  <c r="D1317" i="106" s="1"/>
  <c r="B1996" i="106"/>
  <c r="D1996" i="106" s="1"/>
  <c r="I26" i="12"/>
  <c r="B7741" i="106" s="1"/>
  <c r="D7741" i="106" s="1"/>
  <c r="B3621" i="106"/>
  <c r="D3621" i="106" s="1"/>
  <c r="C367" i="29"/>
  <c r="B3622" i="106" s="1"/>
  <c r="D3622" i="106" s="1"/>
  <c r="G173" i="5"/>
  <c r="B5770" i="106"/>
  <c r="D5770" i="106" s="1"/>
  <c r="H367" i="29"/>
  <c r="B3660" i="106" s="1"/>
  <c r="D3660" i="106" s="1"/>
  <c r="B7242" i="106"/>
  <c r="D7242" i="106" s="1"/>
  <c r="D19" i="7"/>
  <c r="B1775" i="106" s="1"/>
  <c r="D1775" i="106" s="1"/>
  <c r="L16" i="11"/>
  <c r="B2061" i="106" s="1"/>
  <c r="D2061" i="106" s="1"/>
  <c r="B6025" i="106"/>
  <c r="D6025" i="106" s="1"/>
  <c r="H4" i="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B1145" i="106" l="1"/>
  <c r="D1145" i="106" s="1"/>
  <c r="B5778" i="106"/>
  <c r="D5778" i="106" s="1"/>
  <c r="G6" i="4"/>
  <c r="B2604" i="106" s="1"/>
  <c r="D2604" i="106" s="1"/>
  <c r="J8" i="4"/>
  <c r="F8" i="4"/>
  <c r="D8" i="146" s="1"/>
  <c r="E41" i="108"/>
  <c r="E44" i="108" s="1"/>
  <c r="E45" i="108" s="1"/>
  <c r="B2655" i="106"/>
  <c r="D2655" i="106" s="1"/>
  <c r="H8" i="4"/>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B2595" i="106"/>
  <c r="D2595" i="106" s="1"/>
  <c r="H10" i="4"/>
  <c r="B4127" i="106" s="1"/>
  <c r="D4127" i="106" s="1"/>
  <c r="B2658" i="106"/>
  <c r="D2658"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<sst xmlns="http://schemas.openxmlformats.org/spreadsheetml/2006/main" count="5016" uniqueCount="2095">
  <si>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</si>
  <si>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</si>
  <si>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</si>
  <si>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</si>
  <si>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</si>
  <si>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</si>
  <si>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</si>
  <si>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</si>
  <si>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</si>
  <si>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</si>
  <si>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</si>
  <si>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</si>
  <si>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</si>
  <si>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</si>
  <si>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</si>
  <si>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</si>
  <si>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</si>
  <si>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</si>
  <si>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</si>
  <si>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</si>
  <si>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</si>
  <si>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</si>
  <si>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</si>
  <si>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</si>
  <si>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</si>
  <si>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</si>
  <si>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</si>
  <si>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</si>
  <si>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</si>
  <si>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</si>
  <si>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</si>
  <si>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</si>
  <si>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</si>
  <si>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</si>
  <si>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</si>
  <si>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</si>
  <si>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</si>
  <si>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</si>
  <si>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</si>
  <si>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</si>
  <si>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</si>
  <si>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</si>
  <si>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</si>
  <si>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</si>
  <si>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</si>
  <si>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</si>
  <si>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</si>
  <si>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</si>
  <si>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</si>
  <si>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</si>
  <si>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</si>
  <si>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</si>
  <si>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</si>
  <si>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</si>
  <si>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</si>
  <si>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</si>
  <si>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</si>
  <si>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</si>
  <si>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</si>
  <si>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</si>
  <si>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</si>
  <si>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</si>
  <si>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</si>
  <si>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</si>
  <si>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</si>
  <si>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</si>
  <si>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</si>
  <si>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</si>
  <si>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</si>
  <si>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</si>
  <si>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</si>
  <si>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</si>
  <si>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</si>
  <si>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</si>
  <si>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</si>
  <si>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</si>
  <si>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</si>
  <si>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</si>
  <si>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</si>
  <si>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</si>
  <si>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</si>
  <si>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</si>
  <si>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</si>
  <si>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</si>
  <si>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</si>
  <si>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</si>
  <si>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</si>
  <si>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</si>
  <si>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</si>
  <si>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</si>
  <si>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</si>
  <si>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</si>
  <si>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</si>
  <si>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</si>
  <si>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</si>
  <si>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</si>
  <si>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</si>
  <si>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</si>
  <si>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</si>
  <si>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</si>
  <si>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</si>
  <si>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</si>
  <si>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</si>
  <si>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</si>
  <si>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</si>
  <si>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</si>
  <si>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</si>
  <si>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</si>
  <si>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</si>
  <si>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</si>
  <si>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</si>
  <si>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</si>
  <si>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</si>
  <si>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</si>
  <si>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</si>
  <si>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</si>
  <si>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</si>
  <si>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</si>
  <si>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</si>
  <si>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</si>
  <si>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</si>
  <si>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</si>
  <si>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</si>
  <si>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</si>
  <si>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</si>
  <si>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</si>
  <si>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</si>
  <si>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</si>
  <si>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</si>
  <si>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</si>
  <si>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</si>
  <si>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</si>
  <si>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</si>
  <si>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</si>
  <si>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</si>
  <si>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</si>
  <si>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</si>
  <si>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</si>
  <si>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</si>
  <si>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</si>
  <si>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</si>
  <si>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</si>
  <si>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</si>
  <si>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</si>
  <si>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</si>
  <si>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</si>
  <si>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</si>
  <si>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</si>
  <si>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</si>
  <si>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</si>
  <si>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</si>
  <si>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</si>
  <si>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</si>
  <si>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</si>
  <si>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</si>
  <si>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</si>
  <si>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</si>
  <si>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</si>
  <si>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</si>
  <si>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</si>
  <si>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</si>
  <si>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</si>
  <si>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</si>
  <si>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</si>
  <si>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</si>
  <si>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</si>
  <si>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</si>
  <si>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</si>
  <si>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</si>
  <si>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</si>
  <si>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</si>
  <si>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</si>
  <si>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</si>
  <si>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</si>
  <si>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</si>
  <si>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</si>
  <si>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</si>
  <si>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</si>
  <si>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</si>
  <si>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</si>
  <si>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</si>
  <si>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</si>
  <si>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</si>
  <si>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</si>
  <si>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</si>
  <si>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</si>
  <si>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</si>
  <si>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</si>
  <si>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</si>
  <si>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</si>
  <si>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</si>
  <si>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</si>
  <si>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</si>
  <si>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</si>
  <si>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</si>
  <si>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</si>
  <si>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</si>
  <si>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</si>
  <si>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</si>
  <si>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</si>
  <si>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</si>
  <si>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</si>
  <si>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</si>
  <si>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</si>
  <si>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</si>
  <si>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</si>
  <si>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</si>
  <si>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</si>
  <si>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</si>
  <si>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</si>
  <si>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</si>
  <si>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</si>
  <si>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</si>
  <si>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</si>
  <si>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</si>
  <si>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</si>
  <si>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</si>
  <si>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</si>
  <si>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</si>
  <si>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</si>
  <si>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</si>
  <si>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</si>
  <si>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</si>
  <si>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</si>
  <si>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</si>
  <si>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</si>
  <si>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</si>
  <si>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</si>
  <si>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</si>
  <si>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</si>
  <si>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</si>
  <si>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</si>
  <si>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</si>
  <si>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</si>
  <si>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</si>
  <si>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</si>
  <si>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</si>
  <si>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</si>
  <si>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</si>
  <si>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</si>
  <si>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</si>
  <si>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</si>
  <si>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</si>
  <si>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</si>
  <si>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</si>
  <si>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</si>
  <si>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</si>
  <si>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</si>
  <si>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</si>
  <si>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</si>
  <si>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</si>
  <si>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</si>
  <si>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</si>
  <si>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</si>
  <si>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</si>
  <si>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</si>
  <si>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</si>
  <si>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</si>
  <si>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</si>
  <si>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</si>
  <si>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</si>
  <si>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</si>
  <si>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</si>
  <si>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</si>
  <si>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</si>
  <si>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</si>
  <si>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</si>
  <si>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</si>
  <si>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</si>
  <si>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</si>
  <si>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</si>
  <si>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</si>
  <si>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</si>
  <si>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</si>
  <si>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</si>
  <si>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</si>
  <si>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</si>
  <si>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</si>
  <si>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</si>
  <si>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</si>
  <si>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</si>
  <si>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</si>
  <si>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</si>
  <si>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</si>
  <si>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</si>
  <si>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</si>
  <si>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</si>
  <si>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</si>
  <si>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</si>
  <si>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</si>
  <si>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</si>
  <si>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</si>
  <si>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</si>
  <si>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</si>
  <si>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</si>
  <si>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</si>
  <si>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</si>
  <si>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</si>
  <si>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</si>
  <si>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</si>
  <si>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</si>
  <si>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</si>
  <si>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</si>
  <si>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</si>
  <si>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</si>
  <si>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</si>
  <si>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</si>
  <si>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</si>
  <si>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</si>
  <si>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</si>
  <si>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</si>
  <si>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</si>
  <si>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</si>
  <si>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</si>
  <si>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</si>
  <si>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</si>
  <si>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</si>
  <si>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</si>
  <si>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</si>
  <si>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</si>
  <si>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</si>
  <si>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</si>
  <si>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</si>
  <si>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</si>
  <si>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</si>
  <si>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</si>
  <si>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</si>
  <si>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</si>
  <si>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</si>
  <si>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</si>
  <si>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</si>
  <si>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</si>
  <si>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</si>
  <si>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</si>
  <si>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</si>
  <si>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</si>
  <si>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</si>
  <si>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</si>
  <si>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</si>
  <si>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</si>
  <si>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</si>
  <si>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</si>
  <si>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</si>
  <si>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</si>
  <si>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</si>
  <si>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</si>
  <si>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</si>
  <si>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</si>
  <si>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</si>
  <si>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</si>
  <si>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</si>
  <si>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</si>
  <si>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</si>
  <si>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</si>
  <si>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</si>
  <si>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</si>
  <si>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</si>
  <si>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</si>
  <si>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</si>
  <si>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</si>
  <si>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</si>
  <si>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</si>
  <si>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</si>
  <si>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</si>
  <si>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</si>
  <si>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</si>
  <si>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</si>
  <si>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</si>
  <si>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</si>
  <si>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</si>
  <si>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</si>
  <si>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</si>
  <si>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</si>
  <si>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</si>
  <si>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</si>
  <si>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</si>
  <si>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</si>
  <si>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</si>
  <si>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</si>
  <si>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</si>
  <si>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</si>
  <si>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</si>
  <si>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</si>
  <si>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</si>
  <si>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</si>
  <si>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</si>
  <si>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</si>
  <si>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</si>
  <si>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</si>
  <si>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</si>
  <si>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</si>
  <si>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</si>
  <si>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</si>
  <si>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</si>
  <si>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</si>
  <si>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</si>
  <si>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</si>
  <si>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</si>
  <si>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</si>
  <si>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</si>
  <si>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</si>
  <si>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</si>
  <si>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</si>
  <si>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</si>
  <si>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</si>
  <si>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</si>
  <si>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</si>
  <si>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</si>
  <si>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</si>
  <si>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</si>
  <si>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</si>
  <si>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</si>
  <si>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</si>
  <si>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</si>
  <si>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</si>
  <si>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</si>
  <si>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</si>
  <si>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</si>
  <si>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</si>
  <si>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</si>
  <si>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</si>
  <si>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</si>
  <si>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</si>
  <si>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</si>
  <si>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</si>
  <si>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</si>
  <si>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</si>
  <si>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</si>
  <si>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</si>
  <si>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</si>
  <si>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</si>
  <si>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</si>
  <si>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</si>
  <si>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</si>
  <si>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</si>
  <si>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</si>
  <si>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</si>
  <si>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</si>
  <si>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</si>
  <si>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</si>
  <si>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</si>
  <si>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</si>
  <si>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</si>
  <si>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</si>
  <si>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</si>
  <si>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</si>
  <si>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</si>
  <si>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</si>
  <si>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</si>
  <si>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</si>
  <si>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</si>
  <si>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</si>
  <si>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</si>
  <si>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</si>
  <si>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</si>
  <si>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</si>
  <si>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</si>
  <si>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</si>
  <si>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</si>
  <si>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</si>
  <si>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</si>
  <si>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</si>
  <si>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</si>
  <si>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</si>
  <si>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</si>
  <si>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</si>
  <si>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</si>
  <si>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</si>
  <si>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</si>
  <si>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</si>
  <si>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</si>
  <si>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</si>
  <si>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</si>
  <si>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</si>
  <si>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</si>
  <si>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</si>
  <si>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</si>
  <si>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</si>
  <si>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</si>
  <si>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</si>
  <si>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</si>
  <si>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</si>
  <si>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</si>
  <si>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</si>
  <si>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</si>
  <si>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</si>
  <si>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</si>
  <si>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</si>
  <si>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</si>
  <si>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</si>
  <si>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</si>
  <si>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</si>
  <si>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</si>
  <si>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</si>
  <si>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</si>
  <si>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</si>
  <si>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</si>
  <si>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</si>
  <si>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</si>
  <si>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</si>
  <si>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</si>
  <si>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</si>
  <si>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</si>
  <si>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</si>
  <si>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</si>
  <si>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</si>
  <si>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</si>
  <si>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</si>
  <si>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</si>
  <si>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</si>
  <si>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</si>
  <si>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</si>
  <si>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</si>
  <si>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</si>
  <si>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</si>
  <si>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</si>
  <si>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</si>
  <si>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</si>
  <si>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</si>
  <si>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</si>
  <si>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</si>
  <si>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</si>
  <si>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</si>
  <si>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</si>
  <si>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</si>
  <si>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</si>
  <si>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</si>
  <si>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</si>
  <si>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</si>
  <si>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</si>
  <si>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</si>
  <si>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</si>
  <si>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</si>
  <si>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</si>
  <si>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</si>
  <si>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</si>
  <si>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</si>
  <si>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</si>
  <si>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</si>
  <si>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</si>
  <si>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</si>
  <si>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</si>
  <si>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</si>
  <si>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</si>
  <si>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</si>
  <si>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</si>
  <si>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</si>
  <si>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</si>
  <si>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</si>
  <si>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</si>
  <si>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</si>
  <si>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</si>
  <si>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</si>
  <si>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</si>
  <si>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</si>
  <si>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</si>
  <si>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</si>
  <si>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</si>
  <si>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</si>
  <si>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</si>
  <si>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</si>
  <si>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</si>
  <si>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</si>
  <si>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</si>
  <si>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</si>
  <si>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</si>
  <si>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</si>
  <si>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</si>
  <si>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</si>
  <si>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</si>
  <si>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</si>
  <si>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</si>
  <si>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</si>
  <si>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</si>
  <si>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</si>
  <si>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</si>
  <si>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</si>
  <si>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</si>
  <si>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</si>
  <si>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</si>
  <si>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</si>
  <si>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</si>
  <si>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</si>
  <si>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</si>
  <si>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</si>
  <si>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</si>
  <si>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</si>
  <si>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</si>
  <si>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</si>
  <si>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</si>
  <si>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</si>
  <si>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</si>
  <si>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</si>
  <si>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</si>
  <si>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</si>
  <si>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</si>
  <si>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</si>
  <si>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</si>
  <si>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</si>
  <si>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</si>
  <si>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</si>
  <si>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</si>
  <si>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</si>
  <si>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</si>
  <si>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</si>
  <si>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</si>
  <si>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</si>
  <si>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</si>
  <si>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</si>
  <si>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</si>
  <si>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</si>
  <si>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</si>
  <si>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</si>
  <si>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</si>
  <si>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</si>
  <si>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</si>
  <si>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</si>
  <si>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</si>
  <si>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</si>
  <si>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</si>
  <si>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</si>
  <si>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</si>
  <si>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</si>
  <si>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</si>
  <si>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</si>
  <si>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</si>
  <si>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</si>
  <si>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</si>
  <si>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</si>
  <si>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</si>
  <si>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</si>
  <si>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</si>
  <si>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</si>
  <si>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</si>
  <si>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</si>
  <si>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</si>
  <si>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</si>
  <si>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</si>
  <si>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</si>
  <si>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</si>
  <si>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</si>
  <si>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</si>
  <si>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</si>
  <si>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</si>
  <si>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</si>
  <si>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</si>
  <si>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</si>
  <si>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</si>
  <si>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</si>
  <si>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</si>
  <si>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</si>
  <si>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</si>
  <si>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</si>
  <si>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</si>
  <si>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</si>
  <si>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</si>
  <si>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</si>
  <si>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</si>
  <si>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</si>
  <si>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</si>
  <si>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</si>
  <si>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</si>
  <si>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</si>
  <si>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</si>
  <si>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</si>
  <si>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</si>
  <si>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</si>
  <si>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</si>
  <si>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</si>
  <si>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</si>
  <si>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</si>
  <si>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</si>
  <si>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</si>
  <si>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</si>
  <si>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</si>
  <si>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</si>
  <si>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</si>
  <si>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</si>
  <si>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</si>
  <si>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</si>
  <si>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</si>
  <si>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</si>
  <si>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</si>
  <si>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</si>
  <si>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</si>
  <si>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</si>
  <si>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</si>
  <si>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</si>
  <si>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</si>
  <si>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</si>
  <si>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</si>
  <si>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</si>
  <si>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</si>
  <si>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</si>
  <si>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</si>
  <si>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</si>
  <si>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</si>
  <si>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</si>
  <si>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</si>
  <si>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</si>
  <si>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</si>
  <si>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</si>
  <si>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</si>
  <si>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</si>
  <si>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</si>
  <si>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</si>
  <si>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</si>
  <si>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</si>
  <si>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</si>
  <si>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</si>
  <si>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</si>
  <si>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</si>
  <si>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</si>
  <si>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</si>
  <si>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</si>
  <si>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</si>
  <si>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</si>
  <si>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</si>
  <si>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</si>
  <si>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</si>
  <si>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</si>
  <si>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</si>
  <si>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</si>
  <si>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</si>
  <si>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</si>
  <si>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</si>
  <si>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</si>
  <si>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</si>
  <si>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</si>
  <si>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</si>
  <si>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</si>
  <si>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</si>
  <si>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</si>
  <si>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</si>
  <si>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</si>
  <si>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</si>
  <si>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</si>
  <si>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</si>
  <si>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</si>
  <si>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</si>
  <si>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</si>
  <si>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</si>
  <si>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</si>
  <si>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</si>
  <si>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</si>
  <si>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</si>
  <si>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</si>
  <si>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</si>
  <si>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</si>
  <si>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</si>
  <si>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</si>
  <si>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</si>
  <si>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</si>
  <si>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</si>
  <si>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</si>
  <si>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</si>
  <si>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</si>
  <si>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</si>
  <si>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</si>
  <si>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</si>
  <si>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</si>
  <si>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</si>
  <si>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</si>
  <si>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</si>
  <si>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</si>
  <si>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</si>
  <si>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</si>
  <si>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</si>
  <si>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</si>
  <si>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</si>
  <si>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</si>
  <si>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</si>
  <si>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</si>
  <si>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</si>
  <si>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</si>
  <si>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</si>
  <si>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</si>
  <si>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</si>
  <si>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</si>
  <si>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</si>
  <si>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</si>
  <si>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</si>
  <si>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</si>
  <si>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</si>
  <si>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</si>
  <si>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</si>
  <si>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</si>
  <si>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</si>
  <si>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</si>
  <si>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</si>
  <si>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</si>
  <si>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</si>
  <si>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</si>
  <si>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</si>
  <si>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</si>
  <si>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</si>
  <si>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</si>
  <si>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</si>
  <si>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</si>
  <si>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</si>
  <si>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</si>
  <si>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</si>
  <si>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</si>
  <si>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</si>
  <si>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</si>
  <si>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</si>
  <si>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</si>
  <si>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</si>
  <si>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</si>
  <si>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</si>
  <si>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</si>
  <si>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</si>
  <si>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</si>
  <si>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</si>
  <si>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</si>
  <si>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</si>
  <si>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</si>
  <si>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</si>
  <si>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</si>
  <si>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</si>
  <si>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</si>
  <si>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</si>
  <si>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</si>
  <si>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</si>
  <si>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</si>
  <si>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</si>
  <si>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</si>
  <si>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</si>
  <si>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</si>
  <si>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</si>
  <si>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</si>
  <si>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</si>
  <si>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</si>
  <si>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</si>
  <si>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</si>
  <si>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</si>
  <si>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</si>
  <si>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</si>
  <si>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</si>
  <si>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</si>
  <si>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</si>
  <si>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</si>
  <si>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</si>
  <si>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</si>
  <si>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</si>
  <si>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</si>
  <si>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</si>
  <si>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</si>
  <si>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</si>
  <si>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</si>
  <si>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</si>
  <si>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</si>
  <si>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</si>
  <si>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</si>
  <si>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</si>
  <si>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</si>
  <si>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</si>
  <si>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</si>
  <si>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</si>
  <si>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</si>
  <si>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</si>
  <si>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</si>
  <si>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</si>
  <si>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</si>
  <si>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</si>
  <si>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</si>
  <si>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</si>
  <si>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</si>
  <si>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</si>
  <si>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</si>
  <si>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</si>
  <si>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</si>
  <si>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</si>
  <si>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</si>
  <si>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</si>
  <si>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</si>
  <si>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</si>
  <si>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</si>
  <si>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</si>
  <si>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</si>
  <si>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</si>
  <si>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</si>
  <si>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</si>
  <si>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</si>
  <si>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</si>
  <si>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</si>
  <si>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</si>
  <si>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</si>
  <si>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</si>
  <si>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</si>
  <si>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</si>
  <si>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</si>
  <si>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</si>
  <si>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</si>
  <si>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</si>
  <si>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</si>
  <si>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</si>
  <si>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</si>
  <si>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</si>
  <si>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</si>
  <si>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</si>
  <si>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</si>
  <si>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</si>
  <si>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</si>
  <si>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</si>
  <si>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</si>
  <si>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</si>
  <si>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</si>
  <si>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</si>
  <si>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</si>
  <si>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</si>
  <si>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</si>
  <si>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</si>
  <si>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</si>
  <si>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</si>
  <si>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</si>
  <si>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</si>
  <si>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</si>
  <si>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</si>
  <si>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</si>
  <si>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</si>
  <si>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</si>
  <si>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</si>
  <si>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</si>
  <si>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</si>
  <si>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</si>
  <si>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</si>
  <si>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</si>
  <si>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</si>
  <si>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</si>
  <si>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</si>
  <si>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</si>
  <si>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</si>
  <si>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</si>
  <si>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</si>
  <si>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</si>
  <si>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</si>
  <si>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</si>
  <si>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</si>
  <si>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</si>
  <si>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</si>
  <si>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</si>
  <si>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</si>
  <si>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</si>
  <si>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</si>
  <si>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</si>
  <si>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</si>
  <si>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</si>
  <si>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</si>
  <si>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</si>
  <si>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</si>
  <si>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</si>
  <si>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</si>
  <si>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</si>
  <si>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</si>
  <si>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</si>
  <si>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</si>
  <si>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</si>
  <si>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</si>
  <si>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</si>
  <si>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</si>
  <si>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</si>
  <si>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</si>
  <si>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</si>
  <si>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</si>
  <si>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</si>
  <si>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</si>
  <si>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</si>
  <si>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</si>
  <si>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</si>
  <si>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</si>
  <si>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</si>
  <si>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</si>
  <si>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</si>
  <si>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</si>
  <si>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</si>
  <si>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</si>
  <si>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</si>
  <si>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</si>
  <si>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</si>
  <si>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</si>
  <si>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</si>
  <si>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</si>
  <si>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</si>
  <si>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</si>
  <si>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</si>
  <si>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</si>
  <si>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</si>
  <si>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</si>
  <si>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</si>
  <si>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</si>
  <si>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</si>
  <si>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</si>
  <si>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</si>
  <si>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</si>
  <si>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</si>
  <si>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</si>
  <si>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</si>
  <si>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</si>
  <si>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</si>
  <si>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</si>
  <si>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</si>
  <si>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</si>
  <si>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</si>
  <si>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</si>
  <si>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</si>
  <si>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</si>
  <si>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</si>
  <si>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</si>
  <si>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</si>
  <si>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</si>
  <si>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</si>
  <si>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</si>
  <si>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</si>
  <si>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</si>
  <si>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</si>
  <si>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</si>
  <si>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</si>
  <si>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</si>
  <si>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</si>
  <si>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</si>
  <si>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</si>
  <si>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</si>
  <si>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</si>
  <si>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</si>
  <si>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</si>
  <si>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</si>
  <si>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</si>
  <si>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</si>
  <si>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</si>
  <si>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</si>
  <si>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</si>
  <si>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</si>
  <si>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</si>
  <si>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</si>
  <si>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</si>
  <si>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</si>
  <si>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</si>
  <si>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</si>
  <si>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</si>
  <si>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</si>
  <si>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</si>
  <si>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</si>
  <si>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</si>
  <si>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</si>
  <si>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</si>
  <si>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</si>
  <si>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</si>
  <si>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</si>
  <si>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</si>
  <si>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</si>
  <si>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</si>
  <si>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</si>
  <si>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</si>
  <si>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</si>
  <si>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</si>
  <si>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</si>
  <si>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</si>
  <si>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</si>
  <si>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</si>
  <si>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</si>
  <si>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</si>
  <si>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</si>
  <si>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</si>
  <si>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</si>
  <si>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</si>
  <si>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</si>
  <si>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</si>
  <si>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</si>
  <si>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</si>
  <si>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</si>
  <si>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</si>
  <si>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</si>
  <si>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</si>
  <si>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</si>
  <si>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</si>
  <si>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</si>
  <si>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</si>
  <si>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</si>
  <si>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</si>
  <si>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</si>
  <si>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</si>
  <si>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</si>
  <si>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</si>
  <si>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</si>
  <si>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</si>
  <si>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</si>
  <si>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</si>
  <si>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</si>
  <si>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</si>
  <si>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</si>
  <si>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</si>
  <si>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</si>
  <si>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</si>
  <si>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</si>
  <si>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</si>
  <si>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</si>
  <si>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</si>
  <si>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</si>
  <si>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</si>
  <si>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</si>
  <si>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</si>
  <si>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</si>
  <si>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</si>
  <si>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</si>
  <si>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</si>
  <si>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</si>
  <si>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</si>
  <si>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</si>
  <si>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</si>
  <si>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</si>
  <si>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</si>
  <si>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</si>
  <si>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</si>
  <si>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</si>
  <si>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</si>
  <si>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</si>
  <si>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</si>
  <si>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</si>
  <si>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</si>
  <si>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</si>
  <si>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</si>
  <si>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</si>
  <si>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</si>
  <si>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</si>
  <si>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</si>
  <si>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</si>
  <si>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</si>
  <si>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</si>
  <si>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</si>
  <si>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</si>
  <si>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</si>
  <si>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</si>
  <si>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</si>
  <si>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</si>
  <si>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</si>
  <si>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</si>
  <si>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</si>
  <si>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</si>
  <si>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</si>
  <si>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</si>
  <si>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</si>
  <si>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</si>
  <si>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</si>
  <si>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</si>
  <si>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</si>
  <si>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</si>
  <si>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</si>
  <si>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</si>
  <si>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</si>
  <si>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</si>
  <si>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</si>
  <si>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</si>
  <si>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</si>
  <si>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</si>
  <si>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</si>
  <si>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</si>
  <si>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</si>
  <si>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</si>
  <si>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</si>
  <si>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</si>
  <si>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</si>
  <si>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</si>
  <si>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</si>
  <si>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</si>
  <si>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</si>
  <si>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</si>
  <si>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</si>
  <si>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</si>
  <si>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</si>
  <si>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</si>
  <si>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</si>
  <si>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</si>
  <si>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</si>
  <si>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</si>
  <si>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</si>
  <si>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</si>
  <si>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</si>
  <si>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</si>
  <si>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</si>
  <si>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</si>
  <si>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</si>
  <si>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</si>
  <si>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</si>
  <si>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</si>
  <si>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</si>
  <si>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</si>
  <si>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</si>
  <si>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</si>
  <si>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</si>
  <si>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</si>
  <si>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</si>
  <si>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</si>
  <si>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</si>
  <si>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</si>
  <si>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</si>
  <si>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</si>
  <si>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</si>
  <si>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</si>
  <si>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</si>
  <si>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</si>
  <si>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</si>
  <si>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</si>
  <si>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</si>
  <si>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</si>
  <si>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</si>
  <si>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</si>
  <si>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</si>
  <si>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</si>
  <si>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</si>
  <si>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</si>
  <si>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</si>
  <si>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</si>
  <si>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</si>
  <si>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</si>
  <si>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</si>
  <si>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</si>
  <si>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</si>
  <si>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</si>
  <si>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</si>
  <si>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</si>
  <si>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</si>
  <si>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</si>
  <si>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</si>
  <si>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</si>
  <si>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</si>
  <si>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</si>
  <si>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</si>
  <si>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</si>
  <si>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</si>
  <si>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</si>
  <si>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</si>
  <si>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</si>
  <si>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</si>
  <si>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</si>
  <si>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</si>
  <si>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</si>
  <si>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</si>
  <si>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</si>
  <si>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</si>
  <si>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</si>
  <si>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</si>
  <si>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</si>
  <si>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</si>
  <si>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</si>
  <si>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</si>
  <si>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</si>
  <si>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</si>
  <si>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</si>
  <si>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</si>
  <si>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</si>
  <si>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</si>
  <si>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</si>
  <si>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</si>
  <si>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</si>
  <si>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</si>
  <si>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</si>
  <si>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</si>
  <si>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</si>
  <si>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</si>
  <si>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</si>
  <si>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</si>
  <si>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</si>
  <si>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</si>
  <si>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</si>
  <si>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</si>
  <si>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</si>
  <si>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</si>
  <si>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</si>
  <si>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</si>
  <si>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</si>
  <si>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</si>
  <si>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</si>
  <si>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</si>
  <si>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</si>
  <si>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</si>
  <si>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</si>
  <si>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</si>
  <si>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</si>
  <si>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</si>
  <si>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</si>
  <si>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</si>
  <si>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</si>
  <si>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</si>
  <si>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</si>
  <si>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</si>
  <si>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</si>
  <si>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</si>
  <si>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</si>
  <si>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</si>
  <si>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</si>
  <si>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</si>
  <si>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</si>
  <si>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</si>
  <si>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</si>
  <si>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</si>
  <si>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</si>
  <si>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</si>
  <si>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</si>
  <si>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</si>
  <si>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</si>
  <si>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</si>
  <si>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</si>
  <si>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</si>
  <si>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</si>
  <si>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</si>
  <si>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</si>
  <si>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</si>
  <si>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</si>
  <si>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</si>
  <si>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</si>
  <si>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</si>
  <si>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</si>
  <si>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</si>
  <si>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</si>
  <si>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</si>
  <si>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</si>
  <si>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</si>
  <si>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</si>
  <si>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</si>
  <si>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</si>
  <si>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</si>
  <si>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</si>
  <si>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</si>
  <si>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</si>
  <si>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</si>
  <si>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</si>
  <si>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</si>
  <si>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</si>
  <si>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</si>
  <si>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</si>
  <si>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</si>
  <si>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</si>
  <si>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</si>
  <si>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</si>
  <si>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</si>
  <si>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</si>
  <si>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</si>
  <si>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</si>
  <si>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</si>
  <si>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</si>
  <si>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</si>
  <si>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</si>
  <si>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</si>
  <si>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</si>
  <si>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</si>
  <si>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</si>
  <si>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</si>
  <si>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</si>
  <si>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</si>
  <si>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</si>
  <si>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</si>
  <si>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</si>
  <si>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</si>
  <si>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</si>
  <si>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</si>
  <si>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</si>
  <si>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</si>
  <si>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</si>
  <si>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</si>
  <si>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</si>
  <si>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</si>
  <si>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</si>
  <si>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</si>
  <si>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</si>
  <si>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</si>
  <si>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</si>
  <si>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</si>
  <si>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</si>
  <si>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</si>
  <si>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</si>
  <si>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</si>
  <si>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</si>
  <si>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</si>
  <si>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</si>
  <si>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</si>
  <si>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</si>
  <si>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</si>
  <si>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</si>
  <si>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</si>
  <si>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</si>
  <si>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</si>
  <si>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</si>
  <si>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</si>
  <si>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</si>
  <si>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</si>
  <si>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</si>
  <si>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</si>
  <si>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</si>
  <si>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</si>
  <si>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</si>
  <si>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</si>
  <si>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</si>
  <si>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</si>
  <si>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</si>
  <si>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</si>
  <si>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</si>
  <si>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</si>
  <si>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</si>
  <si>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</si>
  <si>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</si>
  <si>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</si>
  <si>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</si>
  <si>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</si>
  <si>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</si>
  <si>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</si>
  <si>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</si>
  <si>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</si>
  <si>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</si>
  <si>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</si>
  <si>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</si>
  <si>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</si>
  <si>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</si>
  <si>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</si>
  <si>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</si>
  <si>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</si>
  <si>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</si>
  <si>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</si>
  <si>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</si>
  <si>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</si>
  <si>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</si>
  <si>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</si>
  <si>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</si>
  <si>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</si>
  <si>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</si>
  <si>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</si>
  <si>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</si>
  <si>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</si>
  <si>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</si>
  <si>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</si>
  <si>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</si>
  <si>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</si>
  <si>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</si>
  <si>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</si>
  <si>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</si>
  <si>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</si>
  <si>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</si>
  <si>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</si>
  <si>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</si>
  <si>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</si>
  <si>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</si>
  <si>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</si>
  <si>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</si>
  <si>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</si>
  <si>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</si>
  <si>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</si>
  <si>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</si>
  <si>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</si>
  <si>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</si>
  <si>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</si>
  <si>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</si>
  <si>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</si>
  <si>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</si>
  <si>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</si>
  <si>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</si>
  <si>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</si>
  <si>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</si>
  <si>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</si>
  <si>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</si>
  <si>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</si>
  <si>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</si>
  <si>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</si>
  <si>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</si>
  <si>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</si>
  <si>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</si>
  <si>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</si>
  <si>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</si>
  <si>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</si>
  <si>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</si>
  <si>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</si>
  <si>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</si>
  <si>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</si>
  <si>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</si>
  <si>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</si>
  <si>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</si>
  <si>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</si>
  <si>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</si>
  <si>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</si>
  <si>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</si>
  <si>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</si>
  <si>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</si>
  <si>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</si>
  <si>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</si>
  <si>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</si>
  <si>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</si>
  <si>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</si>
  <si>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</si>
  <si>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</si>
  <si>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</si>
  <si>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</si>
  <si>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</si>
  <si>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</si>
  <si>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</si>
  <si>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</si>
  <si>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</si>
  <si>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</si>
  <si>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</si>
  <si>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</si>
  <si>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</si>
  <si>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</si>
  <si>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</si>
  <si>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</si>
  <si>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</si>
  <si>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</si>
  <si>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</si>
  <si>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</si>
  <si>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</si>
  <si>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</si>
  <si>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</si>
  <si>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</si>
  <si>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</si>
  <si>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</si>
  <si>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</si>
  <si>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</si>
  <si>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</si>
  <si>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</si>
  <si>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</si>
  <si>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</si>
  <si>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</si>
  <si>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</si>
  <si>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</si>
  <si>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</si>
  <si>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</si>
  <si>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</si>
  <si>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</si>
  <si>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</si>
  <si>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</si>
  <si>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</si>
  <si>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</si>
  <si>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</si>
  <si>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</si>
  <si>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</si>
  <si>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</si>
  <si>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</si>
  <si>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</si>
  <si>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</si>
  <si>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</si>
  <si>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</si>
  <si>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</si>
  <si>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</si>
  <si>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</si>
  <si>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</si>
  <si>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</si>
  <si>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</si>
  <si>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</si>
  <si>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</si>
  <si>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</si>
  <si>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</si>
  <si>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</si>
  <si>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</si>
  <si>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</si>
  <si>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</si>
  <si>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</si>
  <si>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</si>
  <si>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</si>
  <si>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</si>
  <si>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</si>
  <si>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</si>
  <si>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</si>
  <si>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</si>
  <si>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</si>
  <si>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</si>
  <si>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</si>
  <si>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</si>
  <si>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</si>
  <si>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</si>
  <si>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</si>
  <si>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</si>
  <si>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</si>
  <si>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</si>
  <si>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</si>
  <si>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</si>
  <si>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</si>
  <si>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</si>
  <si>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</si>
  <si>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</si>
  <si>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</si>
  <si>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</si>
  <si>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</si>
  <si>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</si>
  <si>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</si>
  <si>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</si>
  <si>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</si>
  <si>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</si>
  <si>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</si>
  <si>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</si>
  <si>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</si>
  <si>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</si>
  <si>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</si>
  <si>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</si>
  <si>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</si>
  <si>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</si>
  <si>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</si>
  <si>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</si>
  <si>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</si>
  <si>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</si>
  <si>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</si>
  <si>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</si>
  <si>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</si>
  <si>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</si>
  <si>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</si>
  <si>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</si>
  <si>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</si>
  <si>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</si>
  <si>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</si>
  <si>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</si>
  <si>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</si>
  <si>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</si>
  <si>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</si>
  <si>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</si>
  <si>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</si>
  <si>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</si>
  <si>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</si>
  <si>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</si>
  <si>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</si>
  <si>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</si>
  <si>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</si>
  <si>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</si>
  <si>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</si>
  <si>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</si>
  <si>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</si>
  <si>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</si>
  <si>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</si>
  <si>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</si>
  <si>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</si>
  <si>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</si>
  <si>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</si>
  <si>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</si>
  <si>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</si>
  <si>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</si>
  <si>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</si>
  <si>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</si>
  <si>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</si>
  <si>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</si>
  <si>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</si>
  <si>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</si>
  <si>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</si>
  <si>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</si>
  <si>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</si>
  <si>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</si>
  <si>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</si>
  <si>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</si>
  <si>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</si>
  <si>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</si>
  <si>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</si>
  <si>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</si>
  <si>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</si>
  <si>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</si>
  <si>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</si>
  <si>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</si>
  <si>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</si>
  <si>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</si>
  <si>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</si>
  <si>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</si>
  <si>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</si>
  <si>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</si>
  <si>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</si>
  <si>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</si>
  <si>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</si>
  <si>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</si>
  <si>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</si>
  <si>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</si>
  <si>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</si>
  <si>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</si>
  <si>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</si>
  <si>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</si>
  <si>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</si>
  <si>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</si>
  <si>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</si>
  <si>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</si>
  <si>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</si>
  <si>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</si>
  <si>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</si>
  <si>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</si>
  <si>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</si>
  <si>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</si>
  <si>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</si>
  <si>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</si>
  <si>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</si>
  <si>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</si>
  <si>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</si>
  <si>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</si>
  <si>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</si>
  <si>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</si>
  <si>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</si>
  <si>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</si>
  <si>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</si>
  <si>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</si>
  <si>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</si>
  <si>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</si>
  <si>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</si>
  <si>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</si>
  <si>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</si>
  <si>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</si>
  <si>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</si>
  <si>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</si>
  <si>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</si>
  <si>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</si>
  <si>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</si>
  <si>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</si>
  <si>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</si>
  <si>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</si>
  <si>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</si>
  <si>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</si>
  <si>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</si>
  <si>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</si>
  <si>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</si>
  <si>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</si>
  <si>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</si>
  <si>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</si>
  <si>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</si>
  <si>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</si>
  <si>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</si>
  <si>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</si>
  <si>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</si>
  <si>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</si>
  <si>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</si>
  <si>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</si>
  <si>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</si>
  <si>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</si>
  <si>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</si>
  <si>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</si>
  <si>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</si>
  <si>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</si>
  <si>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</si>
  <si>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</si>
  <si>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</si>
  <si>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</si>
  <si>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</si>
  <si>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</si>
  <si>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</si>
  <si>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</si>
  <si>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</si>
  <si>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</si>
  <si>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</si>
  <si>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</si>
  <si>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</si>
  <si>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</si>
  <si>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</si>
  <si>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</si>
  <si>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</si>
  <si>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</si>
  <si>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</si>
  <si>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</si>
  <si>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</si>
  <si>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</si>
  <si>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</si>
  <si>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</si>
  <si>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</si>
  <si>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</si>
  <si>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</si>
  <si>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</si>
  <si>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</si>
  <si>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</si>
  <si>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</si>
  <si>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</si>
  <si>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</si>
  <si>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</si>
  <si>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</si>
  <si>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</si>
  <si>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</si>
  <si>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</si>
  <si>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</si>
  <si>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</si>
  <si>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</si>
  <si>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</si>
  <si>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</si>
  <si>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</si>
  <si>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</si>
  <si>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</si>
  <si>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</si>
  <si>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</si>
  <si>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</si>
  <si>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</si>
  <si>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</si>
  <si>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</si>
  <si>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</si>
  <si>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</si>
  <si>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</si>
  <si>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</si>
  <si>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</si>
  <si>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</si>
  <si>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</si>
  <si>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</si>
  <si>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</si>
  <si>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</si>
  <si>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</si>
  <si>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</si>
  <si>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</si>
  <si>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</si>
  <si>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</si>
  <si>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</si>
  <si>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</si>
  <si>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</si>
  <si>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</si>
  <si>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</si>
  <si>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</si>
  <si>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</si>
  <si>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</si>
  <si>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</si>
  <si>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</si>
  <si>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</si>
  <si>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</si>
  <si>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</si>
  <si>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</si>
  <si>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</si>
  <si>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</si>
  <si>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</si>
  <si>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</si>
  <si>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</si>
  <si>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</si>
  <si>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</si>
  <si>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</si>
  <si>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</si>
  <si>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</si>
  <si>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</si>
  <si>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</si>
  <si>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</si>
  <si>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</si>
  <si>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</si>
  <si>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</si>
  <si>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</si>
  <si>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</si>
  <si>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</si>
  <si>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</si>
  <si>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</si>
  <si>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</si>
  <si>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</si>
  <si>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</si>
  <si>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</si>
  <si>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</si>
  <si>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</si>
  <si>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</si>
  <si>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</si>
  <si>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</si>
  <si>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</si>
  <si>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</si>
  <si>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</si>
  <si>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</si>
  <si>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</si>
  <si>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</si>
  <si>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</si>
  <si>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</si>
  <si>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</si>
  <si>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</si>
  <si>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</si>
  <si>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</si>
  <si>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</si>
  <si>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</si>
  <si>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</si>
  <si>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</si>
  <si>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</si>
  <si>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</si>
  <si>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</si>
  <si>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</si>
  <si>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</si>
  <si>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</si>
  <si>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</si>
  <si>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</si>
  <si>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</si>
  <si>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</si>
  <si>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</si>
  <si>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</si>
  <si>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</si>
  <si>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</si>
  <si>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</si>
  <si>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</si>
  <si>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</si>
  <si>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</si>
  <si>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</si>
  <si>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</si>
  <si>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</si>
  <si>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</si>
  <si>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</si>
  <si>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</si>
  <si>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</si>
  <si>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</si>
  <si>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</si>
  <si>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</si>
  <si>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</si>
  <si>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</si>
  <si>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</si>
  <si>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</si>
  <si>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</si>
  <si>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</si>
  <si>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</si>
  <si>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</si>
  <si>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</si>
  <si>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</si>
  <si>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</si>
  <si>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</si>
  <si>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</si>
  <si>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</si>
  <si>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</si>
  <si>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</si>
  <si>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</si>
  <si>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</si>
  <si>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</si>
  <si>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</si>
  <si>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</si>
  <si>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</si>
  <si>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</si>
  <si>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</si>
  <si>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</si>
  <si>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</si>
  <si>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</si>
  <si>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</si>
  <si>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</si>
  <si>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</si>
  <si>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</si>
  <si>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</si>
  <si>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</si>
  <si>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</si>
  <si>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</si>
  <si>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</si>
  <si>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</si>
  <si>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</si>
  <si>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</si>
  <si>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</si>
  <si>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</si>
  <si>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</si>
  <si>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</si>
  <si>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</si>
  <si>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</si>
  <si>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</si>
  <si>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</si>
  <si>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</si>
  <si>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</si>
  <si>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</si>
  <si>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</si>
  <si>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</si>
  <si>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</si>
  <si>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</si>
  <si>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</si>
  <si>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</si>
  <si>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</si>
  <si>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</si>
  <si>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</si>
  <si>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</si>
  <si>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</si>
  <si>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</si>
  <si>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</si>
  <si>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</si>
  <si>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</si>
  <si>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</si>
  <si>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</si>
  <si>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</si>
  <si>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</si>
  <si>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</si>
  <si>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</si>
  <si>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</si>
  <si>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</si>
  <si>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</si>
  <si>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</si>
  <si>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</si>
  <si>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</si>
  <si>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</si>
  <si>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</si>
  <si>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</si>
  <si>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</si>
  <si>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</si>
  <si>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</si>
  <si>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</si>
  <si>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</si>
  <si>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</si>
  <si>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</si>
  <si>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</si>
  <si>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</si>
  <si>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</si>
  <si>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</si>
  <si>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</si>
  <si>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</si>
  <si>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</si>
  <si>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</si>
  <si>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</si>
  <si>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</si>
  <si>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</si>
  <si>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</si>
  <si>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</si>
  <si>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</si>
  <si>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</si>
  <si>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</si>
  <si>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</si>
  <si>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</si>
  <si>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</si>
  <si>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</si>
  <si>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</si>
  <si>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</si>
  <si>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</si>
  <si>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</si>
  <si>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</si>
  <si>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</si>
  <si>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</si>
  <si>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</si>
  <si>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</si>
  <si>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</si>
  <si>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</si>
  <si>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</si>
  <si>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</si>
  <si>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</si>
  <si>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</si>
  <si>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</si>
  <si>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</si>
  <si>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</si>
  <si>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</si>
  <si>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</si>
  <si>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</si>
  <si>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</si>
  <si>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</si>
  <si>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</si>
  <si>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</si>
  <si>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</si>
  <si>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</si>
  <si>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</si>
  <si>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</si>
  <si>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</si>
  <si>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</si>
  <si>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</si>
  <si>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</si>
  <si>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</si>
  <si>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</si>
  <si>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</si>
  <si>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</si>
  <si>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</si>
  <si>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</si>
  <si>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</si>
  <si>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</si>
  <si>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</si>
  <si>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</si>
  <si>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</si>
  <si>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</si>
  <si>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</si>
  <si>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</si>
  <si>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</si>
  <si>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</si>
  <si>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</si>
  <si>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</si>
  <si>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</si>
  <si>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</si>
  <si>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</si>
  <si>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</si>
  <si>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</si>
  <si>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</si>
  <si>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</si>
  <si>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</si>
  <si>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</si>
  <si>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</si>
  <si>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</si>
  <si>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</si>
  <si>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</si>
  <si>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</si>
  <si>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</si>
  <si>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</si>
  <si>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</si>
  <si>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</si>
  <si>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</si>
  <si>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</si>
  <si>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</si>
  <si>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</si>
  <si>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</si>
  <si>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</si>
  <si>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</si>
  <si>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</si>
  <si>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</si>
  <si>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</si>
  <si>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</si>
  <si>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</si>
  <si>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</si>
  <si>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</si>
  <si>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</si>
  <si>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</si>
  <si>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</si>
  <si>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</si>
  <si>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</si>
  <si>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</si>
  <si>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</si>
  <si>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</si>
  <si>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</si>
  <si>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</si>
  <si>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</si>
  <si>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</si>
  <si>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</si>
  <si>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</si>
  <si>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</si>
  <si>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</si>
  <si>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Brown/Cass/Morgan/Scott/Schuyler</t>
  </si>
  <si>
    <t>651 S. Morgan Street, Room 119</t>
  </si>
  <si>
    <t>Virginia, IL</t>
  </si>
  <si>
    <t>Reggie Clinton, Director</t>
  </si>
  <si>
    <t>tres@casscomm.com</t>
  </si>
  <si>
    <t>(217)452-7239</t>
  </si>
  <si>
    <t>Jamie Nichols</t>
  </si>
  <si>
    <t>Part C. 23 Other than Cash, the Auditor's Report has been qualified due to the Joint Agreement not maintaining a formal record system to track fixed assets accounted for in the General Fixed Asset Account Group.</t>
  </si>
  <si>
    <t>Education Fund Acct 4799- CTE- Perkins Secondary ISBE Source of Funds 4745</t>
  </si>
  <si>
    <t>Two Rivers Career Ed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</si>
</sst>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12615A6-143A-4B25-AC84-B120B0A255F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2" sqref="L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c r="C5" s="26" t="s">
        <v>966</v>
      </c>
      <c r="D5" s="84"/>
      <c r="E5" s="84"/>
      <c r="H5" s="38"/>
      <c r="I5" s="2007" t="s">
        <v>701</v>
      </c>
      <c r="J5" s="2006"/>
      <c r="K5" s="2006"/>
      <c r="L5" s="2006"/>
      <c r="M5" s="2006"/>
      <c r="N5" s="2006"/>
      <c r="O5" s="2006"/>
      <c r="P5" s="2006"/>
      <c r="Q5" s="2006"/>
      <c r="R5" s="2006"/>
      <c r="S5" s="2006"/>
    </row>
    <row r="6" spans="1:28" ht="14.1" customHeight="1" x14ac:dyDescent="0.2">
      <c r="B6" s="104" t="s">
        <v>2084</v>
      </c>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2084</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1009700045</v>
      </c>
      <c r="B13" s="2033"/>
      <c r="C13" s="2033"/>
      <c r="D13" s="2033"/>
      <c r="E13" s="2033"/>
      <c r="F13" s="2033"/>
      <c r="G13" s="2033"/>
      <c r="H13" s="2034"/>
      <c r="I13" s="31"/>
      <c r="J13" s="30"/>
      <c r="K13" s="28"/>
      <c r="L13" s="30"/>
      <c r="M13" s="30"/>
      <c r="N13" s="30"/>
      <c r="O13" s="30"/>
      <c r="P13" s="30"/>
      <c r="Q13" s="30"/>
      <c r="R13" s="30"/>
      <c r="S13" s="30"/>
      <c r="T13" s="2037" t="s">
        <v>2077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2085</v>
      </c>
      <c r="B15" s="2035"/>
      <c r="C15" s="2035"/>
      <c r="D15" s="2035"/>
      <c r="E15" s="2035"/>
      <c r="F15" s="2035"/>
      <c r="G15" s="2035"/>
      <c r="H15" s="2036"/>
      <c r="T15" s="2041" t="s">
        <v>2091</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2094</v>
      </c>
      <c r="B17" s="1992"/>
      <c r="C17" s="1992"/>
      <c r="D17" s="1992"/>
      <c r="E17" s="1992"/>
      <c r="F17" s="1992"/>
      <c r="G17" s="1992"/>
      <c r="H17" s="2017"/>
      <c r="T17" s="2048" t="s">
        <v>2078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2086</v>
      </c>
      <c r="B19" s="1977"/>
      <c r="C19" s="1977"/>
      <c r="D19" s="1977"/>
      <c r="E19" s="1977"/>
      <c r="F19" s="1977"/>
      <c r="G19" s="1977"/>
      <c r="H19" s="1957"/>
      <c r="I19" s="30"/>
      <c r="J19" s="99"/>
      <c r="K19" s="40"/>
      <c r="L19" s="38"/>
      <c r="M19" s="112" t="s">
        <v>333</v>
      </c>
      <c r="P19" s="27"/>
      <c r="Q19" s="27"/>
      <c r="R19" s="27"/>
      <c r="S19" s="31"/>
      <c r="T19" s="2031" t="s">
        <v>2079</v>
      </c>
      <c r="U19" s="1956"/>
      <c r="V19" s="1956"/>
      <c r="W19" s="1957"/>
      <c r="X19" s="2046" t="s">
        <v>2080</v>
      </c>
      <c r="Y19" s="2047"/>
      <c r="Z19" s="2044">
        <v>62702</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2087</v>
      </c>
      <c r="B21" s="1956"/>
      <c r="C21" s="1956"/>
      <c r="D21" s="1956"/>
      <c r="E21" s="1956"/>
      <c r="F21" s="1956"/>
      <c r="G21" s="1956"/>
      <c r="H21" s="1957"/>
      <c r="I21" s="2011" t="s">
        <v>699</v>
      </c>
      <c r="J21" s="2006"/>
      <c r="K21" s="2006"/>
      <c r="L21" s="2006"/>
      <c r="M21" s="2006"/>
      <c r="N21" s="2006"/>
      <c r="O21" s="2006"/>
      <c r="P21" s="2006"/>
      <c r="Q21" s="2006"/>
      <c r="R21" s="2006"/>
      <c r="S21" s="2012"/>
      <c r="T21" s="2055" t="s">
        <v>2081</v>
      </c>
      <c r="U21" s="2056"/>
      <c r="V21" s="2056"/>
      <c r="W21" s="2056"/>
      <c r="X21" s="2061" t="s">
        <v>2082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c r="B23" s="2009"/>
      <c r="C23" s="2009"/>
      <c r="D23" s="2009"/>
      <c r="E23" s="2009"/>
      <c r="F23" s="2009"/>
      <c r="G23" s="2009"/>
      <c r="H23" s="2010"/>
      <c r="T23" s="1991" t="s">
        <v>2083</v>
      </c>
      <c r="U23" s="2054"/>
      <c r="V23" s="2054"/>
      <c r="W23" s="2054"/>
      <c r="X23" s="2058">
        <v>43466</v>
      </c>
      <c r="Y23" s="2059"/>
      <c r="Z23" s="2059"/>
      <c r="AA23" s="2060"/>
    </row>
    <row r="24" spans="1:27" ht="14.1" customHeight="1" x14ac:dyDescent="0.2">
      <c r="A24" s="88" t="s">
        <v>698</v>
      </c>
      <c r="B24" s="49"/>
      <c r="C24" s="49"/>
      <c r="D24" s="49"/>
      <c r="E24" s="49"/>
      <c r="F24" s="49"/>
      <c r="G24" s="49"/>
      <c r="H24" s="61"/>
      <c r="J24" s="1978" t="str">
        <f>IF(B5="x",IF(AUDITCHECK!D29="AFR form Incomplete.","",IF(AUDITCHECK!D29="Deficit reduction plan is required.","School District must complete a deficit reduction plan in the 2018-2019 Budget",)),"")</f>
        <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62691</v>
      </c>
      <c r="B25" s="1956"/>
      <c r="C25" s="1956"/>
      <c r="D25" s="1956"/>
      <c r="E25" s="1956"/>
      <c r="F25" s="1956"/>
      <c r="G25" s="1956"/>
      <c r="H25" s="1957"/>
      <c r="I25" s="113"/>
      <c r="J25" s="1980"/>
      <c r="K25" s="1980"/>
      <c r="L25" s="1980"/>
      <c r="M25" s="1980"/>
      <c r="N25" s="1980"/>
      <c r="O25" s="1980"/>
      <c r="P25" s="1980"/>
      <c r="Q25" s="1980"/>
      <c r="R25" s="1980"/>
      <c r="S25" s="1981"/>
      <c r="T25" s="2051"/>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2084</v>
      </c>
      <c r="C29" s="124" t="s">
        <v>874</v>
      </c>
      <c r="D29" s="114"/>
      <c r="E29" s="136"/>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2088</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2089</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2090</v>
      </c>
      <c r="B42" s="1975"/>
      <c r="C42" s="1976"/>
      <c r="D42" s="1974"/>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2092</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456476</v>
      </c>
      <c r="E16" s="356"/>
      <c r="F16" s="1755">
        <f>SUM('Acct Summary 7-8'!C17,'Acct Summary 7-8'!D17,'Acct Summary 7-8'!F17)</f>
        <v>418609</v>
      </c>
      <c r="G16" s="356"/>
      <c r="H16" s="1755">
        <f>SUM(D16-F16)</f>
        <v>37867</v>
      </c>
      <c r="I16" s="222"/>
      <c r="J16" s="1755">
        <f>SUM('Acct Summary 7-8'!C81,'Acct Summary 7-8'!D81,'Acct Summary 7-8'!F81,'Acct Summary 7-8'!I81)</f>
        <v>75891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Two Rivers Career Ed System</v>
      </c>
      <c r="E7" s="391"/>
      <c r="G7" s="252"/>
      <c r="H7" s="387"/>
      <c r="I7" s="387"/>
      <c r="J7" s="387"/>
      <c r="K7" s="387"/>
      <c r="L7" s="329"/>
      <c r="M7" s="329"/>
      <c r="N7" s="329"/>
      <c r="O7" s="329"/>
      <c r="P7" s="329"/>
    </row>
    <row r="8" spans="1:18" ht="12.75" x14ac:dyDescent="0.2">
      <c r="A8" s="329"/>
      <c r="B8" s="329"/>
      <c r="C8" s="389" t="s">
        <v>1187</v>
      </c>
      <c r="D8" s="392">
        <f>COVER!A13</f>
        <v>1009700045</v>
      </c>
      <c r="E8" s="393"/>
      <c r="G8" s="329"/>
      <c r="H8" s="329"/>
      <c r="I8" s="329"/>
      <c r="J8" s="329"/>
      <c r="K8" s="329"/>
      <c r="L8" s="329"/>
      <c r="M8" s="329"/>
      <c r="N8" s="329"/>
      <c r="O8" s="329"/>
      <c r="P8" s="329"/>
    </row>
    <row r="9" spans="1:18" ht="12.75" x14ac:dyDescent="0.2">
      <c r="A9" s="329"/>
      <c r="B9" s="329"/>
      <c r="C9" s="389" t="s">
        <v>737</v>
      </c>
      <c r="D9" s="394" t="str">
        <f>COVER!A15</f>
        <v>Brown/Cass/Morgan/Scott/Schuyler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75891</v>
      </c>
      <c r="I12" s="404"/>
      <c r="J12" s="404"/>
      <c r="K12" s="405">
        <f>TRUNC((H12/H13*100000),5)/100000</f>
        <v>0.16625408559999999</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456476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418609</v>
      </c>
      <c r="I17" s="404"/>
      <c r="J17" s="416"/>
      <c r="K17" s="405">
        <f>TRUNC((H17/H18*100000),5)/100000</f>
        <v>0.91704492670000004</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456476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76947</v>
      </c>
      <c r="I24" s="422"/>
      <c r="J24" s="422"/>
      <c r="K24" s="423">
        <f>TRUNC(((H24/H25*100000)/100000),2)</f>
        <v>66.17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1162.80278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1"/>
      <c r="D3" s="1582"/>
      <c r="E3" s="1582"/>
      <c r="F3" s="1582"/>
      <c r="G3" s="1582"/>
      <c r="H3" s="1582"/>
      <c r="I3" s="1582"/>
      <c r="J3" s="1582"/>
      <c r="K3" s="1582"/>
      <c r="L3" s="1582"/>
      <c r="M3" s="1583"/>
      <c r="N3" s="1584"/>
    </row>
    <row r="4" spans="1:14" ht="13.5" customHeight="1" x14ac:dyDescent="0.2">
      <c r="A4" s="463" t="s">
        <v>1750</v>
      </c>
      <c r="B4" s="464"/>
      <c r="C4" s="465">
        <v>76947</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76947</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4" t="s">
        <v>149</v>
      </c>
      <c r="B14" s="212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879113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879113</v>
      </c>
      <c r="N23" s="1710">
        <f>SUM(N21:N22)</f>
        <v>0</v>
      </c>
    </row>
    <row r="24" spans="1:14" ht="18" customHeight="1" thickTop="1" x14ac:dyDescent="0.2">
      <c r="A24" s="2126" t="s">
        <v>619</v>
      </c>
      <c r="B24" s="212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1056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1056</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28" t="s">
        <v>550</v>
      </c>
      <c r="B35" s="212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v>4456</v>
      </c>
      <c r="D38" s="466"/>
      <c r="E38" s="466"/>
      <c r="F38" s="466"/>
      <c r="G38" s="466"/>
      <c r="H38" s="466"/>
      <c r="I38" s="466"/>
      <c r="J38" s="467"/>
      <c r="K38" s="466"/>
      <c r="L38" s="481"/>
      <c r="M38" s="497"/>
      <c r="N38" s="497"/>
    </row>
    <row r="39" spans="1:14" s="329" customFormat="1" ht="13.5" customHeight="1" x14ac:dyDescent="0.2">
      <c r="A39" s="496" t="s">
        <v>360</v>
      </c>
      <c r="B39" s="483">
        <v>730</v>
      </c>
      <c r="C39" s="466">
        <v>71435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879113</v>
      </c>
      <c r="N40" s="497"/>
    </row>
    <row r="41" spans="1:14" ht="13.5" customHeight="1" thickBot="1" x14ac:dyDescent="0.25">
      <c r="A41" s="1758" t="s">
        <v>676</v>
      </c>
      <c r="B41" s="1728"/>
      <c r="C41" s="1710">
        <f>(SUM(C34,C37,C38,C39))</f>
        <v>76947</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879113</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5"/>
      <c r="D3" s="1596"/>
      <c r="E3" s="1596"/>
      <c r="F3" s="1596"/>
      <c r="G3" s="1596"/>
      <c r="H3" s="1596"/>
      <c r="I3" s="1596"/>
      <c r="J3" s="1596"/>
      <c r="K3" s="1597"/>
      <c r="L3" s="506"/>
    </row>
    <row r="4" spans="1:13" ht="15.75" customHeight="1" x14ac:dyDescent="0.2">
      <c r="A4" s="1953" t="s">
        <v>1579</v>
      </c>
      <c r="B4" s="1954">
        <v>1000</v>
      </c>
      <c r="C4" s="1764">
        <f>'Revenues 9-14'!C109</f>
        <v>6599</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354671</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95206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456476</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c r="D9" s="516"/>
      <c r="E9" s="481"/>
      <c r="F9" s="481"/>
      <c r="G9" s="517"/>
      <c r="H9" s="481"/>
      <c r="I9" s="509" t="s">
        <v>1231</v>
      </c>
      <c r="J9" s="478"/>
      <c r="K9" s="481"/>
      <c r="L9" s="347"/>
    </row>
    <row r="10" spans="1:13" s="519" customFormat="1" ht="13.5" thickBot="1" x14ac:dyDescent="0.25">
      <c r="A10" s="1758" t="s">
        <v>1235</v>
      </c>
      <c r="B10" s="1731"/>
      <c r="C10" s="1710">
        <f>SUM(C8:C9)</f>
        <v>456476</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4" t="s">
        <v>1238</v>
      </c>
      <c r="B11" s="2125"/>
      <c r="C11" s="1592"/>
      <c r="D11" s="1593"/>
      <c r="E11" s="1593"/>
      <c r="F11" s="1593"/>
      <c r="G11" s="1593"/>
      <c r="H11" s="1593"/>
      <c r="I11" s="1593"/>
      <c r="J11" s="1593"/>
      <c r="K11" s="1594"/>
      <c r="L11" s="518"/>
    </row>
    <row r="12" spans="1:13" ht="15.75" customHeight="1" x14ac:dyDescent="0.2">
      <c r="A12" s="1598" t="s">
        <v>476</v>
      </c>
      <c r="B12" s="1600">
        <v>1000</v>
      </c>
      <c r="C12" s="1764">
        <f>'Expenditures 15-22'!K33</f>
        <v>317187</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101422</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418609</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418609</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0" t="s">
        <v>1754</v>
      </c>
      <c r="B20" s="2141"/>
      <c r="C20" s="1768">
        <f>C8-C17</f>
        <v>37867</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2" t="s">
        <v>616</v>
      </c>
      <c r="B21" s="2153"/>
      <c r="C21" s="1592"/>
      <c r="D21" s="1593"/>
      <c r="E21" s="1593"/>
      <c r="F21" s="1593"/>
      <c r="G21" s="1593"/>
      <c r="H21" s="1593"/>
      <c r="I21" s="1593"/>
      <c r="J21" s="1593"/>
      <c r="K21" s="1594"/>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4" t="s">
        <v>392</v>
      </c>
      <c r="B44" s="2155"/>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0" t="s">
        <v>460</v>
      </c>
      <c r="B76" s="2131"/>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2" t="s">
        <v>1239</v>
      </c>
      <c r="B77" s="2133"/>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6" t="s">
        <v>618</v>
      </c>
      <c r="B78" s="2137"/>
      <c r="C78" s="1724">
        <f t="shared" ref="C78:K78" si="9">C20+C77</f>
        <v>37867</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38024</v>
      </c>
      <c r="D79" s="535"/>
      <c r="E79" s="535"/>
      <c r="F79" s="535"/>
      <c r="G79" s="535"/>
      <c r="H79" s="535"/>
      <c r="I79" s="535"/>
      <c r="J79" s="535"/>
      <c r="K79" s="535"/>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10">
        <f>(SUM(C78:C80))</f>
        <v>75891</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37867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0.49896562174697923</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90</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90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500</v>
      </c>
      <c r="D95" s="551"/>
      <c r="E95" s="521"/>
      <c r="F95" s="521"/>
      <c r="G95" s="521"/>
      <c r="H95" s="521"/>
      <c r="I95" s="521"/>
      <c r="J95" s="521"/>
      <c r="K95" s="521"/>
    </row>
    <row r="96" spans="1:11" ht="12.75" customHeight="1" x14ac:dyDescent="0.2">
      <c r="A96" s="463" t="s">
        <v>409</v>
      </c>
      <c r="B96" s="470">
        <v>1920</v>
      </c>
      <c r="C96" s="551">
        <v>6000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9</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6509</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6599</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354671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354671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8" t="s">
        <v>418</v>
      </c>
      <c r="B172" s="2159"/>
      <c r="C172" s="1744">
        <f t="shared" ref="C172:K172" si="6">SUM(C131,C140,C144,C145:C149,C154,C155:C170,C171)</f>
        <v>354671</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354671</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4" t="s">
        <v>1764</v>
      </c>
      <c r="B178" s="216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6" t="s">
        <v>818</v>
      </c>
      <c r="B184" s="216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95206</v>
      </c>
      <c r="D227" s="466"/>
      <c r="E227" s="468"/>
      <c r="F227" s="468"/>
      <c r="G227" s="466"/>
      <c r="H227" s="468"/>
      <c r="I227" s="468"/>
      <c r="J227" s="468"/>
      <c r="K227" s="468"/>
    </row>
    <row r="228" spans="1:11" ht="12.75" customHeight="1" thickBot="1" x14ac:dyDescent="0.25">
      <c r="A228" s="1745" t="s">
        <v>1145</v>
      </c>
      <c r="B228" s="1746"/>
      <c r="C228" s="1729">
        <f>SUM(C226:C227)</f>
        <v>95206</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95206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95206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456476</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47" sqref="A47"/>
      <selection pane="bottomLeft" activeCell="L51" sqref="L5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12843</v>
      </c>
      <c r="F13" s="466">
        <v>174728</v>
      </c>
      <c r="G13" s="466">
        <v>129616</v>
      </c>
      <c r="H13" s="466"/>
      <c r="I13" s="467"/>
      <c r="J13" s="467"/>
      <c r="K13" s="1693">
        <f t="shared" si="0"/>
        <v>317187</v>
      </c>
      <c r="L13" s="466">
        <v>178413</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0</v>
      </c>
      <c r="D33" s="1692">
        <f t="shared" ref="D33:L33" si="1">SUM(D5:D32)</f>
        <v>0</v>
      </c>
      <c r="E33" s="1692">
        <f t="shared" si="1"/>
        <v>12843</v>
      </c>
      <c r="F33" s="1692">
        <f t="shared" si="1"/>
        <v>174728</v>
      </c>
      <c r="G33" s="1692">
        <f t="shared" si="1"/>
        <v>129616</v>
      </c>
      <c r="H33" s="1692">
        <f t="shared" si="1"/>
        <v>0</v>
      </c>
      <c r="I33" s="1692">
        <f t="shared" si="1"/>
        <v>0</v>
      </c>
      <c r="J33" s="1692">
        <f t="shared" si="1"/>
        <v>0</v>
      </c>
      <c r="K33" s="1692">
        <f t="shared" si="1"/>
        <v>317187</v>
      </c>
      <c r="L33" s="1692">
        <f t="shared" si="1"/>
        <v>178413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v>1104</v>
      </c>
      <c r="F37" s="466"/>
      <c r="G37" s="466"/>
      <c r="H37" s="466"/>
      <c r="I37" s="467"/>
      <c r="J37" s="467"/>
      <c r="K37" s="1693">
        <f t="shared" si="2"/>
        <v>1104</v>
      </c>
      <c r="L37" s="466">
        <v>11000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1104</v>
      </c>
      <c r="F42" s="1692">
        <f t="shared" si="3"/>
        <v>0</v>
      </c>
      <c r="G42" s="1692">
        <f t="shared" si="3"/>
        <v>0</v>
      </c>
      <c r="H42" s="1692">
        <f t="shared" si="3"/>
        <v>0</v>
      </c>
      <c r="I42" s="1692">
        <f t="shared" si="3"/>
        <v>0</v>
      </c>
      <c r="J42" s="1692">
        <f t="shared" si="3"/>
        <v>0</v>
      </c>
      <c r="K42" s="1692">
        <f t="shared" si="3"/>
        <v>1104</v>
      </c>
      <c r="L42" s="1692">
        <f t="shared" si="3"/>
        <v>11000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25819</v>
      </c>
      <c r="D44" s="481">
        <v>4804</v>
      </c>
      <c r="E44" s="481">
        <v>9481</v>
      </c>
      <c r="F44" s="481">
        <v>1518</v>
      </c>
      <c r="G44" s="481"/>
      <c r="H44" s="481"/>
      <c r="I44" s="467"/>
      <c r="J44" s="467"/>
      <c r="K44" s="1694">
        <f>SUM(C44:J44)</f>
        <v>41622</v>
      </c>
      <c r="L44" s="481">
        <v>51806</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25819</v>
      </c>
      <c r="D47" s="1692">
        <f t="shared" ref="D47:K47" si="4">SUM(D44:D46)</f>
        <v>4804</v>
      </c>
      <c r="E47" s="1692">
        <f t="shared" si="4"/>
        <v>9481</v>
      </c>
      <c r="F47" s="1692">
        <f t="shared" si="4"/>
        <v>1518</v>
      </c>
      <c r="G47" s="1692">
        <f t="shared" si="4"/>
        <v>0</v>
      </c>
      <c r="H47" s="1692">
        <f t="shared" si="4"/>
        <v>0</v>
      </c>
      <c r="I47" s="1692">
        <f t="shared" si="4"/>
        <v>0</v>
      </c>
      <c r="J47" s="1692">
        <f t="shared" si="4"/>
        <v>0</v>
      </c>
      <c r="K47" s="1692">
        <f t="shared" si="4"/>
        <v>41622</v>
      </c>
      <c r="L47" s="1692">
        <f>SUM(L44:L46)</f>
        <v>51806</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37263</v>
      </c>
      <c r="D50" s="466">
        <v>6333</v>
      </c>
      <c r="E50" s="466">
        <v>6160</v>
      </c>
      <c r="F50" s="466">
        <v>2130</v>
      </c>
      <c r="G50" s="466"/>
      <c r="H50" s="466"/>
      <c r="I50" s="467"/>
      <c r="J50" s="467"/>
      <c r="K50" s="1694">
        <f>SUM(C50:J50)</f>
        <v>51886</v>
      </c>
      <c r="L50" s="466">
        <v>62415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37263</v>
      </c>
      <c r="D53" s="1692">
        <f t="shared" ref="D53:L53" si="5">SUM(D49:D52)</f>
        <v>6333</v>
      </c>
      <c r="E53" s="1692">
        <f t="shared" si="5"/>
        <v>6160</v>
      </c>
      <c r="F53" s="1692">
        <f t="shared" si="5"/>
        <v>2130</v>
      </c>
      <c r="G53" s="1692">
        <f t="shared" si="5"/>
        <v>0</v>
      </c>
      <c r="H53" s="1692">
        <f t="shared" si="5"/>
        <v>0</v>
      </c>
      <c r="I53" s="1692">
        <f t="shared" si="5"/>
        <v>0</v>
      </c>
      <c r="J53" s="1692">
        <f t="shared" si="5"/>
        <v>0</v>
      </c>
      <c r="K53" s="1692">
        <f t="shared" si="5"/>
        <v>51886</v>
      </c>
      <c r="L53" s="1692">
        <f t="shared" si="5"/>
        <v>62415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6810</v>
      </c>
      <c r="F60" s="466"/>
      <c r="G60" s="466"/>
      <c r="H60" s="466"/>
      <c r="I60" s="467"/>
      <c r="J60" s="467"/>
      <c r="K60" s="1694">
        <f t="shared" si="7"/>
        <v>6810</v>
      </c>
      <c r="L60" s="466">
        <v>6500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6810</v>
      </c>
      <c r="F65" s="1692">
        <f t="shared" si="8"/>
        <v>0</v>
      </c>
      <c r="G65" s="1692">
        <f t="shared" si="8"/>
        <v>0</v>
      </c>
      <c r="H65" s="1692">
        <f t="shared" si="8"/>
        <v>0</v>
      </c>
      <c r="I65" s="1692">
        <f t="shared" si="8"/>
        <v>0</v>
      </c>
      <c r="J65" s="1692">
        <f t="shared" si="8"/>
        <v>0</v>
      </c>
      <c r="K65" s="1692">
        <f t="shared" si="8"/>
        <v>6810</v>
      </c>
      <c r="L65" s="1692">
        <f t="shared" si="8"/>
        <v>6500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63082</v>
      </c>
      <c r="D74" s="1699">
        <f t="shared" ref="D74:K74" si="10">SUM(D42,D47,D53,D57,D65,D72,D73)</f>
        <v>11137</v>
      </c>
      <c r="E74" s="1699">
        <f t="shared" si="10"/>
        <v>23555</v>
      </c>
      <c r="F74" s="1699">
        <f t="shared" si="10"/>
        <v>3648</v>
      </c>
      <c r="G74" s="1699">
        <f t="shared" si="10"/>
        <v>0</v>
      </c>
      <c r="H74" s="1699">
        <f t="shared" si="10"/>
        <v>0</v>
      </c>
      <c r="I74" s="1699">
        <f t="shared" si="10"/>
        <v>0</v>
      </c>
      <c r="J74" s="1699">
        <f t="shared" si="10"/>
        <v>0</v>
      </c>
      <c r="K74" s="1699">
        <f t="shared" si="10"/>
        <v>101422</v>
      </c>
      <c r="L74" s="1699">
        <f>SUM(L42,L47,L53,L57,L65,L72,L73)</f>
        <v>131721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v>2500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2500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2500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63082</v>
      </c>
      <c r="D114" s="1692">
        <f t="shared" ref="D114:K114" si="13">SUM(D33,D74,D75,D102,D112,D113)</f>
        <v>11137</v>
      </c>
      <c r="E114" s="1692">
        <f t="shared" si="13"/>
        <v>36398</v>
      </c>
      <c r="F114" s="1692">
        <f t="shared" si="13"/>
        <v>178376</v>
      </c>
      <c r="G114" s="1692">
        <f t="shared" si="13"/>
        <v>129616</v>
      </c>
      <c r="H114" s="1692">
        <f>SUM(H33,H74,H75,H102,H112,H113)</f>
        <v>0</v>
      </c>
      <c r="I114" s="1692">
        <f t="shared" si="13"/>
        <v>0</v>
      </c>
      <c r="J114" s="1692">
        <f t="shared" si="13"/>
        <v>0</v>
      </c>
      <c r="K114" s="1692">
        <f t="shared" si="13"/>
        <v>418609</v>
      </c>
      <c r="L114" s="1692">
        <f>SUM(L33,L74,L75,L102,L112,L113)</f>
        <v>312634</v>
      </c>
    </row>
    <row r="115" spans="1:14" ht="13.5" thickTop="1" x14ac:dyDescent="0.2">
      <c r="A115" s="2170" t="s">
        <v>1053</v>
      </c>
      <c r="B115" s="2171"/>
      <c r="C115" s="619"/>
      <c r="D115" s="619"/>
      <c r="E115" s="619"/>
      <c r="F115" s="619"/>
      <c r="G115" s="619"/>
      <c r="H115" s="619"/>
      <c r="I115" s="619"/>
      <c r="J115" s="619"/>
      <c r="K115" s="1706">
        <f>'Revenues 9-14'!C275-'Expenditures 15-22'!K114</f>
        <v>37867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7"/>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0" t="s">
        <v>1240</v>
      </c>
      <c r="B152" s="2191"/>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0" t="s">
        <v>1053</v>
      </c>
      <c r="B175" s="2171"/>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0" t="s">
        <v>1053</v>
      </c>
      <c r="B211" s="2171"/>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0" t="s">
        <v>1053</v>
      </c>
      <c r="B296" s="2171"/>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3" t="s">
        <v>1053</v>
      </c>
      <c r="B343" s="2184"/>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0" t="s">
        <v>1053</v>
      </c>
      <c r="B368" s="2171"/>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197" t="s">
        <v>1905</v>
      </c>
      <c r="B2" s="1550" t="s">
        <v>2037</v>
      </c>
      <c r="C2" s="715" t="s">
        <v>1910</v>
      </c>
      <c r="D2" s="715" t="s">
        <v>1911</v>
      </c>
      <c r="E2" s="715" t="s">
        <v>1912</v>
      </c>
      <c r="F2" s="715" t="s">
        <v>1913</v>
      </c>
    </row>
    <row r="3" spans="1:6" ht="12" customHeight="1" x14ac:dyDescent="0.2">
      <c r="A3" s="2198"/>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2"/>
    </row>
    <row r="2" spans="1:7" ht="33.75" x14ac:dyDescent="0.2">
      <c r="A2" s="2224" t="s">
        <v>1905</v>
      </c>
      <c r="B2" s="2225"/>
      <c r="C2" s="1908" t="s">
        <v>2038</v>
      </c>
      <c r="D2" s="724" t="s">
        <v>2045</v>
      </c>
      <c r="E2" s="724" t="s">
        <v>2046</v>
      </c>
      <c r="F2" s="1908" t="s">
        <v>2039</v>
      </c>
    </row>
    <row r="3" spans="1:7" ht="15.75" customHeight="1" x14ac:dyDescent="0.2">
      <c r="A3" s="2226" t="s">
        <v>1176</v>
      </c>
      <c r="B3" s="2227"/>
      <c r="C3" s="2220"/>
      <c r="D3" s="2221"/>
      <c r="E3" s="2221"/>
      <c r="F3" s="2222"/>
    </row>
    <row r="4" spans="1:7" ht="12.75" customHeight="1" thickBot="1" x14ac:dyDescent="0.25">
      <c r="A4" s="2214" t="s">
        <v>651</v>
      </c>
      <c r="B4" s="2215"/>
      <c r="C4" s="581"/>
      <c r="D4" s="581"/>
      <c r="E4" s="581"/>
      <c r="F4" s="1777">
        <f>SUM(C4+D4)-E4</f>
        <v>0</v>
      </c>
    </row>
    <row r="5" spans="1:7" ht="15.75" customHeight="1" thickTop="1" x14ac:dyDescent="0.2">
      <c r="A5" s="2218" t="s">
        <v>1172</v>
      </c>
      <c r="B5" s="2213"/>
      <c r="C5" s="2207"/>
      <c r="D5" s="2208"/>
      <c r="E5" s="2208"/>
      <c r="F5" s="2209"/>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0" t="s">
        <v>652</v>
      </c>
      <c r="B15" s="2211"/>
      <c r="C15" s="1777">
        <f>SUM(C6:C14)</f>
        <v>0</v>
      </c>
      <c r="D15" s="1777">
        <f>SUM(D6:D14)</f>
        <v>0</v>
      </c>
      <c r="E15" s="1777">
        <f>SUM(E6:E14)</f>
        <v>0</v>
      </c>
      <c r="F15" s="1777">
        <f>SUM(F6:F14)</f>
        <v>0</v>
      </c>
      <c r="G15" s="552"/>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7"/>
      <c r="D17" s="585"/>
      <c r="E17" s="727"/>
      <c r="F17" s="1777">
        <f>SUM(C17+D17)-E17</f>
        <v>0</v>
      </c>
    </row>
    <row r="18" spans="1:11" ht="12.75" customHeight="1" thickTop="1" thickBot="1" x14ac:dyDescent="0.25">
      <c r="A18" s="2205" t="s">
        <v>6</v>
      </c>
      <c r="B18" s="2206"/>
      <c r="C18" s="727"/>
      <c r="D18" s="585"/>
      <c r="E18" s="727"/>
      <c r="F18" s="1777">
        <f>SUM(C18+D18)-E18</f>
        <v>0</v>
      </c>
    </row>
    <row r="19" spans="1:11" ht="12.75" customHeight="1" thickTop="1" thickBot="1" x14ac:dyDescent="0.25">
      <c r="A19" s="2205" t="s">
        <v>406</v>
      </c>
      <c r="B19" s="2206"/>
      <c r="C19" s="727"/>
      <c r="D19" s="585"/>
      <c r="E19" s="727"/>
      <c r="F19" s="1777">
        <f>SUM(C19+D19)-E19</f>
        <v>0</v>
      </c>
    </row>
    <row r="20" spans="1:11" ht="12.75" customHeight="1" thickTop="1" thickBot="1" x14ac:dyDescent="0.25">
      <c r="A20" s="2205" t="s">
        <v>468</v>
      </c>
      <c r="B20" s="2206"/>
      <c r="C20" s="727"/>
      <c r="D20" s="585"/>
      <c r="E20" s="727"/>
      <c r="F20" s="1777">
        <f>SUM(C20+D20)-E20</f>
        <v>0</v>
      </c>
    </row>
    <row r="21" spans="1:11" ht="14.25" thickTop="1" thickBot="1" x14ac:dyDescent="0.25">
      <c r="A21" s="2210" t="s">
        <v>653</v>
      </c>
      <c r="B21" s="2211"/>
      <c r="C21" s="1777">
        <f>SUM(C17:C20)</f>
        <v>0</v>
      </c>
      <c r="D21" s="1777">
        <f>SUM(D17:D20)</f>
        <v>0</v>
      </c>
      <c r="E21" s="1777">
        <f>SUM(E17:E20)</f>
        <v>0</v>
      </c>
      <c r="F21" s="1777">
        <f>SUM(F17:F20)</f>
        <v>0</v>
      </c>
      <c r="G21" s="552"/>
    </row>
    <row r="22" spans="1:11" ht="15.75" customHeight="1" thickTop="1" x14ac:dyDescent="0.2">
      <c r="A22" s="2212" t="s">
        <v>1174</v>
      </c>
      <c r="B22" s="2213"/>
      <c r="C22" s="2207"/>
      <c r="D22" s="2208"/>
      <c r="E22" s="2208"/>
      <c r="F22" s="2209"/>
    </row>
    <row r="23" spans="1:11" ht="13.5" thickBot="1" x14ac:dyDescent="0.25">
      <c r="A23" s="2214" t="s">
        <v>654</v>
      </c>
      <c r="B23" s="2215"/>
      <c r="C23" s="581"/>
      <c r="D23" s="581"/>
      <c r="E23" s="581"/>
      <c r="F23" s="1777">
        <f>SUM(C23+D23)-E23</f>
        <v>0</v>
      </c>
      <c r="G23" s="552"/>
    </row>
    <row r="24" spans="1:11" ht="15.75" customHeight="1" thickTop="1" x14ac:dyDescent="0.2">
      <c r="A24" s="2212" t="s">
        <v>1175</v>
      </c>
      <c r="B24" s="2213"/>
      <c r="C24" s="2207"/>
      <c r="D24" s="2208"/>
      <c r="E24" s="2208"/>
      <c r="F24" s="2209"/>
    </row>
    <row r="25" spans="1:11" ht="13.5" thickBot="1" x14ac:dyDescent="0.25">
      <c r="A25" s="2214" t="s">
        <v>655</v>
      </c>
      <c r="B25" s="2215"/>
      <c r="C25" s="581"/>
      <c r="D25" s="581"/>
      <c r="E25" s="581"/>
      <c r="F25" s="1777">
        <f>SUM(C25+D25)-E25</f>
        <v>0</v>
      </c>
      <c r="G25" s="552"/>
    </row>
    <row r="26" spans="1:11" ht="15.75" customHeight="1" thickTop="1" x14ac:dyDescent="0.2">
      <c r="A26" s="2218" t="s">
        <v>678</v>
      </c>
      <c r="B26" s="2213"/>
      <c r="C26" s="728"/>
      <c r="D26" s="728"/>
      <c r="E26" s="728"/>
      <c r="F26" s="729"/>
    </row>
    <row r="27" spans="1:11" ht="13.5" thickBot="1" x14ac:dyDescent="0.25">
      <c r="A27" s="2210" t="s">
        <v>1130</v>
      </c>
      <c r="B27" s="2211"/>
      <c r="C27" s="585"/>
      <c r="D27" s="585"/>
      <c r="E27" s="585"/>
      <c r="F27" s="1777">
        <f>SUM(C27+D27)-E27</f>
        <v>0</v>
      </c>
      <c r="G27" s="552"/>
    </row>
    <row r="28" spans="1:11" ht="7.5" customHeight="1" thickTop="1" x14ac:dyDescent="0.2">
      <c r="A28" s="594"/>
    </row>
    <row r="29" spans="1:11" ht="23.25" customHeight="1" x14ac:dyDescent="0.2">
      <c r="A29" s="2216" t="s">
        <v>603</v>
      </c>
      <c r="B29" s="2217"/>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9" t="s">
        <v>605</v>
      </c>
      <c r="C52" s="2200"/>
      <c r="D52" s="2200"/>
      <c r="E52" s="750" t="s">
        <v>900</v>
      </c>
      <c r="F52" s="2201"/>
      <c r="G52" s="2202"/>
      <c r="H52" s="737"/>
      <c r="I52" s="737"/>
      <c r="J52" s="747"/>
    </row>
    <row r="53" spans="1:11" ht="11.25" customHeight="1" x14ac:dyDescent="0.2">
      <c r="A53" s="751" t="s">
        <v>969</v>
      </c>
      <c r="B53" s="752" t="s">
        <v>1008</v>
      </c>
      <c r="C53" s="747"/>
      <c r="D53" s="738"/>
      <c r="E53" s="750" t="s">
        <v>518</v>
      </c>
      <c r="F53" s="2203"/>
      <c r="G53" s="2204"/>
      <c r="H53" s="737"/>
      <c r="I53" s="737"/>
      <c r="J53" s="747"/>
    </row>
    <row r="54" spans="1:11" ht="11.25" customHeight="1" x14ac:dyDescent="0.2">
      <c r="A54" s="753" t="s">
        <v>970</v>
      </c>
      <c r="B54" s="748" t="s">
        <v>1009</v>
      </c>
      <c r="C54" s="747"/>
      <c r="D54" s="738"/>
      <c r="E54" s="750" t="s">
        <v>519</v>
      </c>
      <c r="F54" s="2203"/>
      <c r="G54" s="220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2"/>
      <c r="I1" s="761"/>
      <c r="J1" s="433"/>
    </row>
    <row r="2" spans="1:11" ht="26.25" x14ac:dyDescent="0.2">
      <c r="A2" s="2247" t="s">
        <v>1776</v>
      </c>
      <c r="B2" s="2248"/>
      <c r="C2" s="2248"/>
      <c r="D2" s="2248"/>
      <c r="E2" s="2249"/>
      <c r="F2" s="762" t="s">
        <v>960</v>
      </c>
      <c r="G2" s="763" t="s">
        <v>1773</v>
      </c>
      <c r="H2" s="763" t="s">
        <v>430</v>
      </c>
      <c r="I2" s="763" t="s">
        <v>1220</v>
      </c>
      <c r="J2" s="763" t="s">
        <v>1919</v>
      </c>
      <c r="K2" s="763" t="s">
        <v>140</v>
      </c>
    </row>
    <row r="3" spans="1:11" x14ac:dyDescent="0.2">
      <c r="A3" s="2250" t="s">
        <v>1698</v>
      </c>
      <c r="B3" s="2251"/>
      <c r="C3" s="2251"/>
      <c r="D3" s="2251"/>
      <c r="E3" s="2252"/>
      <c r="F3" s="764"/>
      <c r="G3" s="765"/>
      <c r="H3" s="765"/>
      <c r="I3" s="765"/>
      <c r="J3" s="766"/>
      <c r="K3" s="766"/>
    </row>
    <row r="4" spans="1:11" x14ac:dyDescent="0.2">
      <c r="A4" s="2253" t="s">
        <v>387</v>
      </c>
      <c r="B4" s="2254"/>
      <c r="C4" s="2254"/>
      <c r="D4" s="2254"/>
      <c r="E4" s="2200"/>
      <c r="F4" s="767"/>
      <c r="G4" s="768"/>
      <c r="H4" s="769"/>
      <c r="I4" s="768"/>
      <c r="J4" s="770"/>
      <c r="K4" s="770"/>
    </row>
    <row r="5" spans="1:11" x14ac:dyDescent="0.2">
      <c r="A5" s="2231" t="s">
        <v>1129</v>
      </c>
      <c r="B5" s="2232"/>
      <c r="C5" s="2232"/>
      <c r="D5" s="2232"/>
      <c r="E5" s="2233"/>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1" t="s">
        <v>1920</v>
      </c>
      <c r="B10" s="2232"/>
      <c r="C10" s="2232"/>
      <c r="D10" s="2232"/>
      <c r="E10" s="2234"/>
      <c r="F10" s="784" t="s">
        <v>917</v>
      </c>
      <c r="G10" s="783"/>
      <c r="H10" s="785"/>
      <c r="I10" s="765"/>
      <c r="J10" s="766"/>
      <c r="K10" s="766"/>
    </row>
    <row r="11" spans="1:11" x14ac:dyDescent="0.2">
      <c r="A11" s="2231" t="s">
        <v>162</v>
      </c>
      <c r="B11" s="2232"/>
      <c r="C11" s="2232"/>
      <c r="D11" s="2232"/>
      <c r="E11" s="2233"/>
      <c r="F11" s="771" t="s">
        <v>907</v>
      </c>
      <c r="G11" s="772"/>
      <c r="H11" s="765"/>
      <c r="I11" s="765"/>
      <c r="J11" s="766"/>
      <c r="K11" s="774"/>
    </row>
    <row r="12" spans="1:11" ht="13.5" thickBot="1" x14ac:dyDescent="0.25">
      <c r="A12" s="2258" t="s">
        <v>961</v>
      </c>
      <c r="B12" s="2259"/>
      <c r="C12" s="2259"/>
      <c r="D12" s="2259"/>
      <c r="E12" s="2260"/>
      <c r="F12" s="1779"/>
      <c r="G12" s="1780">
        <f>SUM(G5:G11)</f>
        <v>0</v>
      </c>
      <c r="H12" s="1780">
        <f>SUM(H5:H11)</f>
        <v>0</v>
      </c>
      <c r="I12" s="1780">
        <f>SUM(I5:I11)</f>
        <v>0</v>
      </c>
      <c r="J12" s="1780">
        <f>SUM(J5:J11)</f>
        <v>0</v>
      </c>
      <c r="K12" s="1780">
        <f>SUM(K5:K11)</f>
        <v>0</v>
      </c>
    </row>
    <row r="13" spans="1:11" ht="13.5" thickTop="1" x14ac:dyDescent="0.2">
      <c r="A13" s="2255" t="s">
        <v>388</v>
      </c>
      <c r="B13" s="2256"/>
      <c r="C13" s="2256"/>
      <c r="D13" s="2256"/>
      <c r="E13" s="2257"/>
      <c r="F13" s="786"/>
      <c r="G13" s="787"/>
      <c r="H13" s="788"/>
      <c r="I13" s="789"/>
      <c r="J13" s="789"/>
      <c r="K13" s="789"/>
    </row>
    <row r="14" spans="1:11" x14ac:dyDescent="0.2">
      <c r="A14" s="2238" t="s">
        <v>476</v>
      </c>
      <c r="B14" s="2238"/>
      <c r="C14" s="2238"/>
      <c r="D14" s="2238"/>
      <c r="E14" s="2239"/>
      <c r="F14" s="790" t="s">
        <v>909</v>
      </c>
      <c r="G14" s="783"/>
      <c r="H14" s="765"/>
      <c r="I14" s="772"/>
      <c r="J14" s="774"/>
      <c r="K14" s="766"/>
    </row>
    <row r="15" spans="1:11" x14ac:dyDescent="0.2">
      <c r="A15" s="2232" t="s">
        <v>4</v>
      </c>
      <c r="B15" s="2232"/>
      <c r="C15" s="2232"/>
      <c r="D15" s="2232"/>
      <c r="E15" s="2233"/>
      <c r="F15" s="790" t="s">
        <v>910</v>
      </c>
      <c r="G15" s="772"/>
      <c r="H15" s="765"/>
      <c r="I15" s="765"/>
      <c r="J15" s="766"/>
      <c r="K15" s="766"/>
    </row>
    <row r="16" spans="1:11" x14ac:dyDescent="0.2">
      <c r="A16" s="2232" t="s">
        <v>316</v>
      </c>
      <c r="B16" s="2232"/>
      <c r="C16" s="2232"/>
      <c r="D16" s="2232"/>
      <c r="E16" s="2233"/>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42" t="s">
        <v>386</v>
      </c>
      <c r="B18" s="2243"/>
      <c r="C18" s="2243"/>
      <c r="D18" s="2243"/>
      <c r="E18" s="2244"/>
      <c r="F18" s="790" t="s">
        <v>989</v>
      </c>
      <c r="G18" s="783"/>
      <c r="H18" s="783"/>
      <c r="I18" s="783"/>
      <c r="J18" s="766"/>
      <c r="K18" s="796"/>
    </row>
    <row r="19" spans="1:11" ht="21.75" customHeight="1" x14ac:dyDescent="0.2">
      <c r="A19" s="2240" t="s">
        <v>1916</v>
      </c>
      <c r="B19" s="2240"/>
      <c r="C19" s="2240"/>
      <c r="D19" s="2240"/>
      <c r="E19" s="2241"/>
      <c r="F19" s="790" t="s">
        <v>990</v>
      </c>
      <c r="G19" s="783"/>
      <c r="H19" s="783"/>
      <c r="I19" s="783"/>
      <c r="J19" s="766"/>
      <c r="K19" s="796"/>
    </row>
    <row r="20" spans="1:11" x14ac:dyDescent="0.2">
      <c r="A20" s="2242" t="s">
        <v>1921</v>
      </c>
      <c r="B20" s="2243"/>
      <c r="C20" s="2243"/>
      <c r="D20" s="2243"/>
      <c r="E20" s="2244"/>
      <c r="F20" s="790" t="s">
        <v>991</v>
      </c>
      <c r="G20" s="783"/>
      <c r="H20" s="783"/>
      <c r="I20" s="783"/>
      <c r="J20" s="766"/>
      <c r="K20" s="796"/>
    </row>
    <row r="21" spans="1:11" ht="13.5" thickBot="1" x14ac:dyDescent="0.25">
      <c r="A21" s="2261" t="s">
        <v>659</v>
      </c>
      <c r="B21" s="2261"/>
      <c r="C21" s="2261"/>
      <c r="D21" s="2261"/>
      <c r="E21" s="2261"/>
      <c r="F21" s="1781"/>
      <c r="G21" s="793"/>
      <c r="H21" s="797"/>
      <c r="I21" s="797"/>
      <c r="J21" s="1782">
        <f>SUM(J18:J20)</f>
        <v>0</v>
      </c>
      <c r="K21" s="794"/>
    </row>
    <row r="22" spans="1:11" ht="13.5" thickTop="1" x14ac:dyDescent="0.2">
      <c r="A22" s="2232" t="s">
        <v>1922</v>
      </c>
      <c r="B22" s="2232"/>
      <c r="C22" s="2232"/>
      <c r="D22" s="2232"/>
      <c r="E22" s="2233"/>
      <c r="F22" s="790" t="s">
        <v>917</v>
      </c>
      <c r="G22" s="783"/>
      <c r="H22" s="765"/>
      <c r="I22" s="765"/>
      <c r="J22" s="798"/>
      <c r="K22" s="766"/>
    </row>
    <row r="23" spans="1:11" ht="13.5" thickBot="1" x14ac:dyDescent="0.25">
      <c r="A23" s="2262" t="s">
        <v>962</v>
      </c>
      <c r="B23" s="2261"/>
      <c r="C23" s="2261"/>
      <c r="D23" s="2261"/>
      <c r="E23" s="2261"/>
      <c r="F23" s="1783"/>
      <c r="G23" s="1780">
        <f>SUM(G14:G16,G21,G22)</f>
        <v>0</v>
      </c>
      <c r="H23" s="1780">
        <f>SUM(H14:H16,H21,H22)</f>
        <v>0</v>
      </c>
      <c r="I23" s="1780">
        <f>SUM(I14:I16,I21,I22)</f>
        <v>0</v>
      </c>
      <c r="J23" s="1780">
        <f>SUM(J14:J16,J21,J22)</f>
        <v>0</v>
      </c>
      <c r="K23" s="1780">
        <f>SUM(K14:K16,K21,K22)</f>
        <v>0</v>
      </c>
    </row>
    <row r="24" spans="1:11" ht="14.25" thickTop="1" thickBot="1" x14ac:dyDescent="0.25">
      <c r="A24" s="2262" t="s">
        <v>2026</v>
      </c>
      <c r="B24" s="2261"/>
      <c r="C24" s="2261"/>
      <c r="D24" s="2261"/>
      <c r="E24" s="226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5"/>
      <c r="I31" s="2236"/>
      <c r="J31" s="2236"/>
      <c r="K31" s="2236"/>
    </row>
    <row r="32" spans="1:11" x14ac:dyDescent="0.2">
      <c r="A32" s="810"/>
      <c r="B32" s="237"/>
      <c r="C32" s="237"/>
      <c r="D32" s="237"/>
      <c r="E32" s="806"/>
      <c r="F32" s="812" t="s">
        <v>561</v>
      </c>
      <c r="G32" s="765"/>
      <c r="H32" s="2237"/>
      <c r="I32" s="2236"/>
      <c r="J32" s="2236"/>
      <c r="K32" s="2236"/>
    </row>
    <row r="33" spans="1:11" ht="1.5" customHeight="1" x14ac:dyDescent="0.2">
      <c r="A33" s="813" t="s">
        <v>1231</v>
      </c>
      <c r="B33" s="364"/>
      <c r="C33" s="364"/>
      <c r="D33" s="364"/>
      <c r="E33" s="364"/>
      <c r="F33" s="364"/>
      <c r="G33" s="814"/>
      <c r="H33" s="2237"/>
      <c r="I33" s="2236"/>
      <c r="J33" s="2236"/>
      <c r="K33" s="2236"/>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45"/>
      <c r="C41" s="2245"/>
      <c r="D41" s="2245"/>
      <c r="E41" s="2245"/>
      <c r="F41" s="224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7"/>
      <c r="E1" s="828"/>
      <c r="F1" s="828"/>
      <c r="G1" s="829"/>
      <c r="H1" s="830"/>
      <c r="I1" s="831"/>
      <c r="J1" s="2265"/>
      <c r="K1" s="2266"/>
      <c r="L1" s="226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829519</v>
      </c>
      <c r="D12" s="845">
        <v>129616</v>
      </c>
      <c r="E12" s="845">
        <v>80022</v>
      </c>
      <c r="F12" s="1782">
        <f>(C12+D12)-E12</f>
        <v>879113</v>
      </c>
      <c r="G12" s="844">
        <v>10</v>
      </c>
      <c r="H12" s="766">
        <v>483340</v>
      </c>
      <c r="I12" s="766">
        <v>87911</v>
      </c>
      <c r="J12" s="766">
        <v>80022</v>
      </c>
      <c r="K12" s="1791">
        <f>(H12+I12)-J12</f>
        <v>491229</v>
      </c>
      <c r="L12" s="1791">
        <f>F12-K12</f>
        <v>387884</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829519</v>
      </c>
      <c r="D16" s="1782">
        <f>SUM(D3,D5:D6,D8:D10,D12:D15)</f>
        <v>129616</v>
      </c>
      <c r="E16" s="1782">
        <f>SUM(E3,E5:E6,E8:E10,E12:E15)</f>
        <v>80022</v>
      </c>
      <c r="F16" s="1782">
        <f>SUM(F3,F5:F6,F8:F10,F12:F15)</f>
        <v>879113</v>
      </c>
      <c r="G16" s="844"/>
      <c r="H16" s="1782">
        <f>SUM(H3,H6,H8:H10,H12:H14,)</f>
        <v>483340</v>
      </c>
      <c r="I16" s="1782">
        <f>SUM(I3,I6,I8:I10,I12:I14,)</f>
        <v>87911</v>
      </c>
      <c r="J16" s="1782">
        <f>SUM(J3,J6,J8:J10,J12:J14,)</f>
        <v>80022</v>
      </c>
      <c r="K16" s="1782">
        <f>(H16+I16)-J16</f>
        <v>491229</v>
      </c>
      <c r="L16" s="1782">
        <f>F16-K16</f>
        <v>387884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87911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1699</v>
      </c>
      <c r="B1" s="2274"/>
      <c r="C1" s="2274"/>
      <c r="D1" s="2274"/>
      <c r="E1" s="2274"/>
      <c r="F1" s="2275"/>
      <c r="G1" s="856"/>
    </row>
    <row r="2" spans="1:7" ht="15" customHeight="1" thickBot="1" x14ac:dyDescent="0.25">
      <c r="A2" s="2276" t="s">
        <v>498</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418609</v>
      </c>
      <c r="G8" s="866"/>
    </row>
    <row r="9" spans="1:7" x14ac:dyDescent="0.2">
      <c r="A9" s="870" t="s">
        <v>480</v>
      </c>
      <c r="B9" s="871" t="s">
        <v>1989</v>
      </c>
      <c r="C9" s="872"/>
      <c r="D9" s="870" t="s">
        <v>522</v>
      </c>
      <c r="E9" s="869"/>
      <c r="F9" s="1934">
        <f>'Expenditures 15-22'!K151</f>
        <v>0</v>
      </c>
      <c r="G9" s="873"/>
    </row>
    <row r="10" spans="1:7" x14ac:dyDescent="0.2">
      <c r="A10" s="870" t="s">
        <v>520</v>
      </c>
      <c r="B10" s="871" t="s">
        <v>1990</v>
      </c>
      <c r="C10" s="872"/>
      <c r="D10" s="870" t="s">
        <v>522</v>
      </c>
      <c r="E10" s="869"/>
      <c r="F10" s="1934">
        <f>'Expenditures 15-22'!K174</f>
        <v>0</v>
      </c>
      <c r="G10" s="873"/>
    </row>
    <row r="11" spans="1:7" x14ac:dyDescent="0.2">
      <c r="A11" s="870" t="s">
        <v>481</v>
      </c>
      <c r="B11" s="871" t="s">
        <v>1991</v>
      </c>
      <c r="C11" s="872"/>
      <c r="D11" s="870" t="s">
        <v>522</v>
      </c>
      <c r="E11" s="869"/>
      <c r="F11" s="1934">
        <f>'Expenditures 15-22'!K210</f>
        <v>0</v>
      </c>
      <c r="G11" s="873"/>
    </row>
    <row r="12" spans="1:7" x14ac:dyDescent="0.2">
      <c r="A12" s="870" t="s">
        <v>482</v>
      </c>
      <c r="B12" s="871" t="s">
        <v>1992</v>
      </c>
      <c r="C12" s="872"/>
      <c r="D12" s="870" t="s">
        <v>522</v>
      </c>
      <c r="E12" s="869"/>
      <c r="F12" s="1934">
        <f>'Expenditures 15-22'!K295</f>
        <v>0</v>
      </c>
      <c r="G12" s="873"/>
    </row>
    <row r="13" spans="1:7" x14ac:dyDescent="0.2">
      <c r="A13" s="870" t="s">
        <v>108</v>
      </c>
      <c r="B13" s="871" t="s">
        <v>1993</v>
      </c>
      <c r="C13" s="872"/>
      <c r="D13" s="870" t="s">
        <v>522</v>
      </c>
      <c r="E13" s="869"/>
      <c r="F13" s="1934">
        <f>'Expenditures 15-22'!K342</f>
        <v>0</v>
      </c>
      <c r="G13" s="874"/>
    </row>
    <row r="14" spans="1:7" ht="12" customHeight="1" thickBot="1" x14ac:dyDescent="0.25">
      <c r="A14" s="1792"/>
      <c r="B14" s="1793"/>
      <c r="C14" s="1794"/>
      <c r="D14" s="1795" t="s">
        <v>522</v>
      </c>
      <c r="E14" s="1796" t="s">
        <v>1015</v>
      </c>
      <c r="F14" s="1797">
        <f>SUM(F8:F13)</f>
        <v>418609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0</v>
      </c>
      <c r="G53" s="866"/>
    </row>
    <row r="54" spans="1:7" x14ac:dyDescent="0.2">
      <c r="A54" s="870" t="s">
        <v>479</v>
      </c>
      <c r="B54" s="870" t="s">
        <v>1552</v>
      </c>
      <c r="C54" s="890" t="s">
        <v>1039</v>
      </c>
      <c r="D54" s="886" t="s">
        <v>1157</v>
      </c>
      <c r="E54" s="869"/>
      <c r="F54" s="1938">
        <f>'Expenditures 15-22'!G114</f>
        <v>129616</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0</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129616</v>
      </c>
      <c r="G76" s="866"/>
    </row>
    <row r="77" spans="1:8" s="894" customFormat="1" ht="12" customHeight="1" thickTop="1" thickBot="1" x14ac:dyDescent="0.25">
      <c r="A77" s="1801"/>
      <c r="B77" s="1798"/>
      <c r="C77" s="1794"/>
      <c r="D77" s="1799" t="s">
        <v>2012</v>
      </c>
      <c r="E77" s="1796"/>
      <c r="F77" s="1802">
        <f>(F14-F76)</f>
        <v>288993</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0" t="s">
        <v>1167</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354671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95206</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450377</v>
      </c>
    </row>
    <row r="179" spans="1:7" ht="12" customHeight="1" x14ac:dyDescent="0.2">
      <c r="A179" s="1792"/>
      <c r="B179" s="1806"/>
      <c r="C179" s="1807"/>
      <c r="D179" s="1808" t="s">
        <v>2015</v>
      </c>
      <c r="E179" s="1809"/>
      <c r="F179" s="1811">
        <f>'PCTC-OEPP 27-28'!F77-F178</f>
        <v>-161384</v>
      </c>
    </row>
    <row r="180" spans="1:7" ht="12" customHeight="1" x14ac:dyDescent="0.2">
      <c r="A180" s="1792"/>
      <c r="B180" s="1806"/>
      <c r="C180" s="1807"/>
      <c r="D180" s="1808" t="s">
        <v>1924</v>
      </c>
      <c r="E180" s="1809"/>
      <c r="F180" s="1811">
        <f>'Cap Outlay Deprec 26'!I18</f>
        <v>87911</v>
      </c>
    </row>
    <row r="181" spans="1:7" ht="12" customHeight="1" x14ac:dyDescent="0.2">
      <c r="A181" s="1792"/>
      <c r="B181" s="1806"/>
      <c r="C181" s="1807"/>
      <c r="D181" s="1808" t="s">
        <v>2016</v>
      </c>
      <c r="E181" s="1809"/>
      <c r="F181" s="1811">
        <f>F179+F180</f>
        <v>-73473</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17" activePane="bottomLeft" state="frozen"/>
      <selection pane="bottomLeft" activeCell="A19" sqref="A19:XFD33"/>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6" t="s">
        <v>1926</v>
      </c>
      <c r="B6" s="1557"/>
      <c r="C6" s="1557"/>
      <c r="D6" s="1557"/>
      <c r="E6" s="1557"/>
      <c r="F6" s="1557"/>
      <c r="G6" s="1558"/>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9" t="s">
        <v>1927</v>
      </c>
      <c r="B10" s="1560"/>
      <c r="C10" s="1560"/>
      <c r="D10" s="1560"/>
      <c r="E10" s="1560"/>
      <c r="F10" s="1560"/>
      <c r="G10" s="1561"/>
    </row>
    <row r="11" spans="1:7" ht="17.25" customHeight="1" x14ac:dyDescent="0.25">
      <c r="A11" s="2290" t="s">
        <v>1941</v>
      </c>
      <c r="B11" s="2291"/>
      <c r="C11" s="2291"/>
      <c r="D11" s="2291"/>
      <c r="E11" s="2291"/>
      <c r="F11" s="2291"/>
      <c r="G11" s="2292"/>
    </row>
    <row r="12" spans="1:7" ht="15" customHeight="1" x14ac:dyDescent="0.25">
      <c r="A12" s="1559" t="s">
        <v>1932</v>
      </c>
      <c r="B12" s="1560"/>
      <c r="C12" s="1560"/>
      <c r="D12" s="1560"/>
      <c r="E12" s="1560"/>
      <c r="F12" s="1560"/>
      <c r="G12" s="1561"/>
    </row>
    <row r="13" spans="1:7" ht="32.25" customHeight="1" x14ac:dyDescent="0.25">
      <c r="A13" s="2281" t="s">
        <v>1933</v>
      </c>
      <c r="B13" s="2282"/>
      <c r="C13" s="2282"/>
      <c r="D13" s="2282"/>
      <c r="E13" s="2282"/>
      <c r="F13" s="2282"/>
      <c r="G13" s="2283"/>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36" si="1">IF(D17&lt;=25000,D17,IF(D17&gt;25000,25000,0))</f>
        <v>0</v>
      </c>
      <c r="F17" s="1815">
        <f t="shared" si="0"/>
        <v>0</v>
      </c>
      <c r="G17" s="1816">
        <f>IF(F17=0,0,D17-F17)</f>
        <v>0</v>
      </c>
      <c r="H17" s="1669"/>
    </row>
    <row r="18" spans="1:8" x14ac:dyDescent="0.25">
      <c r="A18" s="1675"/>
      <c r="B18" s="1868"/>
      <c r="C18" s="1678"/>
      <c r="D18" s="1867"/>
      <c r="E18" s="1562">
        <f t="shared" ref="E18:E35" si="2">IF(D18&lt;=25000,D18,IF(D18&gt;25000,25000,0))</f>
        <v>0</v>
      </c>
      <c r="F18" s="1815">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35" si="4">IF(F18=0,0,D18-F18)</f>
        <v>0</v>
      </c>
    </row>
    <row r="19" spans="1:8" x14ac:dyDescent="0.25">
      <c r="A19" s="1675"/>
      <c r="B19" s="1689"/>
      <c r="C19" s="1676"/>
      <c r="D19" s="1867"/>
      <c r="E19" s="1562">
        <f t="shared" ref="E19:E20" si="5">IF(D19&lt;=25000,D19,IF(D19&gt;25000,25000,0))</f>
        <v>0</v>
      </c>
      <c r="F19" s="1815">
        <f t="shared" ref="F19:F20"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6">
        <f t="shared" ref="G19:G20" si="7">IF(F19=0,0,D19-F19)</f>
        <v>0</v>
      </c>
    </row>
    <row r="20" spans="1:8" x14ac:dyDescent="0.25">
      <c r="A20" s="1675"/>
      <c r="B20" s="1689"/>
      <c r="C20" s="1676"/>
      <c r="D20" s="1867"/>
      <c r="E20" s="1562">
        <f t="shared" si="5"/>
        <v>0</v>
      </c>
      <c r="F20" s="1815">
        <f t="shared" si="6"/>
        <v>0</v>
      </c>
      <c r="G20" s="1816">
        <f t="shared" si="7"/>
        <v>0</v>
      </c>
    </row>
    <row r="21" spans="1:8" x14ac:dyDescent="0.25">
      <c r="A21" s="1675"/>
      <c r="B21" s="1689"/>
      <c r="C21" s="1676"/>
      <c r="D21" s="1867"/>
      <c r="E21" s="1562">
        <f t="shared" ref="E21:E29" si="8">IF(D21&lt;=25000,D21,IF(D21&gt;25000,25000,0))</f>
        <v>0</v>
      </c>
      <c r="F21" s="1815">
        <f t="shared" ref="F21:F29" si="9">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0</v>
      </c>
      <c r="G21" s="1816">
        <f t="shared" ref="G21:G29" si="10">IF(F21=0,0,D21-F21)</f>
        <v>0</v>
      </c>
    </row>
    <row r="22" spans="1:8" x14ac:dyDescent="0.25">
      <c r="A22" s="1675"/>
      <c r="B22" s="1689"/>
      <c r="C22" s="1676"/>
      <c r="D22" s="1867"/>
      <c r="E22" s="1562">
        <f t="shared" si="8"/>
        <v>0</v>
      </c>
      <c r="F22" s="1815">
        <f t="shared" si="9"/>
        <v>0</v>
      </c>
      <c r="G22" s="1816">
        <f t="shared" si="10"/>
        <v>0</v>
      </c>
    </row>
    <row r="23" spans="1:8" x14ac:dyDescent="0.25">
      <c r="A23" s="1675"/>
      <c r="B23" s="1689"/>
      <c r="C23" s="1676"/>
      <c r="D23" s="1867"/>
      <c r="E23" s="1562">
        <f t="shared" si="8"/>
        <v>0</v>
      </c>
      <c r="F23" s="1815">
        <f t="shared" si="9"/>
        <v>0</v>
      </c>
      <c r="G23" s="1816">
        <f t="shared" si="10"/>
        <v>0</v>
      </c>
    </row>
    <row r="24" spans="1:8" x14ac:dyDescent="0.25">
      <c r="A24" s="1675"/>
      <c r="B24" s="1689"/>
      <c r="C24" s="1676"/>
      <c r="D24" s="1867"/>
      <c r="E24" s="1562">
        <f t="shared" si="8"/>
        <v>0</v>
      </c>
      <c r="F24" s="1815">
        <f t="shared" si="9"/>
        <v>0</v>
      </c>
      <c r="G24" s="1816">
        <f t="shared" si="10"/>
        <v>0</v>
      </c>
    </row>
    <row r="25" spans="1:8" x14ac:dyDescent="0.25">
      <c r="A25" s="1675"/>
      <c r="B25" s="1689"/>
      <c r="C25" s="1676"/>
      <c r="D25" s="1867"/>
      <c r="E25" s="1562">
        <f t="shared" si="8"/>
        <v>0</v>
      </c>
      <c r="F25" s="1815">
        <f t="shared" si="9"/>
        <v>0</v>
      </c>
      <c r="G25" s="1816">
        <f t="shared" si="10"/>
        <v>0</v>
      </c>
    </row>
    <row r="26" spans="1:8" x14ac:dyDescent="0.25">
      <c r="A26" s="1675"/>
      <c r="B26" s="1860"/>
      <c r="C26" s="1676"/>
      <c r="D26" s="1867"/>
      <c r="E26" s="1562">
        <f t="shared" si="8"/>
        <v>0</v>
      </c>
      <c r="F26" s="1815">
        <f t="shared" si="9"/>
        <v>0</v>
      </c>
      <c r="G26" s="1816">
        <f t="shared" si="10"/>
        <v>0</v>
      </c>
    </row>
    <row r="27" spans="1:8" x14ac:dyDescent="0.25">
      <c r="A27" s="1675"/>
      <c r="B27" s="1860"/>
      <c r="C27" s="1676"/>
      <c r="D27" s="1867"/>
      <c r="E27" s="1562">
        <f t="shared" si="8"/>
        <v>0</v>
      </c>
      <c r="F27" s="1815">
        <f t="shared" si="9"/>
        <v>0</v>
      </c>
      <c r="G27" s="1816">
        <f t="shared" si="10"/>
        <v>0</v>
      </c>
    </row>
    <row r="28" spans="1:8" x14ac:dyDescent="0.25">
      <c r="A28" s="1675"/>
      <c r="B28" s="1689"/>
      <c r="C28" s="1676"/>
      <c r="D28" s="1867"/>
      <c r="E28" s="1562">
        <f t="shared" si="8"/>
        <v>0</v>
      </c>
      <c r="F28" s="1815">
        <f t="shared" si="9"/>
        <v>0</v>
      </c>
      <c r="G28" s="1816">
        <f t="shared" si="10"/>
        <v>0</v>
      </c>
    </row>
    <row r="29" spans="1:8" x14ac:dyDescent="0.25">
      <c r="A29" s="1675"/>
      <c r="B29" s="1689"/>
      <c r="C29" s="1676"/>
      <c r="D29" s="1867"/>
      <c r="E29" s="1562">
        <f t="shared" si="8"/>
        <v>0</v>
      </c>
      <c r="F29" s="1815">
        <f t="shared" si="9"/>
        <v>0</v>
      </c>
      <c r="G29" s="1816">
        <f t="shared" si="10"/>
        <v>0</v>
      </c>
    </row>
    <row r="30" spans="1:8" x14ac:dyDescent="0.25">
      <c r="A30" s="1675"/>
      <c r="B30" s="1689"/>
      <c r="C30" s="1676"/>
      <c r="D30" s="1867"/>
      <c r="E30" s="1562">
        <f t="shared" ref="E30:E34" si="11">IF(D30&lt;=25000,D30,IF(D30&gt;25000,25000,0))</f>
        <v>0</v>
      </c>
      <c r="F30" s="1815">
        <f t="shared" ref="F30:F34" si="12">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0</v>
      </c>
      <c r="G30" s="1816">
        <f t="shared" ref="G30:G34" si="13">IF(F30=0,0,D30-F30)</f>
        <v>0</v>
      </c>
    </row>
    <row r="31" spans="1:8" x14ac:dyDescent="0.25">
      <c r="A31" s="1675"/>
      <c r="B31" s="1689"/>
      <c r="C31" s="1676"/>
      <c r="D31" s="1867"/>
      <c r="E31" s="1562">
        <f t="shared" si="11"/>
        <v>0</v>
      </c>
      <c r="F31" s="1815">
        <f t="shared" si="12"/>
        <v>0</v>
      </c>
      <c r="G31" s="1816">
        <f t="shared" si="13"/>
        <v>0</v>
      </c>
    </row>
    <row r="32" spans="1:8" x14ac:dyDescent="0.25">
      <c r="A32" s="1675"/>
      <c r="B32" s="1689"/>
      <c r="C32" s="1676"/>
      <c r="D32" s="1867"/>
      <c r="E32" s="1562">
        <f t="shared" si="11"/>
        <v>0</v>
      </c>
      <c r="F32" s="1815">
        <f t="shared" si="12"/>
        <v>0</v>
      </c>
      <c r="G32" s="1816">
        <f t="shared" si="13"/>
        <v>0</v>
      </c>
    </row>
    <row r="33" spans="1:7" x14ac:dyDescent="0.25">
      <c r="A33" s="1675"/>
      <c r="B33" s="1689"/>
      <c r="C33" s="1676"/>
      <c r="D33" s="1867"/>
      <c r="E33" s="1562">
        <f t="shared" si="11"/>
        <v>0</v>
      </c>
      <c r="F33" s="1815">
        <f t="shared" si="12"/>
        <v>0</v>
      </c>
      <c r="G33" s="1816">
        <f t="shared" si="13"/>
        <v>0</v>
      </c>
    </row>
    <row r="34" spans="1:7" x14ac:dyDescent="0.25">
      <c r="A34" s="1675"/>
      <c r="B34" s="1689"/>
      <c r="C34" s="1676"/>
      <c r="D34" s="1867"/>
      <c r="E34" s="1562">
        <f t="shared" si="11"/>
        <v>0</v>
      </c>
      <c r="F34" s="1815">
        <f t="shared" si="12"/>
        <v>0</v>
      </c>
      <c r="G34" s="1816">
        <f t="shared" si="13"/>
        <v>0</v>
      </c>
    </row>
    <row r="35" spans="1:7" x14ac:dyDescent="0.25">
      <c r="A35" s="1675"/>
      <c r="B35" s="1688"/>
      <c r="C35" s="1676"/>
      <c r="D35" s="1867"/>
      <c r="E35" s="1562">
        <f t="shared" si="2"/>
        <v>0</v>
      </c>
      <c r="F35" s="1815">
        <f t="shared" si="3"/>
        <v>0</v>
      </c>
      <c r="G35" s="1816">
        <f t="shared" si="4"/>
        <v>0</v>
      </c>
    </row>
    <row r="36" spans="1:7" x14ac:dyDescent="0.25">
      <c r="A36" s="1819" t="s">
        <v>158</v>
      </c>
      <c r="B36" s="1820"/>
      <c r="C36" s="1821"/>
      <c r="D36" s="1817">
        <f>SUM(D17:D35)</f>
        <v>0</v>
      </c>
      <c r="E36" s="1563">
        <f t="shared" si="1"/>
        <v>0</v>
      </c>
      <c r="F36" s="1817">
        <f>SUM(F17:F35)</f>
        <v>0</v>
      </c>
      <c r="G36" s="1818">
        <f>SUM(G17:G35)</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6" t="s">
        <v>1778</v>
      </c>
      <c r="B5" s="2297"/>
      <c r="C5" s="2297"/>
      <c r="D5" s="2297"/>
      <c r="E5" s="2297"/>
      <c r="F5" s="2297"/>
      <c r="G5" s="229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1" t="s">
        <v>1945</v>
      </c>
      <c r="B11" s="2302"/>
      <c r="C11" s="2302"/>
      <c r="D11" s="2303"/>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187571</v>
      </c>
      <c r="F19" s="1822"/>
      <c r="G19" s="1824">
        <f>'Expenditures 15-22'!K33-SUM('Expenditures 15-22'!G33,'Expenditures 15-22'!I33)+'Expenditures 15-22'!D229</f>
        <v>187571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1104</v>
      </c>
      <c r="F21" s="1825"/>
      <c r="G21" s="1828">
        <f>'Expenditures 15-22'!K42-SUM('Expenditures 15-22'!G42,'Expenditures 15-22'!I42)+'Expenditures 15-22'!K120-SUM('Expenditures 15-22'!G120,'Expenditures 15-22'!I120)+'Expenditures 15-22'!K180-SUM('Expenditures 15-22'!G180,'Expenditures 15-22'!I180)+'Expenditures 15-22'!D238</f>
        <v>1104</v>
      </c>
      <c r="H21" s="988"/>
      <c r="I21" s="162"/>
    </row>
    <row r="22" spans="1:9" s="669" customFormat="1" ht="12" customHeight="1" x14ac:dyDescent="0.2">
      <c r="A22" s="995" t="s">
        <v>585</v>
      </c>
      <c r="B22" s="996"/>
      <c r="C22" s="994">
        <v>2200</v>
      </c>
      <c r="D22" s="1825"/>
      <c r="E22" s="1827">
        <f>'Expenditures 15-22'!K47-SUM('Expenditures 15-22'!G47,'Expenditures 15-22'!I47)+'Expenditures 15-22'!D243</f>
        <v>41622</v>
      </c>
      <c r="F22" s="1825"/>
      <c r="G22" s="1828">
        <f>'Expenditures 15-22'!K47-SUM('Expenditures 15-22'!G47,'Expenditures 15-22'!I47)+'Expenditures 15-22'!D243</f>
        <v>41622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51886</v>
      </c>
      <c r="F23" s="1825"/>
      <c r="G23" s="1827">
        <f>'Expenditures 15-22'!K53-SUM('Expenditures 15-22'!G53,'Expenditures 15-22'!I53)+'Expenditures 15-22'!D257+'Expenditures 15-22'!K330-SUM('Expenditures 15-22'!G330,'Expenditures 15-22'!I330)</f>
        <v>51886</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6810</v>
      </c>
      <c r="E27" s="1827">
        <f>E8</f>
        <v>0</v>
      </c>
      <c r="F27" s="1827">
        <f>'Expenditures 15-22'!K60-SUM('Expenditures 15-22'!G60,'Expenditures 15-22'!I60)+'Expenditures 15-22'!D264-E8</f>
        <v>6810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0</v>
      </c>
      <c r="F28" s="1829">
        <f>'Expenditures 15-22'!K61-SUM('Expenditures 15-22'!G61,'Expenditures 15-22'!I61)+'Expenditures 15-22'!K124-SUM('Expenditures 15-22'!G124,'Expenditures 15-22'!I124)+'Expenditures 15-22'!D266-E9</f>
        <v>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29'!G36</f>
        <v>0</v>
      </c>
      <c r="F40" s="1825"/>
      <c r="G40" s="1829">
        <f>-'Contracts Paid in CY 29'!G36</f>
        <v>0</v>
      </c>
    </row>
    <row r="41" spans="1:7" ht="12" customHeight="1" x14ac:dyDescent="0.2">
      <c r="A41" s="999" t="s">
        <v>158</v>
      </c>
      <c r="B41" s="1000"/>
      <c r="C41" s="1001"/>
      <c r="D41" s="1829">
        <f>SUM(D19:D39)</f>
        <v>6810</v>
      </c>
      <c r="E41" s="1829">
        <f>SUM(E19:E40)</f>
        <v>282183</v>
      </c>
      <c r="F41" s="1829">
        <f>SUM(F19:F39)</f>
        <v>6810</v>
      </c>
      <c r="G41" s="1829">
        <f>SUM(G19:G40)</f>
        <v>282183</v>
      </c>
    </row>
    <row r="42" spans="1:7" x14ac:dyDescent="0.2">
      <c r="A42" s="988"/>
      <c r="B42" s="162"/>
      <c r="C42" s="1002"/>
      <c r="D42" s="2299" t="s">
        <v>543</v>
      </c>
      <c r="E42" s="2300"/>
      <c r="F42" s="1003" t="s">
        <v>544</v>
      </c>
      <c r="G42" s="1004"/>
    </row>
    <row r="43" spans="1:7" ht="12" customHeight="1" x14ac:dyDescent="0.2">
      <c r="A43" s="988"/>
      <c r="B43" s="162"/>
      <c r="C43" s="1002"/>
      <c r="D43" s="1830" t="s">
        <v>493</v>
      </c>
      <c r="E43" s="1831">
        <f>D41</f>
        <v>6810</v>
      </c>
      <c r="F43" s="1830" t="s">
        <v>495</v>
      </c>
      <c r="G43" s="1831">
        <f>F41</f>
        <v>6810</v>
      </c>
    </row>
    <row r="44" spans="1:7" ht="12" customHeight="1" x14ac:dyDescent="0.2">
      <c r="A44" s="988"/>
      <c r="B44" s="162"/>
      <c r="C44" s="1002"/>
      <c r="D44" s="1830" t="s">
        <v>494</v>
      </c>
      <c r="E44" s="1831">
        <f>E41</f>
        <v>282183</v>
      </c>
      <c r="F44" s="1830" t="s">
        <v>494</v>
      </c>
      <c r="G44" s="1831">
        <f>G41</f>
        <v>282183</v>
      </c>
    </row>
    <row r="45" spans="1:7" ht="12" customHeight="1" x14ac:dyDescent="0.2">
      <c r="A45" s="988"/>
      <c r="B45" s="162"/>
      <c r="C45" s="162"/>
      <c r="D45" s="1832" t="s">
        <v>1063</v>
      </c>
      <c r="E45" s="1833">
        <f>(E43/E44)</f>
        <v>2.4133275215020039E-2</v>
      </c>
      <c r="F45" s="1832" t="s">
        <v>1063</v>
      </c>
      <c r="G45" s="1833">
        <f>(G43/G44)</f>
        <v>2.4133275215020039E-2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K38" sqref="K38"/>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8" t="s">
        <v>1446</v>
      </c>
      <c r="B1" s="2318"/>
      <c r="C1" s="2318"/>
      <c r="D1" s="2318"/>
      <c r="E1" s="2318"/>
      <c r="F1" s="2318"/>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9" t="s">
        <v>1627</v>
      </c>
      <c r="B5" s="2320"/>
      <c r="C5" s="2321"/>
      <c r="D5" s="2321"/>
      <c r="E5" s="2321"/>
      <c r="F5" s="2321"/>
    </row>
    <row r="6" spans="1:10" ht="12" customHeight="1" x14ac:dyDescent="0.25">
      <c r="A6" s="1874"/>
      <c r="B6" s="1875"/>
      <c r="C6" s="2322" t="str">
        <f>COVER!A17</f>
        <v>Two Rivers Career Ed System</v>
      </c>
      <c r="D6" s="2322"/>
      <c r="E6" s="2322"/>
      <c r="F6" s="1876"/>
    </row>
    <row r="7" spans="1:10" ht="11.25" customHeight="1" thickBot="1" x14ac:dyDescent="0.3">
      <c r="A7" s="1874"/>
      <c r="B7" s="1875"/>
      <c r="C7" s="2323">
        <f>COVER!A13</f>
        <v>1009700045</v>
      </c>
      <c r="D7" s="2323"/>
      <c r="E7" s="2323"/>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0</v>
      </c>
      <c r="I34" s="1902">
        <f>SUM(I11:I32)</f>
        <v>0</v>
      </c>
      <c r="J34" s="1902">
        <f>SUM(J11:J32)</f>
        <v>0</v>
      </c>
      <c r="K34" s="1902">
        <f>SUM(H34:J34)</f>
        <v>0</v>
      </c>
    </row>
    <row r="35" spans="1:11" ht="12" customHeight="1" x14ac:dyDescent="0.2">
      <c r="A35" s="1895" t="s">
        <v>1459</v>
      </c>
      <c r="B35" s="1896"/>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7"/>
      <c r="B39" s="1897"/>
      <c r="C39" s="1897"/>
      <c r="D39" s="1897"/>
      <c r="E39" s="1897"/>
      <c r="F39" s="1897"/>
    </row>
    <row r="40" spans="1:11" s="1894" customFormat="1" ht="12" customHeight="1" x14ac:dyDescent="0.25">
      <c r="A40" s="1898" t="s">
        <v>1458</v>
      </c>
      <c r="B40" s="1899"/>
      <c r="C40" s="2313"/>
      <c r="D40" s="2313"/>
      <c r="E40" s="2313"/>
      <c r="F40" s="2314"/>
      <c r="H40" s="1903"/>
      <c r="I40" s="1903"/>
      <c r="J40" s="1903"/>
      <c r="K40" s="1903"/>
    </row>
    <row r="41" spans="1:11" s="1894" customFormat="1" ht="12" customHeight="1" x14ac:dyDescent="0.25">
      <c r="A41" s="2315"/>
      <c r="B41" s="2316"/>
      <c r="C41" s="2316"/>
      <c r="D41" s="2316"/>
      <c r="E41" s="2316"/>
      <c r="F41" s="2317"/>
      <c r="H41" s="1903"/>
      <c r="I41" s="1903"/>
      <c r="J41" s="1903"/>
      <c r="K41" s="1903"/>
    </row>
    <row r="42" spans="1:11" s="1894" customFormat="1" ht="12" customHeight="1" x14ac:dyDescent="0.25">
      <c r="A42" s="2315"/>
      <c r="B42" s="2316"/>
      <c r="C42" s="2316"/>
      <c r="D42" s="2316"/>
      <c r="E42" s="2316"/>
      <c r="F42" s="2317"/>
      <c r="H42" s="1903"/>
      <c r="I42" s="1903"/>
      <c r="J42" s="1903"/>
      <c r="K42" s="1903"/>
    </row>
    <row r="43" spans="1:11" s="1894" customFormat="1" ht="15" x14ac:dyDescent="0.25">
      <c r="A43" s="2304"/>
      <c r="B43" s="2305"/>
      <c r="C43" s="2305"/>
      <c r="D43" s="2305"/>
      <c r="E43" s="2305"/>
      <c r="F43" s="2306"/>
      <c r="H43" s="1903"/>
      <c r="I43" s="1903"/>
      <c r="J43" s="1903"/>
      <c r="K43" s="1903"/>
    </row>
    <row r="44" spans="1:11" s="1894" customFormat="1" ht="12" hidden="1" customHeight="1" x14ac:dyDescent="0.25">
      <c r="A44" s="2304"/>
      <c r="B44" s="2305"/>
      <c r="C44" s="2305"/>
      <c r="D44" s="2305"/>
      <c r="E44" s="2305"/>
      <c r="F44" s="2306"/>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1" t="str">
        <f>COVER!A17</f>
        <v>Two Rivers Career Ed System</v>
      </c>
      <c r="J6" s="2332"/>
      <c r="Q6" s="1686"/>
    </row>
    <row r="7" spans="1:17" x14ac:dyDescent="0.2">
      <c r="A7" s="2333" t="s">
        <v>924</v>
      </c>
      <c r="B7" s="2334"/>
      <c r="C7" s="2334"/>
      <c r="D7" s="2334"/>
      <c r="E7" s="2335"/>
      <c r="F7" s="1018"/>
      <c r="G7" s="1010"/>
      <c r="H7" s="1017" t="s">
        <v>390</v>
      </c>
      <c r="I7" s="2336">
        <f>COVER!A13</f>
        <v>1009700045</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51886</v>
      </c>
      <c r="F12" s="1040"/>
      <c r="G12" s="1834">
        <f t="shared" ref="G12:G18" si="0">SUM(E12:F12)</f>
        <v>51886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0" t="s">
        <v>7</v>
      </c>
      <c r="C18" s="2341"/>
      <c r="D18" s="234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51886</v>
      </c>
      <c r="F19" s="1836">
        <f t="shared" si="2"/>
        <v>0</v>
      </c>
      <c r="G19" s="1836">
        <f t="shared" si="2"/>
        <v>51886</v>
      </c>
      <c r="H19" s="1836">
        <f t="shared" si="2"/>
        <v>0</v>
      </c>
      <c r="I19" s="1836">
        <f t="shared" si="2"/>
        <v>0</v>
      </c>
      <c r="J19" s="1836">
        <f t="shared" si="2"/>
        <v>0</v>
      </c>
    </row>
    <row r="20" spans="1:10" ht="13.5" thickTop="1" x14ac:dyDescent="0.2">
      <c r="A20" s="1036">
        <v>9</v>
      </c>
      <c r="B20" s="2343" t="s">
        <v>1703</v>
      </c>
      <c r="C20" s="2343"/>
      <c r="D20" s="2344"/>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1093</v>
      </c>
      <c r="D27" s="1053"/>
      <c r="E27" s="1054"/>
      <c r="F27" s="2345" t="s">
        <v>1589</v>
      </c>
      <c r="G27" s="2345"/>
    </row>
    <row r="28" spans="1:10" ht="28.5" customHeight="1" x14ac:dyDescent="0.2">
      <c r="B28" s="1048"/>
      <c r="C28" s="2347"/>
      <c r="D28" s="2347"/>
      <c r="E28" s="1055"/>
      <c r="F28" s="2347"/>
      <c r="G28" s="2347"/>
    </row>
    <row r="29" spans="1:10" x14ac:dyDescent="0.2">
      <c r="B29" s="1048"/>
      <c r="C29" s="1056" t="s">
        <v>1642</v>
      </c>
      <c r="E29" s="1057"/>
      <c r="F29" s="2346" t="s">
        <v>1590</v>
      </c>
      <c r="G29" s="234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1944</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937</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2093</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Two Rivers Career Ed System</v>
      </c>
    </row>
    <row r="65" spans="2:2" x14ac:dyDescent="0.2">
      <c r="B65" s="1071">
        <f>COVER!A13</f>
        <v>1009700045</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0" t="s">
        <v>1784</v>
      </c>
      <c r="B18" s="2350"/>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5"/>
      <c r="H2" s="1075"/>
    </row>
    <row r="3" spans="1:8" ht="57" customHeight="1" x14ac:dyDescent="0.2">
      <c r="A3" s="2364" t="s">
        <v>1786</v>
      </c>
      <c r="B3" s="2365"/>
      <c r="C3" s="2365"/>
      <c r="D3" s="2365"/>
      <c r="E3" s="2365"/>
      <c r="F3" s="2366"/>
      <c r="G3" s="1075"/>
      <c r="H3" s="1075"/>
    </row>
    <row r="4" spans="1:8" ht="14.25" customHeight="1" x14ac:dyDescent="0.2">
      <c r="A4" s="2370" t="s">
        <v>2056</v>
      </c>
      <c r="B4" s="2371"/>
      <c r="C4" s="2371"/>
      <c r="D4" s="2371"/>
      <c r="E4" s="2371"/>
      <c r="F4" s="2372"/>
      <c r="G4" s="1075"/>
      <c r="H4" s="1075"/>
    </row>
    <row r="5" spans="1:8" ht="14.25" customHeight="1" x14ac:dyDescent="0.2">
      <c r="A5" s="2373" t="s">
        <v>2057</v>
      </c>
      <c r="B5" s="2374"/>
      <c r="C5" s="2374"/>
      <c r="D5" s="2374"/>
      <c r="E5" s="2374"/>
      <c r="F5" s="2375"/>
      <c r="G5" s="1075"/>
      <c r="H5" s="1075"/>
    </row>
    <row r="6" spans="1:8" s="1076" customFormat="1" ht="41.25" customHeight="1" x14ac:dyDescent="0.2">
      <c r="A6" s="2367" t="s">
        <v>1792</v>
      </c>
      <c r="B6" s="2368"/>
      <c r="C6" s="2368"/>
      <c r="D6" s="2368"/>
      <c r="E6" s="2368"/>
      <c r="F6" s="236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456476</v>
      </c>
      <c r="C8" s="1838">
        <f>'Acct Summary 7-8'!D8</f>
        <v>0</v>
      </c>
      <c r="D8" s="1838">
        <f>'Acct Summary 7-8'!F8</f>
        <v>0</v>
      </c>
      <c r="E8" s="1838">
        <f>'Acct Summary 7-8'!I8</f>
        <v>0</v>
      </c>
      <c r="F8" s="1838">
        <f>SUM(B8:E8)</f>
        <v>456476</v>
      </c>
    </row>
    <row r="9" spans="1:8" s="1080" customFormat="1" ht="14.25" customHeight="1" thickBot="1" x14ac:dyDescent="0.25">
      <c r="A9" s="1079" t="s">
        <v>1436</v>
      </c>
      <c r="B9" s="1839">
        <f>'Acct Summary 7-8'!C17</f>
        <v>418609</v>
      </c>
      <c r="C9" s="1839">
        <f>'Acct Summary 7-8'!D17</f>
        <v>0</v>
      </c>
      <c r="D9" s="1839">
        <f>'Acct Summary 7-8'!F17</f>
        <v>0</v>
      </c>
      <c r="E9" s="1838"/>
      <c r="F9" s="1838">
        <f>SUM(B9:E9)</f>
        <v>418609</v>
      </c>
    </row>
    <row r="10" spans="1:8" s="1080" customFormat="1" ht="14.25" thickTop="1" thickBot="1" x14ac:dyDescent="0.25">
      <c r="A10" s="1081" t="s">
        <v>1437</v>
      </c>
      <c r="B10" s="1840">
        <f>(B8-B9)</f>
        <v>37867</v>
      </c>
      <c r="C10" s="1840">
        <f>(C8-C9)</f>
        <v>0</v>
      </c>
      <c r="D10" s="1840">
        <f>(D8-D9)</f>
        <v>0</v>
      </c>
      <c r="E10" s="1839">
        <f>(E8-E9)</f>
        <v>0</v>
      </c>
      <c r="F10" s="1841">
        <f>SUM(F8-F9)</f>
        <v>37867</v>
      </c>
    </row>
    <row r="11" spans="1:8" s="1080" customFormat="1" ht="14.25" thickTop="1" thickBot="1" x14ac:dyDescent="0.25">
      <c r="A11" s="1082" t="s">
        <v>1785</v>
      </c>
      <c r="B11" s="1842">
        <f>'Acct Summary 7-8'!C81</f>
        <v>75891</v>
      </c>
      <c r="C11" s="1842">
        <f>'Acct Summary 7-8'!D81</f>
        <v>0</v>
      </c>
      <c r="D11" s="1842">
        <f>'Acct Summary 7-8'!F81</f>
        <v>0</v>
      </c>
      <c r="E11" s="1842">
        <f>'Acct Summary 7-8'!I81</f>
        <v>0</v>
      </c>
      <c r="F11" s="1843">
        <f>SUM(B11:E11)</f>
        <v>75891</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1787</v>
      </c>
      <c r="B16" s="2354"/>
      <c r="C16" s="2354"/>
      <c r="D16" s="2354"/>
      <c r="E16" s="235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6" t="s">
        <v>686</v>
      </c>
      <c r="B3" s="2377"/>
      <c r="C3" s="2377"/>
      <c r="D3" s="237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7" t="s">
        <v>1584</v>
      </c>
      <c r="D7" s="238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9" t="s">
        <v>1065</v>
      </c>
      <c r="B15" s="2380"/>
      <c r="C15" s="2380"/>
      <c r="D15" s="2381"/>
    </row>
    <row r="16" spans="1:4" s="669" customFormat="1" ht="24" customHeight="1" x14ac:dyDescent="0.2">
      <c r="A16" s="2382" t="s">
        <v>684</v>
      </c>
      <c r="B16" s="2383"/>
      <c r="C16" s="2383"/>
      <c r="D16" s="238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1" t="s">
        <v>332</v>
      </c>
      <c r="D21" s="2392"/>
    </row>
    <row r="22" spans="1:10" ht="12.75" x14ac:dyDescent="0.2">
      <c r="A22" s="1140"/>
      <c r="B22" s="1141">
        <v>2</v>
      </c>
      <c r="C22" s="2389" t="s">
        <v>1605</v>
      </c>
      <c r="D22" s="239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3" t="s">
        <v>557</v>
      </c>
      <c r="D43" s="239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5" t="s">
        <v>817</v>
      </c>
      <c r="D56" s="238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5" t="s">
        <v>1797</v>
      </c>
      <c r="D70" s="238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ENTRY IS REQUIRED!</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29'!D36&gt;0,"OK","PLEASE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ENTRY REQUIRED!</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1009700045</v>
      </c>
    </row>
    <row r="3" spans="1:2" x14ac:dyDescent="0.2">
      <c r="A3" t="s">
        <v>1013</v>
      </c>
      <c r="B3" s="138" t="str">
        <f>COVER!A15</f>
        <v>Brown/Cass/Morgan/Scott/Schuyler</v>
      </c>
    </row>
    <row r="4" spans="1:2" x14ac:dyDescent="0.2">
      <c r="A4" t="s">
        <v>1064</v>
      </c>
      <c r="B4" s="138" t="str">
        <f>COVER!A17</f>
        <v>Two Rivers Career Ed System</v>
      </c>
    </row>
    <row r="5" spans="1:2" x14ac:dyDescent="0.2">
      <c r="A5" t="s">
        <v>728</v>
      </c>
      <c r="B5" s="138" t="str">
        <f>COVER!A38</f>
        <v>Reggie Clinton, Director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Pehlman and Dold, P.C.</v>
      </c>
    </row>
    <row r="17" spans="1:2" x14ac:dyDescent="0.2">
      <c r="A17" t="s">
        <v>939</v>
      </c>
      <c r="B17" s="138" t="str">
        <f>COVER!T15</f>
        <v>Jamie Nichols</v>
      </c>
    </row>
    <row r="18" spans="1:2" x14ac:dyDescent="0.2">
      <c r="A18" t="s">
        <v>1212</v>
      </c>
      <c r="B18" s="138" t="str">
        <f>COVER!T17</f>
        <v>100 North Amos Avenue</v>
      </c>
    </row>
    <row r="19" spans="1:2" x14ac:dyDescent="0.2">
      <c r="A19" t="s">
        <v>941</v>
      </c>
      <c r="B19" s="138">
        <f>COVER!T25</f>
        <v>0</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76947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1056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1056</v>
      </c>
      <c r="C91" s="2" t="s">
        <v>594</v>
      </c>
      <c r="D91" s="2" t="str">
        <f t="shared" si="0"/>
        <v>Error?</v>
      </c>
    </row>
    <row r="92" spans="1:4" x14ac:dyDescent="0.2">
      <c r="A92" s="5">
        <v>31</v>
      </c>
      <c r="B92" s="138">
        <f>'Assets-Liab 5-6'!C39</f>
        <v>71435</v>
      </c>
      <c r="D92" s="2" t="str">
        <f t="shared" si="0"/>
        <v>Error?</v>
      </c>
    </row>
    <row r="93" spans="1:4" x14ac:dyDescent="0.2">
      <c r="A93" s="5">
        <v>32</v>
      </c>
      <c r="B93" s="138">
        <f>'Assets-Liab 5-6'!C41</f>
        <v>76947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879113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879113</v>
      </c>
      <c r="C279" s="2" t="s">
        <v>594</v>
      </c>
      <c r="D279" s="2" t="str">
        <f t="shared" si="3"/>
        <v>Error?</v>
      </c>
    </row>
    <row r="280" spans="1:4" x14ac:dyDescent="0.2">
      <c r="A280" s="5">
        <v>219</v>
      </c>
      <c r="B280" s="138">
        <f>'Assets-Liab 5-6'!M40</f>
        <v>879113</v>
      </c>
      <c r="D280" s="2" t="str">
        <f t="shared" si="3"/>
        <v>Error?</v>
      </c>
    </row>
    <row r="281" spans="1:4" x14ac:dyDescent="0.2">
      <c r="A281" s="5">
        <v>220</v>
      </c>
      <c r="B281" s="138">
        <f>'Assets-Liab 5-6'!M41</f>
        <v>879113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25819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25819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37263</v>
      </c>
      <c r="D733" s="2" t="str">
        <f t="shared" si="10"/>
        <v>Error?</v>
      </c>
    </row>
    <row r="734" spans="1:4" x14ac:dyDescent="0.2">
      <c r="A734" s="5">
        <v>673</v>
      </c>
      <c r="B734" s="138">
        <f>'Expenditures 15-22'!C53</f>
        <v>37263</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63082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63082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4804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4804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6333</v>
      </c>
      <c r="D791" s="2" t="str">
        <f t="shared" si="11"/>
        <v>Error?</v>
      </c>
    </row>
    <row r="792" spans="1:4" x14ac:dyDescent="0.2">
      <c r="A792" s="5">
        <v>731</v>
      </c>
      <c r="B792" s="138">
        <f>'Expenditures 15-22'!D53</f>
        <v>6333</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11137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11137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12843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12843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1104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1104</v>
      </c>
      <c r="C843" s="2" t="s">
        <v>594</v>
      </c>
      <c r="D843" s="2" t="str">
        <f t="shared" si="12"/>
        <v>Error?</v>
      </c>
    </row>
    <row r="844" spans="1:4" x14ac:dyDescent="0.2">
      <c r="A844" s="5">
        <v>783</v>
      </c>
      <c r="B844" s="138">
        <f>'Expenditures 15-22'!E44</f>
        <v>9481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9481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6160</v>
      </c>
      <c r="D849" s="2" t="str">
        <f t="shared" si="12"/>
        <v>Error?</v>
      </c>
    </row>
    <row r="850" spans="1:4" x14ac:dyDescent="0.2">
      <c r="A850" s="5">
        <v>789</v>
      </c>
      <c r="B850" s="138">
        <f>'Expenditures 15-22'!E53</f>
        <v>6160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6810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23555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36398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174728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174728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1518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1518</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2130</v>
      </c>
      <c r="D907" s="2" t="str">
        <f t="shared" si="13"/>
        <v>Error?</v>
      </c>
    </row>
    <row r="908" spans="1:4" x14ac:dyDescent="0.2">
      <c r="A908" s="5">
        <v>847</v>
      </c>
      <c r="B908" s="138">
        <f>'Expenditures 15-22'!F53</f>
        <v>2130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3648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178376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129616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129616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129616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317187</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317187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1104</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1104</v>
      </c>
      <c r="C1115" s="2" t="s">
        <v>594</v>
      </c>
      <c r="D1115" s="2" t="str">
        <f t="shared" si="16"/>
        <v>Error?</v>
      </c>
    </row>
    <row r="1116" spans="1:4" x14ac:dyDescent="0.2">
      <c r="A1116" s="5">
        <v>1055</v>
      </c>
      <c r="B1116" s="138">
        <f>'Expenditures 15-22'!K44</f>
        <v>41622</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41622</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51886</v>
      </c>
      <c r="C1121" s="2" t="s">
        <v>594</v>
      </c>
      <c r="D1121" s="2" t="str">
        <f t="shared" si="16"/>
        <v>Error?</v>
      </c>
    </row>
    <row r="1122" spans="1:4" x14ac:dyDescent="0.2">
      <c r="A1122" s="5">
        <v>1061</v>
      </c>
      <c r="B1122" s="138">
        <f>'Expenditures 15-22'!K53</f>
        <v>51886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6810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6810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101422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418609</v>
      </c>
      <c r="C1152" s="2" t="s">
        <v>594</v>
      </c>
      <c r="D1152" s="2" t="str">
        <f t="shared" si="17"/>
        <v>Error?</v>
      </c>
    </row>
    <row r="1153" spans="1:4" x14ac:dyDescent="0.2">
      <c r="A1153" s="5">
        <v>1092</v>
      </c>
      <c r="B1153" s="138">
        <f>'Expenditures 15-22'!K115</f>
        <v>37867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38024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75891</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829519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829519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129616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129616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80022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80022</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879113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879113</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483340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483340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87911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87911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80022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80022</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491229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491229</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387884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387884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4456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6599</v>
      </c>
      <c r="C2551" s="2" t="s">
        <v>594</v>
      </c>
      <c r="D2551" s="2" t="str">
        <f t="shared" si="38"/>
        <v>Error?</v>
      </c>
    </row>
    <row r="2552" spans="1:4" x14ac:dyDescent="0.2">
      <c r="A2552" s="10">
        <v>2491</v>
      </c>
      <c r="D2552" s="2" t="str">
        <f t="shared" si="38"/>
        <v>OK</v>
      </c>
    </row>
    <row r="2553" spans="1:4" x14ac:dyDescent="0.2">
      <c r="A2553" s="5">
        <v>2492</v>
      </c>
      <c r="B2553" s="138">
        <f>'Acct Summary 7-8'!C6</f>
        <v>354671</v>
      </c>
      <c r="C2553" s="2" t="s">
        <v>594</v>
      </c>
      <c r="D2553" s="2" t="str">
        <f t="shared" si="38"/>
        <v>Error?</v>
      </c>
    </row>
    <row r="2554" spans="1:4" x14ac:dyDescent="0.2">
      <c r="A2554" s="5">
        <v>2493</v>
      </c>
      <c r="B2554" s="138">
        <f>'Acct Summary 7-8'!C7</f>
        <v>95206</v>
      </c>
      <c r="C2554" s="2" t="s">
        <v>594</v>
      </c>
      <c r="D2554" s="2" t="str">
        <f t="shared" si="38"/>
        <v>Error?</v>
      </c>
    </row>
    <row r="2555" spans="1:4" x14ac:dyDescent="0.2">
      <c r="A2555" s="5">
        <v>2494</v>
      </c>
      <c r="B2555" s="138">
        <f>'Acct Summary 7-8'!C8</f>
        <v>456476</v>
      </c>
      <c r="C2555" s="2" t="s">
        <v>594</v>
      </c>
      <c r="D2555" s="2" t="str">
        <f t="shared" si="38"/>
        <v>Error?</v>
      </c>
    </row>
    <row r="2556" spans="1:4" x14ac:dyDescent="0.2">
      <c r="A2556" s="5">
        <v>2495</v>
      </c>
      <c r="B2556" s="138">
        <f>'Acct Summary 7-8'!C12</f>
        <v>317187</v>
      </c>
      <c r="C2556" s="2" t="s">
        <v>594</v>
      </c>
      <c r="D2556" s="2" t="str">
        <f t="shared" si="38"/>
        <v>Error?</v>
      </c>
    </row>
    <row r="2557" spans="1:4" x14ac:dyDescent="0.2">
      <c r="A2557" s="5">
        <v>2496</v>
      </c>
      <c r="B2557" s="138">
        <f>'Acct Summary 7-8'!C13</f>
        <v>101422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418609</v>
      </c>
      <c r="C2561" s="2" t="s">
        <v>594</v>
      </c>
      <c r="D2561" s="2" t="str">
        <f t="shared" si="39"/>
        <v>Error?</v>
      </c>
    </row>
    <row r="2562" spans="1:4" x14ac:dyDescent="0.2">
      <c r="A2562" s="5">
        <v>2501</v>
      </c>
      <c r="B2562" s="138">
        <f>'Acct Summary 7-8'!C20</f>
        <v>37867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37867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76947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456476</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418609</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75891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95206</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500</v>
      </c>
      <c r="D5113" s="2" t="str">
        <f t="shared" si="78"/>
        <v>Error?</v>
      </c>
    </row>
    <row r="5114" spans="1:4" x14ac:dyDescent="0.2">
      <c r="A5114" s="5">
        <v>5053</v>
      </c>
      <c r="B5114" s="138">
        <f>'Revenues 9-14'!C96</f>
        <v>6000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6509</v>
      </c>
      <c r="C5120" s="2" t="s">
        <v>594</v>
      </c>
      <c r="D5120" s="2" t="str">
        <f t="shared" si="79"/>
        <v>Error?</v>
      </c>
    </row>
    <row r="5121" spans="1:4" x14ac:dyDescent="0.2">
      <c r="A5121" s="5">
        <v>5060</v>
      </c>
      <c r="B5121" s="138">
        <f>'Revenues 9-14'!C109</f>
        <v>6599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354671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354671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354671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354671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95206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95206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95206</v>
      </c>
      <c r="C5326" s="2" t="s">
        <v>594</v>
      </c>
      <c r="D5326" s="2" t="str">
        <f t="shared" si="82"/>
        <v>Error?</v>
      </c>
    </row>
    <row r="5327" spans="1:4" x14ac:dyDescent="0.2">
      <c r="A5327" s="5">
        <v>5266</v>
      </c>
      <c r="B5327" s="138">
        <f>'Revenues 9-14'!C275</f>
        <v>456476</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37867</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0.49896562174697923</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87911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29'!D36</f>
        <v>0</v>
      </c>
      <c r="D7797" s="2" t="str">
        <f t="shared" si="127"/>
        <v>Error?</v>
      </c>
      <c r="E7797" s="4" t="s">
        <v>2020</v>
      </c>
    </row>
    <row r="7798" spans="1:5" x14ac:dyDescent="0.2">
      <c r="A7798">
        <v>7737</v>
      </c>
      <c r="B7798" s="138">
        <f>'Contracts Paid in CY 29'!F36</f>
        <v>0</v>
      </c>
      <c r="D7798" s="2" t="str">
        <f t="shared" si="127"/>
        <v>Error?</v>
      </c>
      <c r="E7798" s="4" t="s">
        <v>2020</v>
      </c>
    </row>
    <row r="7799" spans="1:5" x14ac:dyDescent="0.2">
      <c r="A7799">
        <v>7738</v>
      </c>
      <c r="B7799" s="138">
        <f>'Contracts Paid in CY 29'!G36</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8" t="str">
        <f>COVER!A17</f>
        <v>Two Rivers Career Ed System</v>
      </c>
      <c r="B7" s="2399"/>
      <c r="C7" s="2399"/>
      <c r="D7" s="2436"/>
      <c r="E7" s="2437">
        <f>COVER!A13</f>
        <v>1009700045</v>
      </c>
      <c r="F7" s="2438"/>
      <c r="G7" s="2405" t="str">
        <f>COVER!T23</f>
        <v>060-004845</v>
      </c>
      <c r="H7" s="2406"/>
      <c r="I7" s="2406"/>
      <c r="J7" s="2406"/>
      <c r="K7" s="2406"/>
      <c r="L7" s="2407"/>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8"/>
      <c r="B9" s="2409"/>
      <c r="C9" s="2409"/>
      <c r="D9" s="2409"/>
      <c r="E9" s="2409"/>
      <c r="F9" s="2410"/>
      <c r="G9" s="2411" t="str">
        <f>COVER!T13</f>
        <v>Pehlman and Dold, P.C.</v>
      </c>
      <c r="H9" s="2412"/>
      <c r="I9" s="2412"/>
      <c r="J9" s="2412"/>
      <c r="K9" s="2412"/>
      <c r="L9" s="2413"/>
    </row>
    <row r="10" spans="1:29" ht="13.5" customHeight="1" x14ac:dyDescent="0.2">
      <c r="A10" s="2395" t="str">
        <f>COVER!A38</f>
        <v>Reggie Clinton, Director</v>
      </c>
      <c r="B10" s="2396"/>
      <c r="C10" s="2396"/>
      <c r="D10" s="2396"/>
      <c r="E10" s="2396"/>
      <c r="F10" s="2397"/>
      <c r="G10" s="2411" t="str">
        <f>COVER!T17</f>
        <v>100 North Amos Avenue</v>
      </c>
      <c r="H10" s="2424"/>
      <c r="I10" s="2424"/>
      <c r="J10" s="2424"/>
      <c r="K10" s="2424"/>
      <c r="L10" s="2425"/>
    </row>
    <row r="11" spans="1:29" ht="13.5" customHeight="1" x14ac:dyDescent="0.2">
      <c r="A11" s="1185" t="s">
        <v>1599</v>
      </c>
      <c r="B11" s="1186"/>
      <c r="C11" s="1187"/>
      <c r="D11" s="1192"/>
      <c r="E11" s="1187"/>
      <c r="F11" s="1191"/>
      <c r="G11" s="2411" t="str">
        <f>COVER!T19</f>
        <v>Springfield</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f>COVER!T25</f>
        <v>0</v>
      </c>
      <c r="J13" s="2433"/>
      <c r="K13" s="2433"/>
      <c r="L13" s="2434"/>
    </row>
    <row r="14" spans="1:29" ht="13.5" customHeight="1" x14ac:dyDescent="0.2">
      <c r="A14" s="2411" t="str">
        <f>COVER!A19</f>
        <v>651 S. Morgan Street, Room 119</v>
      </c>
      <c r="B14" s="2424"/>
      <c r="C14" s="2424"/>
      <c r="D14" s="2424"/>
      <c r="E14" s="2424"/>
      <c r="F14" s="2425"/>
      <c r="G14" s="1196" t="s">
        <v>1247</v>
      </c>
      <c r="H14" s="1194"/>
      <c r="I14" s="1194"/>
      <c r="J14" s="1194"/>
      <c r="K14" s="1194"/>
      <c r="L14" s="1195"/>
    </row>
    <row r="15" spans="1:29" ht="13.5" customHeight="1" x14ac:dyDescent="0.2">
      <c r="A15" s="2411" t="str">
        <f>COVER!A21</f>
        <v>Virginia, IL</v>
      </c>
      <c r="B15" s="2424"/>
      <c r="C15" s="2424"/>
      <c r="D15" s="2424"/>
      <c r="E15" s="2424"/>
      <c r="F15" s="2425"/>
      <c r="G15" s="2421" t="str">
        <f>COVER!T15</f>
        <v>Jamie Nichols</v>
      </c>
      <c r="H15" s="2422"/>
      <c r="I15" s="2422"/>
      <c r="J15" s="2422"/>
      <c r="K15" s="2422"/>
      <c r="L15" s="2423"/>
    </row>
    <row r="16" spans="1:29" ht="12.2" customHeight="1" x14ac:dyDescent="0.2">
      <c r="A16" s="2401">
        <f>COVER!A25</f>
        <v>62691</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6" t="s">
        <v>1246</v>
      </c>
      <c r="H17" s="1194"/>
      <c r="I17" s="1194"/>
      <c r="J17" s="1194"/>
      <c r="K17" s="1198" t="s">
        <v>1245</v>
      </c>
      <c r="L17" s="1191"/>
      <c r="M17" s="1184"/>
    </row>
    <row r="18" spans="1:13" ht="12.2" customHeight="1" x14ac:dyDescent="0.2">
      <c r="A18" s="2395"/>
      <c r="B18" s="2396"/>
      <c r="C18" s="2396"/>
      <c r="D18" s="2396"/>
      <c r="E18" s="2396"/>
      <c r="F18" s="2397"/>
      <c r="G18" s="2398" t="str">
        <f>COVER!T21</f>
        <v>(217) 787-0563</v>
      </c>
      <c r="H18" s="2399"/>
      <c r="I18" s="2399"/>
      <c r="J18" s="2399"/>
      <c r="K18" s="2398" t="str">
        <f>COVER!X21</f>
        <v>(217) 787-9266</v>
      </c>
      <c r="L18" s="240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Two Rivers Career Ed System</v>
      </c>
      <c r="B1" s="2435"/>
      <c r="C1" s="2435"/>
      <c r="D1" s="2435"/>
    </row>
    <row r="2" spans="1:11" s="1215" customFormat="1" ht="12.75" x14ac:dyDescent="0.2">
      <c r="A2" s="2440">
        <f>'Single Audit Cover'!E7</f>
        <v>1009700045</v>
      </c>
      <c r="B2" s="2441"/>
      <c r="C2" s="2441"/>
      <c r="D2" s="2441"/>
    </row>
    <row r="3" spans="1:11" s="1215" customFormat="1" ht="12.75" x14ac:dyDescent="0.2">
      <c r="A3" s="2439" t="s">
        <v>1593</v>
      </c>
      <c r="B3" s="2435"/>
      <c r="C3" s="2435"/>
      <c r="D3" s="243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Two Rivers Career Ed System</v>
      </c>
      <c r="B1" s="2443"/>
      <c r="C1" s="2443"/>
      <c r="D1" s="2443"/>
      <c r="E1" s="2443"/>
    </row>
    <row r="2" spans="1:5" x14ac:dyDescent="0.2">
      <c r="A2" s="2444">
        <f>'Single Audit Cover'!E7</f>
        <v>1009700045</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60" t="s">
        <v>1305</v>
      </c>
    </row>
    <row r="10" spans="1:5" x14ac:dyDescent="0.2">
      <c r="A10" s="1261" t="s">
        <v>1304</v>
      </c>
      <c r="B10" s="1262" t="s">
        <v>1303</v>
      </c>
      <c r="C10" s="1262"/>
      <c r="D10" s="1263">
        <f>SUM('Acct Summary 7-8'!C7:K7)</f>
        <v>95206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95206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5"/>
      <c r="B24" s="2445"/>
      <c r="D24" s="1268"/>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1295</v>
      </c>
      <c r="D32" s="1263">
        <f>SUM(D19:D30)</f>
        <v>95206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2"/>
      <c r="B40" s="2442"/>
      <c r="D40" s="1268"/>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1289</v>
      </c>
      <c r="C47" s="1272"/>
      <c r="D47" s="1273">
        <f>SUM(D35:D45)</f>
        <v>0</v>
      </c>
    </row>
    <row r="49" spans="2:4" x14ac:dyDescent="0.2">
      <c r="B49" s="1272" t="s">
        <v>1288</v>
      </c>
      <c r="C49" s="1272"/>
      <c r="D49" s="1273">
        <f>D32-D47</f>
        <v>95206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Two Rivers Career Ed System</v>
      </c>
      <c r="B1" s="2448"/>
      <c r="C1" s="2448"/>
      <c r="D1" s="2448"/>
      <c r="E1" s="2448"/>
      <c r="F1" s="2448"/>
    </row>
    <row r="2" spans="1:7" ht="13.5" customHeight="1" x14ac:dyDescent="0.2">
      <c r="A2" s="2449">
        <f>'Single Audit Cover'!E7</f>
        <v>1009700045</v>
      </c>
      <c r="B2" s="2449"/>
      <c r="C2" s="2449"/>
      <c r="D2" s="2449"/>
      <c r="E2" s="2449"/>
      <c r="F2" s="2449"/>
      <c r="G2" s="1275"/>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6" t="s">
        <v>1831</v>
      </c>
      <c r="C6" s="317"/>
      <c r="D6" s="317"/>
    </row>
    <row r="7" spans="1:7" ht="60.95" customHeight="1" x14ac:dyDescent="0.2">
      <c r="A7" s="2447" t="s">
        <v>1832</v>
      </c>
      <c r="B7" s="2447"/>
      <c r="C7" s="2447"/>
      <c r="D7" s="2447"/>
      <c r="E7" s="2447"/>
      <c r="F7" s="244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47" t="s">
        <v>1834</v>
      </c>
      <c r="B13" s="2447"/>
      <c r="C13" s="2447"/>
      <c r="D13" s="2447"/>
      <c r="E13" s="2447"/>
      <c r="F13" s="2447"/>
    </row>
    <row r="14" spans="1:7" ht="9.75" customHeight="1" x14ac:dyDescent="0.2">
      <c r="C14" s="1260"/>
      <c r="D14" s="1260"/>
    </row>
    <row r="15" spans="1:7" ht="13.5" customHeight="1" x14ac:dyDescent="0.2">
      <c r="C15" s="1870" t="s">
        <v>1332</v>
      </c>
      <c r="D15" s="2453" t="s">
        <v>1331</v>
      </c>
      <c r="E15" s="2453"/>
      <c r="F15" s="2453"/>
    </row>
    <row r="16" spans="1:7" ht="13.5" customHeight="1" x14ac:dyDescent="0.2">
      <c r="A16" s="1282"/>
      <c r="B16" s="1276" t="s">
        <v>1330</v>
      </c>
      <c r="C16" s="1870" t="s">
        <v>1329</v>
      </c>
      <c r="D16" s="2454" t="s">
        <v>1670</v>
      </c>
      <c r="E16" s="2454"/>
      <c r="F16" s="2454"/>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6" t="s">
        <v>1835</v>
      </c>
      <c r="B32" s="2456"/>
      <c r="C32" s="2456"/>
      <c r="D32" s="2456"/>
      <c r="E32" s="2456"/>
      <c r="F32" s="2456"/>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57">
        <f>+C33+C34</f>
        <v>0</v>
      </c>
      <c r="F34" s="2458"/>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69"/>
      <c r="C50" s="1869"/>
      <c r="D50" s="1869"/>
      <c r="E50" s="1399"/>
    </row>
    <row r="51" spans="1:5" s="1300" customFormat="1" ht="20.25" customHeight="1" x14ac:dyDescent="0.2">
      <c r="A51" s="1301">
        <v>6</v>
      </c>
      <c r="B51" s="2455" t="s">
        <v>1632</v>
      </c>
      <c r="C51" s="2455"/>
      <c r="D51" s="2455"/>
    </row>
    <row r="52" spans="1:5" ht="14.25" customHeight="1" x14ac:dyDescent="0.2">
      <c r="A52" s="1301"/>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4" t="str">
        <f>'Single Audit Cover'!A7</f>
        <v>Two Rivers Career Ed System</v>
      </c>
      <c r="C1" s="2460"/>
      <c r="D1" s="2460"/>
      <c r="E1" s="2460"/>
      <c r="F1" s="2460"/>
      <c r="G1" s="2460"/>
      <c r="H1" s="2460"/>
      <c r="I1" s="2460"/>
      <c r="J1" s="2460"/>
      <c r="K1" s="2460"/>
      <c r="L1" s="2460"/>
      <c r="M1" s="2460"/>
    </row>
    <row r="2" spans="2:14" ht="15" x14ac:dyDescent="0.2">
      <c r="B2" s="2449">
        <f>'Single Audit Cover'!E7</f>
        <v>1009700045</v>
      </c>
      <c r="C2" s="2449"/>
      <c r="D2" s="2449"/>
      <c r="E2" s="2449"/>
      <c r="F2" s="2449"/>
      <c r="G2" s="2449"/>
      <c r="H2" s="2449"/>
      <c r="I2" s="2449"/>
      <c r="J2" s="2449"/>
      <c r="K2" s="2449"/>
      <c r="L2" s="2449"/>
      <c r="M2" s="2449"/>
      <c r="N2" s="1302"/>
    </row>
    <row r="3" spans="2:14" ht="15" x14ac:dyDescent="0.2">
      <c r="B3" s="2461" t="s">
        <v>1281</v>
      </c>
      <c r="C3" s="2461"/>
      <c r="D3" s="2461"/>
      <c r="E3" s="2461"/>
      <c r="F3" s="2461"/>
      <c r="G3" s="2461"/>
      <c r="H3" s="2461"/>
      <c r="I3" s="2461"/>
      <c r="J3" s="2461"/>
      <c r="K3" s="2461"/>
      <c r="L3" s="2461"/>
      <c r="M3" s="2461"/>
      <c r="N3" s="1302"/>
    </row>
    <row r="4" spans="2:14" ht="15" x14ac:dyDescent="0.2">
      <c r="B4" s="2462" t="str">
        <f>'Single Audit Cover'!A4</f>
        <v>Year Ending June 30, 2018</v>
      </c>
      <c r="C4" s="2462"/>
      <c r="D4" s="2462"/>
      <c r="E4" s="2462"/>
      <c r="F4" s="2462"/>
      <c r="G4" s="2462"/>
      <c r="H4" s="2462"/>
      <c r="I4" s="2462"/>
      <c r="J4" s="2462"/>
      <c r="K4" s="2462"/>
      <c r="L4" s="2462"/>
      <c r="M4" s="246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Two Rivers Career Ed System</v>
      </c>
      <c r="C1" s="2468"/>
      <c r="D1" s="2468"/>
      <c r="E1" s="2468"/>
      <c r="F1" s="2468"/>
      <c r="G1" s="2468"/>
      <c r="H1" s="2468"/>
      <c r="I1" s="2468"/>
      <c r="J1" s="1422"/>
    </row>
    <row r="2" spans="2:10" s="317" customFormat="1" ht="12.75" customHeight="1" x14ac:dyDescent="0.2">
      <c r="B2" s="2469">
        <f>'Single Audit Cover'!E7</f>
        <v>1009700045</v>
      </c>
      <c r="C2" s="2470"/>
      <c r="D2" s="2470"/>
      <c r="E2" s="2470"/>
      <c r="F2" s="2470"/>
      <c r="G2" s="2470"/>
      <c r="H2" s="2470"/>
      <c r="I2" s="2470"/>
      <c r="J2" s="1422"/>
    </row>
    <row r="3" spans="2:10" s="317" customFormat="1" ht="12.75" customHeight="1" x14ac:dyDescent="0.2">
      <c r="B3" s="2471" t="s">
        <v>1347</v>
      </c>
      <c r="C3" s="2472"/>
      <c r="D3" s="2472"/>
      <c r="E3" s="2472"/>
      <c r="F3" s="2472"/>
      <c r="G3" s="2472"/>
      <c r="H3" s="2472"/>
      <c r="I3" s="2472"/>
      <c r="J3" s="1423"/>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1" t="s">
        <v>1346</v>
      </c>
      <c r="C7" s="2472"/>
      <c r="D7" s="2472"/>
      <c r="E7" s="2472"/>
      <c r="F7" s="2472"/>
      <c r="G7" s="2472"/>
      <c r="H7" s="2472"/>
      <c r="I7" s="247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3"/>
      <c r="D11" s="247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4"/>
      <c r="E29" s="2474"/>
      <c r="F29" s="2474"/>
      <c r="G29" s="2474"/>
      <c r="H29" s="2474"/>
      <c r="I29" s="247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5" t="s">
        <v>1854</v>
      </c>
      <c r="D37" s="2476"/>
      <c r="E37" s="2476"/>
      <c r="F37" s="2477"/>
      <c r="G37" s="2475" t="s">
        <v>1674</v>
      </c>
      <c r="H37" s="2476"/>
      <c r="I37" s="2477"/>
    </row>
    <row r="38" spans="2:9" ht="16.5" customHeight="1" x14ac:dyDescent="0.2">
      <c r="B38" s="1444"/>
      <c r="C38" s="2463"/>
      <c r="D38" s="2464"/>
      <c r="E38" s="2464"/>
      <c r="F38" s="2465"/>
      <c r="G38" s="2478"/>
      <c r="H38" s="2479"/>
      <c r="I38" s="2480"/>
    </row>
    <row r="39" spans="2:9" ht="16.5" customHeight="1" x14ac:dyDescent="0.2">
      <c r="B39" s="1444"/>
      <c r="C39" s="2463"/>
      <c r="D39" s="2464"/>
      <c r="E39" s="2464"/>
      <c r="F39" s="2465"/>
      <c r="G39" s="2466"/>
      <c r="H39" s="2466"/>
      <c r="I39" s="2466"/>
    </row>
    <row r="40" spans="2:9" ht="16.5" customHeight="1" x14ac:dyDescent="0.2">
      <c r="B40" s="1444"/>
      <c r="C40" s="2463"/>
      <c r="D40" s="2464"/>
      <c r="E40" s="2464"/>
      <c r="F40" s="2465"/>
      <c r="G40" s="2466"/>
      <c r="H40" s="2466"/>
      <c r="I40" s="2466"/>
    </row>
    <row r="41" spans="2:9" ht="16.5" customHeight="1" x14ac:dyDescent="0.2">
      <c r="B41" s="1444"/>
      <c r="C41" s="2463"/>
      <c r="D41" s="2464"/>
      <c r="E41" s="2464"/>
      <c r="F41" s="2465"/>
      <c r="G41" s="2466"/>
      <c r="H41" s="2466"/>
      <c r="I41" s="2466"/>
    </row>
    <row r="42" spans="2:9" ht="16.5" customHeight="1" x14ac:dyDescent="0.2">
      <c r="B42" s="1444"/>
      <c r="C42" s="2463"/>
      <c r="D42" s="2464"/>
      <c r="E42" s="2464"/>
      <c r="F42" s="2465"/>
      <c r="G42" s="2466"/>
      <c r="H42" s="2466"/>
      <c r="I42" s="2466"/>
    </row>
    <row r="43" spans="2:9" ht="16.5" customHeight="1" x14ac:dyDescent="0.2">
      <c r="B43" s="1444"/>
      <c r="C43" s="2481" t="s">
        <v>1675</v>
      </c>
      <c r="D43" s="2482"/>
      <c r="E43" s="2482"/>
      <c r="F43" s="2483"/>
      <c r="G43" s="2484">
        <f>SUM(G38:I42)</f>
        <v>0</v>
      </c>
      <c r="H43" s="2484"/>
      <c r="I43" s="2484"/>
    </row>
    <row r="44" spans="2:9" ht="12.75" customHeight="1" x14ac:dyDescent="0.2"/>
    <row r="45" spans="2:9" ht="12.75" customHeight="1" x14ac:dyDescent="0.2">
      <c r="B45" s="1435" t="s">
        <v>1952</v>
      </c>
      <c r="D45" s="2485">
        <v>0</v>
      </c>
      <c r="E45" s="2486"/>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7"/>
      <c r="F49" s="2487"/>
      <c r="G49" s="248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Two Rivers Career Ed System</v>
      </c>
      <c r="C1" s="2467"/>
      <c r="D1" s="2467"/>
      <c r="E1" s="2467"/>
      <c r="F1" s="2467"/>
      <c r="G1" s="2467"/>
      <c r="H1" s="2467"/>
      <c r="I1" s="2467"/>
      <c r="J1" s="2467"/>
      <c r="K1" s="2467"/>
      <c r="L1" s="1374"/>
      <c r="M1" s="1374"/>
    </row>
    <row r="2" spans="1:13" ht="12" customHeight="1" x14ac:dyDescent="0.2">
      <c r="B2" s="2469">
        <f>'Single Audit Cover'!E7</f>
        <v>1009700045</v>
      </c>
      <c r="C2" s="2469"/>
      <c r="D2" s="2469"/>
      <c r="E2" s="2469"/>
      <c r="F2" s="2469"/>
      <c r="G2" s="2469"/>
      <c r="H2" s="2469"/>
      <c r="I2" s="2469"/>
      <c r="J2" s="2469"/>
      <c r="K2" s="2469"/>
      <c r="L2" s="1375"/>
      <c r="M2" s="1376"/>
    </row>
    <row r="3" spans="1:13" ht="10.35" customHeight="1" x14ac:dyDescent="0.2">
      <c r="B3" s="2490" t="s">
        <v>1347</v>
      </c>
      <c r="C3" s="2490"/>
      <c r="D3" s="2490"/>
      <c r="E3" s="2490"/>
      <c r="F3" s="2490"/>
      <c r="G3" s="2490"/>
      <c r="H3" s="2490"/>
      <c r="I3" s="2490"/>
      <c r="J3" s="2490"/>
      <c r="K3" s="2490"/>
      <c r="L3" s="1377"/>
      <c r="M3" s="1377"/>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1" t="s">
        <v>1363</v>
      </c>
      <c r="C7" s="2491"/>
      <c r="D7" s="2492"/>
      <c r="E7" s="2492"/>
      <c r="F7" s="2492"/>
      <c r="G7" s="2492"/>
      <c r="H7" s="2492"/>
      <c r="I7" s="2492"/>
      <c r="J7" s="2492"/>
      <c r="K7" s="249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9"/>
      <c r="C14" s="2489"/>
      <c r="D14" s="2489"/>
      <c r="E14" s="2489"/>
      <c r="F14" s="2489"/>
      <c r="G14" s="2489"/>
      <c r="H14" s="2489"/>
      <c r="I14" s="2489"/>
      <c r="J14" s="2489"/>
      <c r="K14" s="248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9"/>
      <c r="C17" s="2489"/>
      <c r="D17" s="2489"/>
      <c r="E17" s="2489"/>
      <c r="F17" s="2489"/>
      <c r="G17" s="2489"/>
      <c r="H17" s="2489"/>
      <c r="I17" s="2489"/>
      <c r="J17" s="2489"/>
      <c r="K17" s="248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3"/>
      <c r="C20" s="2493"/>
      <c r="D20" s="2489"/>
      <c r="E20" s="2489"/>
      <c r="F20" s="2489"/>
      <c r="G20" s="2489"/>
      <c r="H20" s="2489"/>
      <c r="I20" s="2489"/>
      <c r="J20" s="2489"/>
      <c r="K20" s="248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9"/>
      <c r="C23" s="2489"/>
      <c r="D23" s="2489"/>
      <c r="E23" s="2489"/>
      <c r="F23" s="2489"/>
      <c r="G23" s="2489"/>
      <c r="H23" s="2489"/>
      <c r="I23" s="2489"/>
      <c r="J23" s="2489"/>
      <c r="K23" s="248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9"/>
      <c r="C26" s="2489"/>
      <c r="D26" s="2489"/>
      <c r="E26" s="2489"/>
      <c r="F26" s="2489"/>
      <c r="G26" s="2489"/>
      <c r="H26" s="2489"/>
      <c r="I26" s="2489"/>
      <c r="J26" s="2489"/>
      <c r="K26" s="248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8"/>
      <c r="C29" s="2488"/>
      <c r="D29" s="2489"/>
      <c r="E29" s="2489"/>
      <c r="F29" s="2489"/>
      <c r="G29" s="2489"/>
      <c r="H29" s="2489"/>
      <c r="I29" s="2489"/>
      <c r="J29" s="2489"/>
      <c r="K29" s="248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8"/>
      <c r="C32" s="2488"/>
      <c r="D32" s="2489"/>
      <c r="E32" s="2489"/>
      <c r="F32" s="2489"/>
      <c r="G32" s="2489"/>
      <c r="H32" s="2489"/>
      <c r="I32" s="2489"/>
      <c r="J32" s="2489"/>
      <c r="K32" s="248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Two Rivers Career Ed System</v>
      </c>
      <c r="C1" s="2494"/>
      <c r="D1" s="2494"/>
      <c r="E1" s="2494"/>
      <c r="F1" s="2494"/>
      <c r="G1" s="2494"/>
      <c r="H1" s="2494"/>
      <c r="I1" s="2494"/>
      <c r="J1" s="2494"/>
      <c r="K1" s="2494"/>
      <c r="L1" s="1465"/>
    </row>
    <row r="2" spans="1:12" ht="12.75" customHeight="1" x14ac:dyDescent="0.2">
      <c r="B2" s="2495">
        <f>'Single Audit Cover'!E7</f>
        <v>1009700045</v>
      </c>
      <c r="C2" s="2495"/>
      <c r="D2" s="2495"/>
      <c r="E2" s="2495"/>
      <c r="F2" s="2495"/>
      <c r="G2" s="2495"/>
      <c r="H2" s="2495"/>
      <c r="I2" s="2495"/>
      <c r="J2" s="2495"/>
      <c r="K2" s="2495"/>
      <c r="L2" s="1466"/>
    </row>
    <row r="3" spans="1:12" ht="12.75" customHeight="1" x14ac:dyDescent="0.2">
      <c r="B3" s="2490" t="s">
        <v>1347</v>
      </c>
      <c r="C3" s="2490"/>
      <c r="D3" s="2490"/>
      <c r="E3" s="2490"/>
      <c r="F3" s="2490"/>
      <c r="G3" s="2490"/>
      <c r="H3" s="2490"/>
      <c r="I3" s="2490"/>
      <c r="J3" s="2490"/>
      <c r="K3" s="2490"/>
      <c r="L3" s="1377"/>
    </row>
    <row r="4" spans="1:12" ht="12.75" customHeight="1" x14ac:dyDescent="0.2">
      <c r="B4" s="2490" t="str">
        <f>'Single Audit Cover'!A4</f>
        <v>Year Ending June 30, 2018</v>
      </c>
      <c r="C4" s="2490"/>
      <c r="D4" s="2490"/>
      <c r="E4" s="2490"/>
      <c r="F4" s="2490"/>
      <c r="G4" s="2490"/>
      <c r="H4" s="2490"/>
      <c r="I4" s="2490"/>
      <c r="J4" s="2490"/>
      <c r="K4" s="2490"/>
      <c r="L4" s="1377"/>
    </row>
    <row r="5" spans="1:12" ht="5.25" customHeight="1" x14ac:dyDescent="0.2">
      <c r="B5" s="1260" t="s">
        <v>1231</v>
      </c>
      <c r="C5" s="1260"/>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4"/>
      <c r="G12" s="2474"/>
      <c r="H12" s="2474"/>
      <c r="I12" s="2474"/>
      <c r="J12" s="2474"/>
      <c r="K12" s="247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9"/>
      <c r="C20" s="2489"/>
      <c r="D20" s="2489"/>
      <c r="E20" s="2489"/>
      <c r="F20" s="2489"/>
      <c r="G20" s="2489"/>
      <c r="H20" s="2489"/>
      <c r="I20" s="2489"/>
      <c r="J20" s="2489"/>
      <c r="K20" s="248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7" t="str">
        <f>'Single Audit Cover'!A7</f>
        <v>Two Rivers Career Ed System</v>
      </c>
      <c r="C1" s="2467"/>
      <c r="D1" s="2467"/>
      <c r="E1" s="1491"/>
    </row>
    <row r="2" spans="2:5" s="1282" customFormat="1" ht="12.75" customHeight="1" x14ac:dyDescent="0.2">
      <c r="B2" s="2469">
        <f>'Single Audit Cover'!E7</f>
        <v>1009700045</v>
      </c>
      <c r="C2" s="2469"/>
      <c r="D2" s="2469"/>
      <c r="E2" s="1492"/>
    </row>
    <row r="3" spans="2:5" ht="12.75" customHeight="1" x14ac:dyDescent="0.2">
      <c r="B3" s="2490" t="s">
        <v>1869</v>
      </c>
      <c r="C3" s="2490"/>
      <c r="D3" s="2490"/>
      <c r="E3" s="1274"/>
    </row>
    <row r="4" spans="2:5" s="1282" customFormat="1" ht="12.75" customHeight="1" x14ac:dyDescent="0.2">
      <c r="B4" s="2500" t="str">
        <f>'Single Audit Cover'!A4</f>
        <v>Year Ending June 30, 2018</v>
      </c>
      <c r="C4" s="2500"/>
      <c r="D4" s="250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6ce3111e-7420-4802-b50a-75d4e9a0b980"/>
    <ds:schemaRef ds:uri="http://schemas.openxmlformats.org/package/2006/metadata/core-properties"/>
    <ds:schemaRef ds:uri="http://schemas.microsoft.com/sharepoint/v3"/>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4d435f69-8686-490b-bd6d-b153bf22ab50"/>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2018-09-21T19:16:06Z</cp:lastPrinted>
  <dcterms:created xsi:type="dcterms:W3CDTF">2003-10-29T19:06:34Z</dcterms:created>
  <dcterms:modified xsi:type="dcterms:W3CDTF">2018-12-19T21:08:32Z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