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a" sheetId="175" r:id="rId31"/>
    <sheet name="SF&amp;QC Sec-2b" sheetId="183" r:id="rId32"/>
    <sheet name="SF&amp;QC Sec-3" sheetId="176" r:id="rId33"/>
    <sheet name="SSPAF" sheetId="177" r:id="rId34"/>
  </sheets>
  <definedNames>
    <definedName name="_xlnm.Print_Area" localSheetId="27">' SEFA'!$B$1:$M$50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M40" i="3" l="1"/>
  <c r="C39" i="3"/>
  <c r="I16" i="179" l="1"/>
  <c r="J16" i="179"/>
  <c r="L16" i="179" l="1"/>
  <c r="I12" i="179"/>
  <c r="I14" i="179" s="1"/>
  <c r="K27" i="179"/>
  <c r="K29" i="179" s="1"/>
  <c r="J27" i="179"/>
  <c r="J29" i="179" s="1"/>
  <c r="I27" i="179"/>
  <c r="I29" i="179" s="1"/>
  <c r="H27" i="179"/>
  <c r="H29" i="179" s="1"/>
  <c r="G27" i="179"/>
  <c r="G29" i="179" s="1"/>
  <c r="F27" i="179"/>
  <c r="F29" i="179" s="1"/>
  <c r="E27" i="179"/>
  <c r="E29" i="179" s="1"/>
  <c r="L17" i="179"/>
  <c r="K18" i="179"/>
  <c r="J18" i="179"/>
  <c r="I18" i="179"/>
  <c r="H18" i="179"/>
  <c r="G18" i="179"/>
  <c r="F18" i="179"/>
  <c r="E18" i="179"/>
  <c r="K14" i="179"/>
  <c r="J14" i="179"/>
  <c r="H14" i="179"/>
  <c r="G14" i="179"/>
  <c r="F14" i="179"/>
  <c r="E14" i="179"/>
  <c r="H20" i="179" l="1"/>
  <c r="E20" i="179"/>
  <c r="J20" i="179"/>
  <c r="F20" i="179"/>
  <c r="G20" i="179"/>
  <c r="K20" i="179"/>
  <c r="I20" i="179"/>
  <c r="G38" i="174" s="1"/>
  <c r="G22" i="179"/>
  <c r="G31" i="179" s="1"/>
  <c r="E22" i="179"/>
  <c r="E31" i="179" s="1"/>
  <c r="H22" i="179"/>
  <c r="H31" i="179" s="1"/>
  <c r="J22" i="179"/>
  <c r="J31" i="179" s="1"/>
  <c r="L18" i="179"/>
  <c r="K22" i="179"/>
  <c r="K31" i="179" s="1"/>
  <c r="L12" i="179"/>
  <c r="F22" i="179"/>
  <c r="F31" i="179" s="1"/>
  <c r="I22" i="179"/>
  <c r="I31" i="179" s="1"/>
  <c r="D45" i="174" s="1"/>
  <c r="L14" i="179"/>
  <c r="D182" i="34"/>
  <c r="L20" i="179" l="1"/>
  <c r="J24" i="2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31" i="179" l="1"/>
  <c r="L29" i="179"/>
  <c r="L27" i="179"/>
  <c r="L26" i="179"/>
  <c r="L25" i="179"/>
  <c r="L22"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1" i="127"/>
  <c r="B62" i="127"/>
  <c r="E26" i="108"/>
  <c r="G26" i="108"/>
  <c r="D27" i="108"/>
  <c r="E27" i="108"/>
  <c r="F27" i="108"/>
  <c r="G27" i="108"/>
  <c r="F31" i="108"/>
  <c r="F37" i="108"/>
  <c r="G28" i="108"/>
  <c r="G30" i="108"/>
  <c r="D31" i="108"/>
  <c r="D37"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C14" i="4"/>
  <c r="B2558" i="106" s="1"/>
  <c r="D2558" i="106" s="1"/>
  <c r="D14" i="4"/>
  <c r="B2570" i="106" s="1"/>
  <c r="D2570" i="106" s="1"/>
  <c r="B2633" i="106"/>
  <c r="D2633" i="106" s="1"/>
  <c r="N22" i="3"/>
  <c r="B283" i="106" s="1"/>
  <c r="D283" i="106" s="1"/>
  <c r="D7" i="118"/>
  <c r="D8" i="118"/>
  <c r="D9" i="118"/>
  <c r="H14" i="118"/>
  <c r="H19" i="118"/>
  <c r="H24" i="118"/>
  <c r="H29" i="118"/>
  <c r="H33" i="118"/>
  <c r="D11" i="37"/>
  <c r="J22" i="37"/>
  <c r="L22" i="37"/>
  <c r="L5" i="11"/>
  <c r="B2056" i="106" s="1"/>
  <c r="D2056" i="106" s="1"/>
  <c r="D12" i="7"/>
  <c r="B1769" i="106" s="1"/>
  <c r="D1769" i="106" s="1"/>
  <c r="K24" i="12" l="1"/>
  <c r="F50" i="34"/>
  <c r="F46" i="34"/>
  <c r="F44" i="34"/>
  <c r="F41" i="34"/>
  <c r="F35" i="34"/>
  <c r="D7" i="7"/>
  <c r="B1763" i="106" s="1"/>
  <c r="D1763" i="106" s="1"/>
  <c r="D15" i="7"/>
  <c r="B1772" i="106" s="1"/>
  <c r="D1772" i="106" s="1"/>
  <c r="G15" i="145"/>
  <c r="L13" i="11"/>
  <c r="B2060" i="106" s="1"/>
  <c r="D2060" i="106" s="1"/>
  <c r="H28" i="118"/>
  <c r="K28" i="118" s="1"/>
  <c r="O27" i="118" s="1"/>
  <c r="O29" i="118" s="1"/>
  <c r="D68" i="36"/>
  <c r="D22" i="37"/>
  <c r="D24" i="37"/>
  <c r="B4270" i="106" s="1"/>
  <c r="D4270" i="106" s="1"/>
  <c r="F34" i="34"/>
  <c r="F14" i="4"/>
  <c r="B2597" i="106" s="1"/>
  <c r="D2597" i="106" s="1"/>
  <c r="F70" i="34"/>
  <c r="F36" i="108"/>
  <c r="D7245" i="106"/>
  <c r="F21" i="8"/>
  <c r="D9" i="7"/>
  <c r="B1767" i="106" s="1"/>
  <c r="D1767" i="106" s="1"/>
  <c r="G38" i="108"/>
  <c r="E30" i="108"/>
  <c r="J210" i="29"/>
  <c r="B7072" i="106" s="1"/>
  <c r="D7072" i="106" s="1"/>
  <c r="E38" i="108"/>
  <c r="D36" i="108"/>
  <c r="F28" i="108"/>
  <c r="I210" i="29"/>
  <c r="G14" i="4"/>
  <c r="B2609" i="106" s="1"/>
  <c r="D2609" i="106" s="1"/>
  <c r="F72" i="34"/>
  <c r="E28" i="108"/>
  <c r="G35" i="108"/>
  <c r="D26" i="108"/>
  <c r="F36" i="34"/>
  <c r="G39" i="108"/>
  <c r="E35" i="108"/>
  <c r="G29" i="108"/>
  <c r="F37" i="34"/>
  <c r="E29" i="108"/>
  <c r="F26" i="108"/>
  <c r="B1223" i="106"/>
  <c r="D1223" i="106" s="1"/>
  <c r="B1126" i="106"/>
  <c r="D1126" i="106" s="1"/>
  <c r="I24" i="12"/>
  <c r="H112" i="29"/>
  <c r="B7018" i="106" s="1"/>
  <c r="D7018" i="106" s="1"/>
  <c r="B1746" i="106"/>
  <c r="D1746" i="106" s="1"/>
  <c r="D4" i="7"/>
  <c r="B1760" i="106" s="1"/>
  <c r="D1760" i="106" s="1"/>
  <c r="D5" i="4"/>
  <c r="B3406" i="106" s="1"/>
  <c r="D3406" i="106" s="1"/>
  <c r="D54" i="36"/>
  <c r="J129" i="29"/>
  <c r="B7038" i="106" s="1"/>
  <c r="D7038" i="106" s="1"/>
  <c r="B7235" i="106"/>
  <c r="D7235" i="106" s="1"/>
  <c r="F77" i="4"/>
  <c r="B3255" i="106" s="1"/>
  <c r="D3255" i="106" s="1"/>
  <c r="D6103" i="106"/>
  <c r="L15" i="11"/>
  <c r="B3459" i="106" s="1"/>
  <c r="D3459" i="106" s="1"/>
  <c r="D13" i="7"/>
  <c r="B3726" i="106" s="1"/>
  <c r="D3726" i="106" s="1"/>
  <c r="D17" i="7"/>
  <c r="B4104" i="106" s="1"/>
  <c r="D4104" i="106" s="1"/>
  <c r="H76" i="4"/>
  <c r="B3298" i="106" s="1"/>
  <c r="D3298" i="106" s="1"/>
  <c r="J41" i="3"/>
  <c r="B6216" i="106" s="1"/>
  <c r="D6216" i="106" s="1"/>
  <c r="I342" i="29"/>
  <c r="B7222" i="106" s="1"/>
  <c r="D7222" i="106" s="1"/>
  <c r="B1329" i="106"/>
  <c r="D1329" i="106" s="1"/>
  <c r="F61" i="34"/>
  <c r="H173" i="5"/>
  <c r="B5906" i="106" s="1"/>
  <c r="D5906" i="106" s="1"/>
  <c r="B7231" i="106"/>
  <c r="D7231" i="106" s="1"/>
  <c r="H342" i="29"/>
  <c r="B7221" i="106" s="1"/>
  <c r="D7221" i="106" s="1"/>
  <c r="K285" i="29"/>
  <c r="F127" i="34"/>
  <c r="F128" i="34"/>
  <c r="F106" i="34"/>
  <c r="K274" i="5"/>
  <c r="D11" i="7"/>
  <c r="B1768" i="106" s="1"/>
  <c r="D1768" i="106" s="1"/>
  <c r="B4373" i="106"/>
  <c r="D4373" i="106" s="1"/>
  <c r="F131" i="34"/>
  <c r="G172" i="5"/>
  <c r="K76" i="4"/>
  <c r="B3586" i="106" s="1"/>
  <c r="D3586" i="106" s="1"/>
  <c r="K41" i="3"/>
  <c r="B3568" i="106" s="1"/>
  <c r="D3568" i="106" s="1"/>
  <c r="F136" i="34"/>
  <c r="F172" i="5"/>
  <c r="B5644" i="106" s="1"/>
  <c r="D5644" i="106" s="1"/>
  <c r="B7041" i="106"/>
  <c r="D7041" i="106" s="1"/>
  <c r="B5752" i="106"/>
  <c r="D5752" i="106" s="1"/>
  <c r="G109" i="5"/>
  <c r="D109" i="5"/>
  <c r="F111" i="34"/>
  <c r="H109" i="5"/>
  <c r="E109" i="5"/>
  <c r="E4" i="4" s="1"/>
  <c r="B2630" i="106" s="1"/>
  <c r="D2630" i="106" s="1"/>
  <c r="C109" i="5"/>
  <c r="B5121" i="106" s="1"/>
  <c r="D5121" i="106" s="1"/>
  <c r="C342" i="29"/>
  <c r="B7216" i="106" s="1"/>
  <c r="D7216" i="106" s="1"/>
  <c r="B3619" i="106"/>
  <c r="D3619" i="106" s="1"/>
  <c r="G352" i="29"/>
  <c r="G367" i="29" s="1"/>
  <c r="B3650" i="106" s="1"/>
  <c r="D3650" i="106" s="1"/>
  <c r="L367" i="29"/>
  <c r="L312" i="29"/>
  <c r="I129" i="29"/>
  <c r="B7037" i="106" s="1"/>
  <c r="D7037" i="106" s="1"/>
  <c r="D5" i="7"/>
  <c r="B1761" i="106" s="1"/>
  <c r="D1761" i="106" s="1"/>
  <c r="F19" i="7"/>
  <c r="B1807" i="106" s="1"/>
  <c r="D1807" i="106" s="1"/>
  <c r="B3621" i="106"/>
  <c r="D3621" i="106" s="1"/>
  <c r="C367" i="29"/>
  <c r="B3622" i="106" s="1"/>
  <c r="D3622" i="106" s="1"/>
  <c r="B3649" i="106"/>
  <c r="D3649" i="106" s="1"/>
  <c r="E174" i="29"/>
  <c r="B1309" i="106" s="1"/>
  <c r="D1309" i="106" s="1"/>
  <c r="B1410" i="106"/>
  <c r="D1410" i="106" s="1"/>
  <c r="L342" i="29"/>
  <c r="K350" i="29"/>
  <c r="K184" i="29"/>
  <c r="F13" i="4" s="1"/>
  <c r="B2596" i="106" s="1"/>
  <c r="D2596" i="106" s="1"/>
  <c r="H365" i="29"/>
  <c r="G210" i="29"/>
  <c r="K173" i="5"/>
  <c r="K6" i="4" s="1"/>
  <c r="B3570" i="106" s="1"/>
  <c r="D3570" i="106" s="1"/>
  <c r="C172" i="5"/>
  <c r="I173" i="5"/>
  <c r="B4216" i="106" s="1"/>
  <c r="D4216" i="106" s="1"/>
  <c r="F130" i="34"/>
  <c r="J77" i="4"/>
  <c r="B6262" i="106" s="1"/>
  <c r="D6262"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7270" i="106"/>
  <c r="B7733" i="106" l="1"/>
  <c r="D7733" i="106" s="1"/>
  <c r="K26" i="12"/>
  <c r="B7743" i="106" s="1"/>
  <c r="D7743" i="106" s="1"/>
  <c r="B3628" i="106"/>
  <c r="D3628" i="106" s="1"/>
  <c r="F41" i="108"/>
  <c r="G43" i="108" s="1"/>
  <c r="D51" i="36"/>
  <c r="D7254" i="106"/>
  <c r="D7250" i="106"/>
  <c r="B7071" i="106"/>
  <c r="D7071" i="106" s="1"/>
  <c r="F66" i="34"/>
  <c r="B1317" i="106"/>
  <c r="D1317" i="106" s="1"/>
  <c r="D7255" i="106"/>
  <c r="D7253" i="106"/>
  <c r="D7252" i="106"/>
  <c r="B1879" i="106"/>
  <c r="D1879" i="106" s="1"/>
  <c r="H22" i="37"/>
  <c r="H275" i="5"/>
  <c r="J151" i="29"/>
  <c r="B7052" i="106" s="1"/>
  <c r="D7052" i="106" s="1"/>
  <c r="B1996" i="106"/>
  <c r="D1996" i="106" s="1"/>
  <c r="I26" i="12"/>
  <c r="B7741" i="106" s="1"/>
  <c r="D7741" i="106" s="1"/>
  <c r="J16" i="4"/>
  <c r="B6226" i="106" s="1"/>
  <c r="D6226" i="106" s="1"/>
  <c r="L16" i="11"/>
  <c r="B2061" i="106" s="1"/>
  <c r="D2061" i="106" s="1"/>
  <c r="I151" i="29"/>
  <c r="F59" i="34" s="1"/>
  <c r="D7256" i="106"/>
  <c r="D7251" i="106"/>
  <c r="D274" i="5"/>
  <c r="B6014" i="106"/>
  <c r="D6014" i="106" s="1"/>
  <c r="H6" i="4"/>
  <c r="B2656" i="106" s="1"/>
  <c r="D2656" i="106" s="1"/>
  <c r="D52" i="36"/>
  <c r="F73" i="34"/>
  <c r="G15" i="4"/>
  <c r="B6032" i="106" s="1"/>
  <c r="D6032" i="106" s="1"/>
  <c r="B1365" i="106"/>
  <c r="D1365" i="106" s="1"/>
  <c r="F65" i="34"/>
  <c r="K365" i="29"/>
  <c r="B7243" i="106" s="1"/>
  <c r="D7243" i="106" s="1"/>
  <c r="G173" i="5"/>
  <c r="B5770" i="106"/>
  <c r="D5770" i="106" s="1"/>
  <c r="B5914" i="106"/>
  <c r="D5914" i="106" s="1"/>
  <c r="D44" i="36"/>
  <c r="B6025" i="106"/>
  <c r="D6025" i="106" s="1"/>
  <c r="H4" i="4"/>
  <c r="B5356" i="106"/>
  <c r="D5356" i="106" s="1"/>
  <c r="D4" i="4"/>
  <c r="B2564" i="106" s="1"/>
  <c r="D2564" i="106" s="1"/>
  <c r="B6024" i="106"/>
  <c r="D6024" i="106" s="1"/>
  <c r="G4" i="4"/>
  <c r="B2603" i="106" s="1"/>
  <c r="D2603" i="106" s="1"/>
  <c r="F274" i="5"/>
  <c r="F275" i="5" s="1"/>
  <c r="B5720" i="106" s="1"/>
  <c r="D5720" i="106" s="1"/>
  <c r="K342" i="29"/>
  <c r="F13" i="34" s="1"/>
  <c r="L114" i="29"/>
  <c r="H367" i="29"/>
  <c r="B3660" i="106" s="1"/>
  <c r="D3660" i="106" s="1"/>
  <c r="B7242" i="106"/>
  <c r="D7242" i="106" s="1"/>
  <c r="C114" i="29"/>
  <c r="B757" i="106" s="1"/>
  <c r="D757" i="106" s="1"/>
  <c r="B3670" i="106"/>
  <c r="D3670" i="106" s="1"/>
  <c r="K352" i="29"/>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B5507" i="106"/>
  <c r="D5507" i="106" s="1"/>
  <c r="B7298" i="106"/>
  <c r="B7299" i="106"/>
  <c r="J8" i="4" l="1"/>
  <c r="F7" i="4"/>
  <c r="B2594" i="106" s="1"/>
  <c r="D2594" i="106" s="1"/>
  <c r="B5719" i="106"/>
  <c r="D5719" i="106" s="1"/>
  <c r="D275" i="5"/>
  <c r="B5508" i="106" s="1"/>
  <c r="D5508" i="106" s="1"/>
  <c r="E41" i="108"/>
  <c r="E44" i="108" s="1"/>
  <c r="E45" i="108" s="1"/>
  <c r="G41" i="108"/>
  <c r="G44" i="108" s="1"/>
  <c r="G45" i="108" s="1"/>
  <c r="B7224" i="106"/>
  <c r="D7224" i="106" s="1"/>
  <c r="J17" i="4"/>
  <c r="B6227" i="106" s="1"/>
  <c r="D6227" i="106" s="1"/>
  <c r="B5778" i="106"/>
  <c r="D5778" i="106" s="1"/>
  <c r="G6" i="4"/>
  <c r="B2604" i="106" s="1"/>
  <c r="D2604" i="106" s="1"/>
  <c r="B5223" i="106"/>
  <c r="D5223" i="106" s="1"/>
  <c r="C6" i="4"/>
  <c r="B2553" i="106" s="1"/>
  <c r="D2553" i="106" s="1"/>
  <c r="B2655" i="106"/>
  <c r="D2655" i="106" s="1"/>
  <c r="H8" i="4"/>
  <c r="K367" i="29"/>
  <c r="B3678" i="106" s="1"/>
  <c r="D3678"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B2595" i="106" s="1"/>
  <c r="D2595" i="106" s="1"/>
  <c r="J20" i="4"/>
  <c r="J19" i="4"/>
  <c r="B6229" i="106" s="1"/>
  <c r="D6229" i="106" s="1"/>
  <c r="K17" i="4"/>
  <c r="K20" i="4" s="1"/>
  <c r="F76" i="34"/>
  <c r="K368" i="29"/>
  <c r="B3681" i="106" s="1"/>
  <c r="D3681" i="106" s="1"/>
  <c r="F10" i="4"/>
  <c r="B4125" i="106" s="1"/>
  <c r="D4125" i="106" s="1"/>
  <c r="D8" i="4"/>
  <c r="D10" i="4" s="1"/>
  <c r="B4123" i="106" s="1"/>
  <c r="D4123" i="106" s="1"/>
  <c r="D8" i="146"/>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D20" i="4" l="1"/>
  <c r="B2574" i="106" s="1"/>
  <c r="D2574"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<sst xmlns="http://schemas.openxmlformats.org/spreadsheetml/2006/main" count="5207" uniqueCount="2173">
  <si>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</si>
  <si>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</si>
  <si>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</si>
  <si>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</si>
  <si>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</si>
  <si>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</si>
  <si>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</si>
  <si>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</si>
  <si>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</si>
  <si>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</si>
  <si>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</si>
  <si>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</si>
  <si>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</si>
  <si>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</si>
  <si>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</si>
  <si>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</si>
  <si>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</si>
  <si>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</si>
  <si>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</si>
  <si>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</si>
  <si>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</si>
  <si>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</si>
  <si>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</si>
  <si>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</si>
  <si>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</si>
  <si>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</si>
  <si>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</si>
  <si>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</si>
  <si>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</si>
  <si>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</si>
  <si>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</si>
  <si>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</si>
  <si>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</si>
  <si>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</si>
  <si>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</si>
  <si>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</si>
  <si>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</si>
  <si>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</si>
  <si>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</si>
  <si>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</si>
  <si>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</si>
  <si>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</si>
  <si>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</si>
  <si>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</si>
  <si>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</si>
  <si>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</si>
  <si>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</si>
  <si>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</si>
  <si>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</si>
  <si>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</si>
  <si>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</si>
  <si>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</si>
  <si>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</si>
  <si>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</si>
  <si>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</si>
  <si>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</si>
  <si>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</si>
  <si>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</si>
  <si>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</si>
  <si>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</si>
  <si>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</si>
  <si>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</si>
  <si>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</si>
  <si>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</si>
  <si>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</si>
  <si>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</si>
  <si>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</si>
  <si>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</si>
  <si>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</si>
  <si>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</si>
  <si>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</si>
  <si>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</si>
  <si>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</si>
  <si>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</si>
  <si>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</si>
  <si>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</si>
  <si>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</si>
  <si>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</si>
  <si>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</si>
  <si>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</si>
  <si>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</si>
  <si>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</si>
  <si>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</si>
  <si>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</si>
  <si>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</si>
  <si>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</si>
  <si>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</si>
  <si>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</si>
  <si>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</si>
  <si>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</si>
  <si>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</si>
  <si>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</si>
  <si>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</si>
  <si>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</si>
  <si>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</si>
  <si>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</si>
  <si>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</si>
  <si>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</si>
  <si>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</si>
  <si>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</si>
  <si>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</si>
  <si>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</si>
  <si>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</si>
  <si>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</si>
  <si>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</si>
  <si>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</si>
  <si>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</si>
  <si>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</si>
  <si>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</si>
  <si>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</si>
  <si>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</si>
  <si>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</si>
  <si>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</si>
  <si>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</si>
  <si>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</si>
  <si>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</si>
  <si>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</si>
  <si>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</si>
  <si>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</si>
  <si>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</si>
  <si>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</si>
  <si>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</si>
  <si>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</si>
  <si>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</si>
  <si>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</si>
  <si>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</si>
  <si>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</si>
  <si>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</si>
  <si>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</si>
  <si>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</si>
  <si>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</si>
  <si>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</si>
  <si>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</si>
  <si>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</si>
  <si>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</si>
  <si>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</si>
  <si>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</si>
  <si>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</si>
  <si>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</si>
  <si>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</si>
  <si>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</si>
  <si>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</si>
  <si>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</si>
  <si>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</si>
  <si>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</si>
  <si>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</si>
  <si>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</si>
  <si>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</si>
  <si>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</si>
  <si>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</si>
  <si>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</si>
  <si>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</si>
  <si>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</si>
  <si>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</si>
  <si>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</si>
  <si>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</si>
  <si>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</si>
  <si>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</si>
  <si>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</si>
  <si>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</si>
  <si>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</si>
  <si>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</si>
  <si>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</si>
  <si>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</si>
  <si>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</si>
  <si>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</si>
  <si>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</si>
  <si>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</si>
  <si>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</si>
  <si>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</si>
  <si>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</si>
  <si>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</si>
  <si>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</si>
  <si>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</si>
  <si>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</si>
  <si>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</si>
  <si>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</si>
  <si>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</si>
  <si>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</si>
  <si>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</si>
  <si>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</si>
  <si>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</si>
  <si>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</si>
  <si>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</si>
  <si>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</si>
  <si>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</si>
  <si>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</si>
  <si>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</si>
  <si>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</si>
  <si>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</si>
  <si>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</si>
  <si>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</si>
  <si>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</si>
  <si>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</si>
  <si>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</si>
  <si>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</si>
  <si>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</si>
  <si>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</si>
  <si>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</si>
  <si>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</si>
  <si>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</si>
  <si>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</si>
  <si>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</si>
  <si>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</si>
  <si>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</si>
  <si>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</si>
  <si>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</si>
  <si>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</si>
  <si>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</si>
  <si>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</si>
  <si>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</si>
  <si>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</si>
  <si>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</si>
  <si>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</si>
  <si>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</si>
  <si>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</si>
  <si>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</si>
  <si>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</si>
  <si>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</si>
  <si>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</si>
  <si>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</si>
  <si>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</si>
  <si>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</si>
  <si>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</si>
  <si>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</si>
  <si>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</si>
  <si>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</si>
  <si>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</si>
  <si>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</si>
  <si>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</si>
  <si>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</si>
  <si>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</si>
  <si>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</si>
  <si>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</si>
  <si>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</si>
  <si>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</si>
  <si>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</si>
  <si>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</si>
  <si>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</si>
  <si>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</si>
  <si>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</si>
  <si>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</si>
  <si>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</si>
  <si>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</si>
  <si>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</si>
  <si>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</si>
  <si>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</si>
  <si>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</si>
  <si>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</si>
  <si>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</si>
  <si>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</si>
  <si>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</si>
  <si>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</si>
  <si>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</si>
  <si>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</si>
  <si>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</si>
  <si>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</si>
  <si>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</si>
  <si>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</si>
  <si>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</si>
  <si>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</si>
  <si>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</si>
  <si>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</si>
  <si>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</si>
  <si>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</si>
  <si>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</si>
  <si>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</si>
  <si>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</si>
  <si>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</si>
  <si>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</si>
  <si>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</si>
  <si>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</si>
  <si>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</si>
  <si>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</si>
  <si>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</si>
  <si>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</si>
  <si>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</si>
  <si>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</si>
  <si>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</si>
  <si>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</si>
  <si>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</si>
  <si>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</si>
  <si>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</si>
  <si>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</si>
  <si>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</si>
  <si>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</si>
  <si>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</si>
  <si>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</si>
  <si>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</si>
  <si>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</si>
  <si>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</si>
  <si>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</si>
  <si>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</si>
  <si>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</si>
  <si>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</si>
  <si>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</si>
  <si>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</si>
  <si>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</si>
  <si>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</si>
  <si>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</si>
  <si>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</si>
  <si>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</si>
  <si>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</si>
  <si>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</si>
  <si>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</si>
  <si>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</si>
  <si>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</si>
  <si>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</si>
  <si>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</si>
  <si>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</si>
  <si>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</si>
  <si>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</si>
  <si>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</si>
  <si>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</si>
  <si>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</si>
  <si>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</si>
  <si>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</si>
  <si>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</si>
  <si>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</si>
  <si>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</si>
  <si>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</si>
  <si>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</si>
  <si>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</si>
  <si>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</si>
  <si>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</si>
  <si>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</si>
  <si>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</si>
  <si>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</si>
  <si>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</si>
  <si>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</si>
  <si>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</si>
  <si>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</si>
  <si>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</si>
  <si>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</si>
  <si>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</si>
  <si>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</si>
  <si>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</si>
  <si>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</si>
  <si>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</si>
  <si>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</si>
  <si>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</si>
  <si>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</si>
  <si>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</si>
  <si>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</si>
  <si>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</si>
  <si>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</si>
  <si>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</si>
  <si>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</si>
  <si>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</si>
  <si>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</si>
  <si>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</si>
  <si>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</si>
  <si>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</si>
  <si>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</si>
  <si>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</si>
  <si>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</si>
  <si>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</si>
  <si>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</si>
  <si>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</si>
  <si>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</si>
  <si>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</si>
  <si>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</si>
  <si>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</si>
  <si>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</si>
  <si>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</si>
  <si>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</si>
  <si>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</si>
  <si>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</si>
  <si>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</si>
  <si>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</si>
  <si>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</si>
  <si>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</si>
  <si>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</si>
  <si>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</si>
  <si>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</si>
  <si>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</si>
  <si>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</si>
  <si>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</si>
  <si>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</si>
  <si>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</si>
  <si>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</si>
  <si>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</si>
  <si>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</si>
  <si>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</si>
  <si>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</si>
  <si>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</si>
  <si>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</si>
  <si>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</si>
  <si>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</si>
  <si>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</si>
  <si>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</si>
  <si>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</si>
  <si>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</si>
  <si>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</si>
  <si>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</si>
  <si>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</si>
  <si>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</si>
  <si>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</si>
  <si>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</si>
  <si>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</si>
  <si>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</si>
  <si>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</si>
  <si>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</si>
  <si>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</si>
  <si>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</si>
  <si>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</si>
  <si>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</si>
  <si>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</si>
  <si>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</si>
  <si>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</si>
  <si>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</si>
  <si>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</si>
  <si>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</si>
  <si>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</si>
  <si>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</si>
  <si>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</si>
  <si>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</si>
  <si>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</si>
  <si>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</si>
  <si>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</si>
  <si>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</si>
  <si>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</si>
  <si>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</si>
  <si>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</si>
  <si>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</si>
  <si>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</si>
  <si>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</si>
  <si>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</si>
  <si>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</si>
  <si>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</si>
  <si>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</si>
  <si>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</si>
  <si>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</si>
  <si>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</si>
  <si>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</si>
  <si>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</si>
  <si>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</si>
  <si>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</si>
  <si>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</si>
  <si>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</si>
  <si>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</si>
  <si>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</si>
  <si>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</si>
  <si>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</si>
  <si>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</si>
  <si>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</si>
  <si>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</si>
  <si>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</si>
  <si>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</si>
  <si>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</si>
  <si>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</si>
  <si>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</si>
  <si>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</si>
  <si>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</si>
  <si>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</si>
  <si>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</si>
  <si>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</si>
  <si>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</si>
  <si>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</si>
  <si>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</si>
  <si>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</si>
  <si>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</si>
  <si>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</si>
  <si>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</si>
  <si>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</si>
  <si>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</si>
  <si>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</si>
  <si>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</si>
  <si>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</si>
  <si>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</si>
  <si>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</si>
  <si>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</si>
  <si>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</si>
  <si>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</si>
  <si>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</si>
  <si>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</si>
  <si>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</si>
  <si>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</si>
  <si>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</si>
  <si>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</si>
  <si>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</si>
  <si>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</si>
  <si>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</si>
  <si>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</si>
  <si>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</si>
  <si>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</si>
  <si>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</si>
  <si>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</si>
  <si>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</si>
  <si>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</si>
  <si>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</si>
  <si>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</si>
  <si>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</si>
  <si>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</si>
  <si>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</si>
  <si>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</si>
  <si>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</si>
  <si>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</si>
  <si>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</si>
  <si>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</si>
  <si>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</si>
  <si>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</si>
  <si>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</si>
  <si>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</si>
  <si>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</si>
  <si>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</si>
  <si>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</si>
  <si>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</si>
  <si>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</si>
  <si>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</si>
  <si>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</si>
  <si>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</si>
  <si>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</si>
  <si>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</si>
  <si>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</si>
  <si>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</si>
  <si>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</si>
  <si>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</si>
  <si>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</si>
  <si>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</si>
  <si>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</si>
  <si>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</si>
  <si>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</si>
  <si>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</si>
  <si>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</si>
  <si>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</si>
  <si>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</si>
  <si>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</si>
  <si>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</si>
  <si>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</si>
  <si>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</si>
  <si>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</si>
  <si>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</si>
  <si>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</si>
  <si>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</si>
  <si>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</si>
  <si>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</si>
  <si>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</si>
  <si>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</si>
  <si>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</si>
  <si>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</si>
  <si>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</si>
  <si>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</si>
  <si>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</si>
  <si>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</si>
  <si>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</si>
  <si>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</si>
  <si>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</si>
  <si>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</si>
  <si>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</si>
  <si>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</si>
  <si>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</si>
  <si>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</si>
  <si>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</si>
  <si>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</si>
  <si>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</si>
  <si>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</si>
  <si>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</si>
  <si>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</si>
  <si>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</si>
  <si>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</si>
  <si>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</si>
  <si>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</si>
  <si>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</si>
  <si>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</si>
  <si>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</si>
  <si>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</si>
  <si>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</si>
  <si>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</si>
  <si>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</si>
  <si>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</si>
  <si>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</si>
  <si>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</si>
  <si>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</si>
  <si>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</si>
  <si>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</si>
  <si>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</si>
  <si>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</si>
  <si>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</si>
  <si>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</si>
  <si>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</si>
  <si>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</si>
  <si>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</si>
  <si>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</si>
  <si>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</si>
  <si>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</si>
  <si>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</si>
  <si>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</si>
  <si>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</si>
  <si>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</si>
  <si>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</si>
  <si>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</si>
  <si>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</si>
  <si>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</si>
  <si>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</si>
  <si>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</si>
  <si>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</si>
  <si>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</si>
  <si>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</si>
  <si>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</si>
  <si>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</si>
  <si>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</si>
  <si>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</si>
  <si>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</si>
  <si>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</si>
  <si>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</si>
  <si>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</si>
  <si>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</si>
  <si>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</si>
  <si>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</si>
  <si>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</si>
  <si>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</si>
  <si>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</si>
  <si>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</si>
  <si>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</si>
  <si>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</si>
  <si>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</si>
  <si>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</si>
  <si>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</si>
  <si>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</si>
  <si>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</si>
  <si>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</si>
  <si>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</si>
  <si>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</si>
  <si>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</si>
  <si>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</si>
  <si>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</si>
  <si>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</si>
  <si>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</si>
  <si>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</si>
  <si>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</si>
  <si>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</si>
  <si>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</si>
  <si>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</si>
  <si>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</si>
  <si>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</si>
  <si>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</si>
  <si>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</si>
  <si>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</si>
  <si>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</si>
  <si>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</si>
  <si>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</si>
  <si>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</si>
  <si>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</si>
  <si>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</si>
  <si>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</si>
  <si>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</si>
  <si>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</si>
  <si>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</si>
  <si>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</si>
  <si>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</si>
  <si>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</si>
  <si>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</si>
  <si>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</si>
  <si>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</si>
  <si>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</si>
  <si>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</si>
  <si>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</si>
  <si>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</si>
  <si>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</si>
  <si>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</si>
  <si>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</si>
  <si>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</si>
  <si>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</si>
  <si>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</si>
  <si>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</si>
  <si>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</si>
  <si>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</si>
  <si>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</si>
  <si>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</si>
  <si>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</si>
  <si>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</si>
  <si>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</si>
  <si>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</si>
  <si>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</si>
  <si>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</si>
  <si>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</si>
  <si>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</si>
  <si>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</si>
  <si>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</si>
  <si>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</si>
  <si>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</si>
  <si>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</si>
  <si>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</si>
  <si>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</si>
  <si>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</si>
  <si>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</si>
  <si>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</si>
  <si>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</si>
  <si>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</si>
  <si>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</si>
  <si>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</si>
  <si>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</si>
  <si>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</si>
  <si>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</si>
  <si>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</si>
  <si>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</si>
  <si>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</si>
  <si>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</si>
  <si>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</si>
  <si>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</si>
  <si>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</si>
  <si>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</si>
  <si>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</si>
  <si>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</si>
  <si>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</si>
  <si>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</si>
  <si>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</si>
  <si>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</si>
  <si>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</si>
  <si>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</si>
  <si>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</si>
  <si>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</si>
  <si>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</si>
  <si>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</si>
  <si>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</si>
  <si>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</si>
  <si>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</si>
  <si>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</si>
  <si>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</si>
  <si>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</si>
  <si>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</si>
  <si>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</si>
  <si>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</si>
  <si>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</si>
  <si>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</si>
  <si>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</si>
  <si>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</si>
  <si>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</si>
  <si>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</si>
  <si>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</si>
  <si>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</si>
  <si>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</si>
  <si>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</si>
  <si>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</si>
  <si>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</si>
  <si>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</si>
  <si>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</si>
  <si>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</si>
  <si>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</si>
  <si>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</si>
  <si>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</si>
  <si>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</si>
  <si>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</si>
  <si>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</si>
  <si>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</si>
  <si>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</si>
  <si>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</si>
  <si>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</si>
  <si>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</si>
  <si>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</si>
  <si>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</si>
  <si>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</si>
  <si>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</si>
  <si>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</si>
  <si>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</si>
  <si>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</si>
  <si>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</si>
  <si>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</si>
  <si>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</si>
  <si>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</si>
  <si>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</si>
  <si>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</si>
  <si>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</si>
  <si>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</si>
  <si>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</si>
  <si>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</si>
  <si>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</si>
  <si>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</si>
  <si>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</si>
  <si>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</si>
  <si>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</si>
  <si>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</si>
  <si>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</si>
  <si>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</si>
  <si>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</si>
  <si>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</si>
  <si>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</si>
  <si>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</si>
  <si>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</si>
  <si>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</si>
  <si>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</si>
  <si>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</si>
  <si>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</si>
  <si>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</si>
  <si>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</si>
  <si>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</si>
  <si>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</si>
  <si>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</si>
  <si>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</si>
  <si>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</si>
  <si>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</si>
  <si>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</si>
  <si>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</si>
  <si>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</si>
  <si>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</si>
  <si>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</si>
  <si>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</si>
  <si>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</si>
  <si>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</si>
  <si>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</si>
  <si>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</si>
  <si>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</si>
  <si>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</si>
  <si>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</si>
  <si>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</si>
  <si>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</si>
  <si>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</si>
  <si>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</si>
  <si>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</si>
  <si>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</si>
  <si>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</si>
  <si>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</si>
  <si>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</si>
  <si>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</si>
  <si>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</si>
  <si>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</si>
  <si>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</si>
  <si>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</si>
  <si>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</si>
  <si>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</si>
  <si>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</si>
  <si>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</si>
  <si>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</si>
  <si>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</si>
  <si>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</si>
  <si>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</si>
  <si>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</si>
  <si>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</si>
  <si>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</si>
  <si>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</si>
  <si>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</si>
  <si>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</si>
  <si>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</si>
  <si>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</si>
  <si>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</si>
  <si>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</si>
  <si>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</si>
  <si>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</si>
  <si>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</si>
  <si>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</si>
  <si>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</si>
  <si>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</si>
  <si>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</si>
  <si>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</si>
  <si>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</si>
  <si>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</si>
  <si>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</si>
  <si>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</si>
  <si>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</si>
  <si>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</si>
  <si>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</si>
  <si>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</si>
  <si>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</si>
  <si>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</si>
  <si>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</si>
  <si>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</si>
  <si>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</si>
  <si>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</si>
  <si>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</si>
  <si>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</si>
  <si>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</si>
  <si>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</si>
  <si>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</si>
  <si>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</si>
  <si>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</si>
  <si>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</si>
  <si>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</si>
  <si>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</si>
  <si>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</si>
  <si>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</si>
  <si>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</si>
  <si>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</si>
  <si>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</si>
  <si>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</si>
  <si>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</si>
  <si>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</si>
  <si>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</si>
  <si>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</si>
  <si>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</si>
  <si>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</si>
  <si>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</si>
  <si>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</si>
  <si>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</si>
  <si>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</si>
  <si>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</si>
  <si>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</si>
  <si>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</si>
  <si>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</si>
  <si>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</si>
  <si>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</si>
  <si>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</si>
  <si>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</si>
  <si>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</si>
  <si>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</si>
  <si>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</si>
  <si>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</si>
  <si>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</si>
  <si>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</si>
  <si>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</si>
  <si>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</si>
  <si>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</si>
  <si>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</si>
  <si>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</si>
  <si>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</si>
  <si>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</si>
  <si>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</si>
  <si>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</si>
  <si>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</si>
  <si>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</si>
  <si>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</si>
  <si>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</si>
  <si>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</si>
  <si>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</si>
  <si>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</si>
  <si>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</si>
  <si>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</si>
  <si>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</si>
  <si>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</si>
  <si>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</si>
  <si>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</si>
  <si>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</si>
  <si>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</si>
  <si>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</si>
  <si>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</si>
  <si>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</si>
  <si>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</si>
  <si>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</si>
  <si>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</si>
  <si>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</si>
  <si>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</si>
  <si>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</si>
  <si>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</si>
  <si>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</si>
  <si>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</si>
  <si>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</si>
  <si>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</si>
  <si>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</si>
  <si>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</si>
  <si>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</si>
  <si>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</si>
  <si>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</si>
  <si>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</si>
  <si>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</si>
  <si>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</si>
  <si>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</si>
  <si>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</si>
  <si>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</si>
  <si>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</si>
  <si>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</si>
  <si>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</si>
  <si>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</si>
  <si>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</si>
  <si>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</si>
  <si>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</si>
  <si>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</si>
  <si>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</si>
  <si>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</si>
  <si>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</si>
  <si>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</si>
  <si>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</si>
  <si>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</si>
  <si>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</si>
  <si>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</si>
  <si>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</si>
  <si>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</si>
  <si>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</si>
  <si>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</si>
  <si>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</si>
  <si>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</si>
  <si>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</si>
  <si>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</si>
  <si>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</si>
  <si>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</si>
  <si>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</si>
  <si>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</si>
  <si>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</si>
  <si>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</si>
  <si>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</si>
  <si>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</si>
  <si>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</si>
  <si>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</si>
  <si>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</si>
  <si>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</si>
  <si>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</si>
  <si>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</si>
  <si>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</si>
  <si>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</si>
  <si>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</si>
  <si>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</si>
  <si>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</si>
  <si>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</si>
  <si>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</si>
  <si>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</si>
  <si>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</si>
  <si>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</si>
  <si>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</si>
  <si>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</si>
  <si>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</si>
  <si>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</si>
  <si>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</si>
  <si>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</si>
  <si>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</si>
  <si>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</si>
  <si>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</si>
  <si>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</si>
  <si>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</si>
  <si>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</si>
  <si>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</si>
  <si>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</si>
  <si>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</si>
  <si>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</si>
  <si>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</si>
  <si>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</si>
  <si>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</si>
  <si>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</si>
  <si>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</si>
  <si>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</si>
  <si>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</si>
  <si>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</si>
  <si>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</si>
  <si>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</si>
  <si>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</si>
  <si>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</si>
  <si>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</si>
  <si>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</si>
  <si>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</si>
  <si>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</si>
  <si>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</si>
  <si>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</si>
  <si>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</si>
  <si>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</si>
  <si>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</si>
  <si>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</si>
  <si>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</si>
  <si>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</si>
  <si>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</si>
  <si>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</si>
  <si>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</si>
  <si>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</si>
  <si>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</si>
  <si>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</si>
  <si>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</si>
  <si>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</si>
  <si>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</si>
  <si>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</si>
  <si>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</si>
  <si>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</si>
  <si>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</si>
  <si>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</si>
  <si>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</si>
  <si>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</si>
  <si>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</si>
  <si>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</si>
  <si>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</si>
  <si>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</si>
  <si>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</si>
  <si>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</si>
  <si>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</si>
  <si>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</si>
  <si>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</si>
  <si>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</si>
  <si>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</si>
  <si>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</si>
  <si>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</si>
  <si>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</si>
  <si>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</si>
  <si>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</si>
  <si>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</si>
  <si>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</si>
  <si>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</si>
  <si>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</si>
  <si>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</si>
  <si>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</si>
  <si>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</si>
  <si>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</si>
  <si>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</si>
  <si>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</si>
  <si>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</si>
  <si>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</si>
  <si>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</si>
  <si>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</si>
  <si>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</si>
  <si>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</si>
  <si>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</si>
  <si>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</si>
  <si>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</si>
  <si>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</si>
  <si>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</si>
  <si>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</si>
  <si>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</si>
  <si>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</si>
  <si>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</si>
  <si>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</si>
  <si>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</si>
  <si>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</si>
  <si>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</si>
  <si>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</si>
  <si>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</si>
  <si>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</si>
  <si>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</si>
  <si>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</si>
  <si>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</si>
  <si>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</si>
  <si>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</si>
  <si>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</si>
  <si>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</si>
  <si>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</si>
  <si>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</si>
  <si>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</si>
  <si>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</si>
  <si>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</si>
  <si>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</si>
  <si>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</si>
  <si>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</si>
  <si>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</si>
  <si>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</si>
  <si>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</si>
  <si>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</si>
  <si>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</si>
  <si>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</si>
  <si>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</si>
  <si>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</si>
  <si>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</si>
  <si>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</si>
  <si>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</si>
  <si>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</si>
  <si>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</si>
  <si>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</si>
  <si>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</si>
  <si>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</si>
  <si>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</si>
  <si>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</si>
  <si>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</si>
  <si>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</si>
  <si>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</si>
  <si>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</si>
  <si>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</si>
  <si>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</si>
  <si>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</si>
  <si>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</si>
  <si>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</si>
  <si>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</si>
  <si>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</si>
  <si>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</si>
  <si>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</si>
  <si>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</si>
  <si>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</si>
  <si>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</si>
  <si>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</si>
  <si>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</si>
  <si>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</si>
  <si>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</si>
  <si>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</si>
  <si>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</si>
  <si>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</si>
  <si>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</si>
  <si>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</si>
  <si>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</si>
  <si>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</si>
  <si>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</si>
  <si>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</si>
  <si>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</si>
  <si>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</si>
  <si>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</si>
  <si>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</si>
  <si>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</si>
  <si>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</si>
  <si>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</si>
  <si>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</si>
  <si>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</si>
  <si>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</si>
  <si>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</si>
  <si>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</si>
  <si>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</si>
  <si>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</si>
  <si>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</si>
  <si>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</si>
  <si>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</si>
  <si>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</si>
  <si>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</si>
  <si>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</si>
  <si>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</si>
  <si>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</si>
  <si>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</si>
  <si>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</si>
  <si>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</si>
  <si>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</si>
  <si>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</si>
  <si>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</si>
  <si>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</si>
  <si>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</si>
  <si>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</si>
  <si>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</si>
  <si>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</si>
  <si>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</si>
  <si>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</si>
  <si>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</si>
  <si>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</si>
  <si>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</si>
  <si>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</si>
  <si>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</si>
  <si>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</si>
  <si>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</si>
  <si>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</si>
  <si>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</si>
  <si>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</si>
  <si>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</si>
  <si>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</si>
  <si>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</si>
  <si>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</si>
  <si>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</si>
  <si>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</si>
  <si>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</si>
  <si>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</si>
  <si>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</si>
  <si>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</si>
  <si>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</si>
  <si>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</si>
  <si>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</si>
  <si>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</si>
  <si>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</si>
  <si>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</si>
  <si>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</si>
  <si>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</si>
  <si>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</si>
  <si>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</si>
  <si>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</si>
  <si>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</si>
  <si>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</si>
  <si>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</si>
  <si>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</si>
  <si>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</si>
  <si>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</si>
  <si>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</si>
  <si>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</si>
  <si>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</si>
  <si>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</si>
  <si>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</si>
  <si>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</si>
  <si>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</si>
  <si>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</si>
  <si>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</si>
  <si>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</si>
  <si>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</si>
  <si>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</si>
  <si>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</si>
  <si>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</si>
  <si>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</si>
  <si>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</si>
  <si>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</si>
  <si>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</si>
  <si>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</si>
  <si>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</si>
  <si>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</si>
  <si>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</si>
  <si>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</si>
  <si>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</si>
  <si>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</si>
  <si>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</si>
  <si>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</si>
  <si>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</si>
  <si>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</si>
  <si>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</si>
  <si>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</si>
  <si>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</si>
  <si>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</si>
  <si>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</si>
  <si>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</si>
  <si>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</si>
  <si>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</si>
  <si>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</si>
  <si>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</si>
  <si>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</si>
  <si>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</si>
  <si>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</si>
  <si>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</si>
  <si>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</si>
  <si>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</si>
  <si>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</si>
  <si>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</si>
  <si>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</si>
  <si>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</si>
  <si>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</si>
  <si>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</si>
  <si>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</si>
  <si>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</si>
  <si>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</si>
  <si>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</si>
  <si>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</si>
  <si>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</si>
  <si>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</si>
  <si>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</si>
  <si>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</si>
  <si>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</si>
  <si>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</si>
  <si>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</si>
  <si>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</si>
  <si>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</si>
  <si>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</si>
  <si>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</si>
  <si>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</si>
  <si>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</si>
  <si>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</si>
  <si>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</si>
  <si>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</si>
  <si>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</si>
  <si>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</si>
  <si>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</si>
  <si>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</si>
  <si>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</si>
  <si>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</si>
  <si>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</si>
  <si>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</si>
  <si>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</si>
  <si>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</si>
  <si>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</si>
  <si>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</si>
  <si>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</si>
  <si>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</si>
  <si>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</si>
  <si>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</si>
  <si>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</si>
  <si>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</si>
  <si>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</si>
  <si>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</si>
  <si>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</si>
  <si>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</si>
  <si>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</si>
  <si>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</si>
  <si>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</si>
  <si>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</si>
  <si>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</si>
  <si>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</si>
  <si>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</si>
  <si>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</si>
  <si>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</si>
  <si>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</si>
  <si>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</si>
  <si>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</si>
  <si>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</si>
  <si>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</si>
  <si>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</si>
  <si>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</si>
  <si>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</si>
  <si>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</si>
  <si>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</si>
  <si>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</si>
  <si>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</si>
  <si>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</si>
  <si>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</si>
  <si>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</si>
  <si>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</si>
  <si>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</si>
  <si>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</si>
  <si>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</si>
  <si>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</si>
  <si>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</si>
  <si>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</si>
  <si>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</si>
  <si>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</si>
  <si>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</si>
  <si>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</si>
  <si>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</si>
  <si>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</si>
  <si>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</si>
  <si>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</si>
  <si>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</si>
  <si>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</si>
  <si>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</si>
  <si>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</si>
  <si>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</si>
  <si>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</si>
  <si>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</si>
  <si>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</si>
  <si>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</si>
  <si>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</si>
  <si>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</si>
  <si>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</si>
  <si>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</si>
  <si>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</si>
  <si>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</si>
  <si>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</si>
  <si>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</si>
  <si>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</si>
  <si>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</si>
  <si>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</si>
  <si>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</si>
  <si>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</si>
  <si>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</si>
  <si>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</si>
  <si>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</si>
  <si>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</si>
  <si>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</si>
  <si>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</si>
  <si>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</si>
  <si>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</si>
  <si>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</si>
  <si>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</si>
  <si>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</si>
  <si>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</si>
  <si>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</si>
  <si>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</si>
  <si>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</si>
  <si>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</si>
  <si>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</si>
  <si>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</si>
  <si>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</si>
  <si>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</si>
  <si>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</si>
  <si>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</si>
  <si>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</si>
  <si>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</si>
  <si>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</si>
  <si>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</si>
  <si>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</si>
  <si>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</si>
  <si>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</si>
  <si>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</si>
  <si>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</si>
  <si>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</si>
  <si>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</si>
  <si>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</si>
  <si>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</si>
  <si>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</si>
  <si>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</si>
  <si>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</si>
  <si>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</si>
  <si>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</si>
  <si>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</si>
  <si>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</si>
  <si>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</si>
  <si>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</si>
  <si>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</si>
  <si>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</si>
  <si>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</si>
  <si>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</si>
  <si>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</si>
  <si>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</si>
  <si>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</si>
  <si>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</si>
  <si>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</si>
  <si>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</si>
  <si>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</si>
  <si>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</si>
  <si>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</si>
  <si>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</si>
  <si>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</si>
  <si>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</si>
  <si>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</si>
  <si>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</si>
  <si>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</si>
  <si>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</si>
  <si>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</si>
  <si>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</si>
  <si>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</si>
  <si>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</si>
  <si>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</si>
  <si>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</si>
  <si>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</si>
  <si>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</si>
  <si>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</si>
  <si>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</si>
  <si>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</si>
  <si>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</si>
  <si>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</si>
  <si>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</si>
  <si>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</si>
  <si>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</si>
  <si>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</si>
  <si>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</si>
  <si>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</si>
  <si>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</si>
  <si>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</si>
  <si>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</si>
  <si>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</si>
  <si>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</si>
  <si>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</si>
  <si>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</si>
  <si>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</si>
  <si>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</si>
  <si>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</si>
  <si>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</si>
  <si>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</si>
  <si>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</si>
  <si>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</si>
  <si>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</si>
  <si>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</si>
  <si>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</si>
  <si>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</si>
  <si>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</si>
  <si>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</si>
  <si>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</si>
  <si>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</si>
  <si>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</si>
  <si>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</si>
  <si>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</si>
  <si>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</si>
  <si>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</si>
  <si>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</si>
  <si>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</si>
  <si>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</si>
  <si>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</si>
  <si>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</si>
  <si>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</si>
  <si>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</si>
  <si>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</si>
  <si>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</si>
  <si>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</si>
  <si>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</si>
  <si>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</si>
  <si>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</si>
  <si>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</si>
  <si>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</si>
  <si>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</si>
  <si>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</si>
  <si>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</si>
  <si>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</si>
  <si>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</si>
  <si>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</si>
  <si>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</si>
  <si>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</si>
  <si>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</si>
  <si>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</si>
  <si>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</si>
  <si>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</si>
  <si>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</si>
  <si>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</si>
  <si>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</si>
  <si>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</si>
  <si>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</si>
  <si>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</si>
  <si>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</si>
  <si>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</si>
  <si>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</si>
  <si>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</si>
  <si>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</si>
  <si>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</si>
  <si>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</si>
  <si>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</si>
  <si>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</si>
  <si>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</si>
  <si>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</si>
  <si>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</si>
  <si>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</si>
  <si>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</si>
  <si>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</si>
  <si>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</si>
  <si>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</si>
  <si>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</si>
  <si>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</si>
  <si>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</si>
  <si>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</si>
  <si>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</si>
  <si>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</si>
  <si>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</si>
  <si>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</si>
  <si>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</si>
  <si>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</si>
  <si>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</si>
  <si>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</si>
  <si>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</si>
  <si>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</si>
  <si>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</si>
  <si>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</si>
  <si>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</si>
  <si>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</si>
  <si>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</si>
  <si>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</si>
  <si>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</si>
  <si>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</si>
  <si>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</si>
  <si>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</si>
  <si>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</si>
  <si>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</si>
  <si>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</si>
  <si>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</si>
  <si>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</si>
  <si>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</si>
  <si>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</si>
  <si>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</si>
  <si>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</si>
  <si>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</si>
  <si>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</si>
  <si>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</si>
  <si>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</si>
  <si>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</si>
  <si>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</si>
  <si>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</si>
  <si>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</si>
  <si>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</si>
  <si>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</si>
  <si>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</si>
  <si>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</si>
  <si>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</si>
  <si>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</si>
  <si>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</si>
  <si>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</si>
  <si>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</si>
  <si>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</si>
  <si>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</si>
  <si>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</si>
  <si>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</si>
  <si>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</si>
  <si>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</si>
  <si>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</si>
  <si>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</si>
  <si>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</si>
  <si>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</si>
  <si>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</si>
  <si>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</si>
  <si>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</si>
  <si>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</si>
  <si>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</si>
  <si>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</si>
  <si>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</si>
  <si>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</si>
  <si>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</si>
  <si>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</si>
  <si>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</si>
  <si>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</si>
  <si>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</si>
  <si>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</si>
  <si>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</si>
  <si>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</si>
  <si>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</si>
  <si>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</si>
  <si>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</si>
  <si>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</si>
  <si>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</si>
  <si>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</si>
  <si>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</si>
  <si>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</si>
  <si>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</si>
  <si>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</si>
  <si>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</si>
  <si>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</si>
  <si>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</si>
  <si>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</si>
  <si>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</si>
  <si>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</si>
  <si>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</si>
  <si>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</si>
  <si>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</si>
  <si>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</si>
  <si>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</si>
  <si>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</si>
  <si>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</si>
  <si>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</si>
  <si>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</si>
  <si>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</si>
  <si>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</si>
  <si>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</si>
  <si>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</si>
  <si>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</si>
  <si>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</si>
  <si>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</si>
  <si>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</si>
  <si>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</si>
  <si>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</si>
  <si>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</si>
  <si>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</si>
  <si>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</si>
  <si>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</si>
  <si>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</si>
  <si>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</si>
  <si>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</si>
  <si>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</si>
  <si>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</si>
  <si>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</si>
  <si>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</si>
  <si>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</si>
  <si>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</si>
  <si>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</si>
  <si>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</si>
  <si>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</si>
  <si>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</si>
  <si>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</si>
  <si>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</si>
  <si>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</si>
  <si>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</si>
  <si>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</si>
  <si>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</si>
  <si>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</si>
  <si>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</si>
  <si>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</si>
  <si>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</si>
  <si>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</si>
  <si>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</si>
  <si>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</si>
  <si>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</si>
  <si>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</si>
  <si>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</si>
  <si>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</si>
  <si>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</si>
  <si>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</si>
  <si>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</si>
  <si>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</si>
  <si>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</si>
  <si>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</si>
  <si>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</si>
  <si>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</si>
  <si>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</si>
  <si>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</si>
  <si>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</si>
  <si>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</si>
  <si>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</si>
  <si>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</si>
  <si>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</si>
  <si>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</si>
  <si>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</si>
  <si>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</si>
  <si>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</si>
  <si>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</si>
  <si>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</si>
  <si>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</si>
  <si>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</si>
  <si>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</si>
  <si>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</si>
  <si>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</si>
  <si>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</si>
  <si>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</si>
  <si>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</si>
  <si>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</si>
  <si>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</si>
  <si>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</si>
  <si>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</si>
  <si>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</si>
  <si>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</si>
  <si>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</si>
  <si>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</si>
  <si>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</si>
  <si>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</si>
  <si>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</si>
  <si>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</si>
  <si>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</si>
  <si>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</si>
  <si>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</si>
  <si>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</si>
  <si>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</si>
  <si>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</si>
  <si>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</si>
  <si>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</si>
  <si>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</si>
  <si>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</si>
  <si>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</si>
  <si>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</si>
  <si>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</si>
  <si>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</si>
  <si>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</si>
  <si>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</si>
  <si>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</si>
  <si>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</si>
  <si>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</si>
  <si>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</si>
  <si>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</si>
  <si>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</si>
  <si>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</si>
  <si>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</si>
  <si>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</si>
  <si>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</si>
  <si>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</si>
  <si>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</si>
  <si>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</si>
  <si>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</si>
  <si>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</si>
  <si>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</si>
  <si>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</si>
  <si>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</si>
  <si>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</si>
  <si>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</si>
  <si>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</si>
  <si>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</si>
  <si>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</si>
  <si>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</si>
  <si>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</si>
  <si>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</si>
  <si>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</si>
  <si>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</si>
  <si>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</si>
  <si>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</si>
  <si>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</si>
  <si>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</si>
  <si>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</si>
  <si>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</si>
  <si>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</si>
  <si>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</si>
  <si>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</si>
  <si>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</si>
  <si>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</si>
  <si>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</si>
  <si>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</si>
  <si>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</si>
  <si>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</si>
  <si>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</si>
  <si>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</si>
  <si>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</si>
  <si>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</si>
  <si>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</si>
  <si>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</si>
  <si>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</si>
  <si>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</si>
  <si>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</si>
  <si>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</si>
  <si>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</si>
  <si>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</si>
  <si>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</si>
  <si>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</si>
  <si>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</si>
  <si>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</si>
  <si>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</si>
  <si>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</si>
  <si>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</si>
  <si>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</si>
  <si>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</si>
  <si>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</si>
  <si>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</si>
  <si>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</si>
  <si>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</si>
  <si>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</si>
  <si>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</si>
  <si>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</si>
  <si>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</si>
  <si>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</si>
  <si>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</si>
  <si>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</si>
  <si>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</si>
  <si>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</si>
  <si>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</si>
  <si>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</si>
  <si>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</si>
  <si>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</si>
  <si>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</si>
  <si>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</si>
  <si>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</si>
  <si>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</si>
  <si>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</si>
  <si>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</si>
  <si>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</si>
  <si>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</si>
  <si>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</si>
  <si>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</si>
  <si>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</si>
  <si>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</si>
  <si>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</si>
  <si>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</si>
  <si>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</si>
  <si>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</si>
  <si>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</si>
  <si>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</si>
  <si>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</si>
  <si>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</si>
  <si>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</si>
  <si>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</si>
  <si>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</si>
  <si>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</si>
  <si>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</si>
  <si>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</si>
  <si>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</si>
  <si>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</si>
  <si>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</si>
  <si>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</si>
  <si>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</si>
  <si>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</si>
  <si>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</si>
  <si>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</si>
  <si>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</si>
  <si>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</si>
  <si>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</si>
  <si>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</si>
  <si>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</si>
  <si>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</si>
  <si>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</si>
  <si>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</si>
  <si>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</si>
  <si>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</si>
  <si>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</si>
  <si>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</si>
  <si>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</si>
  <si>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</si>
  <si>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</si>
  <si>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</si>
  <si>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</si>
  <si>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</si>
  <si>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</si>
  <si>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</si>
  <si>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</si>
  <si>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</si>
  <si>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</si>
  <si>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</si>
  <si>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</si>
  <si>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</si>
  <si>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</si>
  <si>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</si>
  <si>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</si>
  <si>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</si>
  <si>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</si>
  <si>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</si>
  <si>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</si>
  <si>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</si>
  <si>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</si>
  <si>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</si>
  <si>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</si>
  <si>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</si>
  <si>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</si>
  <si>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</si>
  <si>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</si>
  <si>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</si>
  <si>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</si>
  <si>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</si>
  <si>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</si>
  <si>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</si>
  <si>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</si>
  <si>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</si>
  <si>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</si>
  <si>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</si>
  <si>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</si>
  <si>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</si>
  <si>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</si>
  <si>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</si>
  <si>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</si>
  <si>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</si>
  <si>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</si>
  <si>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</si>
  <si>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</si>
  <si>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</si>
  <si>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</si>
  <si>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</si>
  <si>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</si>
  <si>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</si>
  <si>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</si>
  <si>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</si>
  <si>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</si>
  <si>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</si>
  <si>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</si>
  <si>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</si>
  <si>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</si>
  <si>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</si>
  <si>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</si>
  <si>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</si>
  <si>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</si>
  <si>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</si>
  <si>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</si>
  <si>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</si>
  <si>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</si>
  <si>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</si>
  <si>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</si>
  <si>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</si>
  <si>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</si>
  <si>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</si>
  <si>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</si>
  <si>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</si>
  <si>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</si>
  <si>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</si>
  <si>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</si>
  <si>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</si>
  <si>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</si>
  <si>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</si>
  <si>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</si>
  <si>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</si>
  <si>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</si>
  <si>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</si>
  <si>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</si>
  <si>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</si>
  <si>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</si>
  <si>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</si>
  <si>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</si>
  <si>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</si>
  <si>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</si>
  <si>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</si>
  <si>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</si>
  <si>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</si>
  <si>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</si>
  <si>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</si>
  <si>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</si>
  <si>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</si>
  <si>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</si>
  <si>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</si>
  <si>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</si>
  <si>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</si>
  <si>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</si>
  <si>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</si>
  <si>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</si>
  <si>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</si>
  <si>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</si>
  <si>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</si>
  <si>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</si>
  <si>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</si>
  <si>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</si>
  <si>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</si>
  <si>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</si>
  <si>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</si>
  <si>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</si>
  <si>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</si>
  <si>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</si>
  <si>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</si>
  <si>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</si>
  <si>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</si>
  <si>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</si>
  <si>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</si>
  <si>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</si>
  <si>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</si>
  <si>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</si>
  <si>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</si>
  <si>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</si>
  <si>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</si>
  <si>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</si>
  <si>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</si>
  <si>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</si>
  <si>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</si>
  <si>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</si>
  <si>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</si>
  <si>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</si>
  <si>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</si>
  <si>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</si>
  <si>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</si>
  <si>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</si>
  <si>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</si>
  <si>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</si>
  <si>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</si>
  <si>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</si>
  <si>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</si>
  <si>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</si>
  <si>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</si>
  <si>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</si>
  <si>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</si>
  <si>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</si>
  <si>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</si>
  <si>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</si>
  <si>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</si>
  <si>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</si>
  <si>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</si>
  <si>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</si>
  <si>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</si>
  <si>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</si>
  <si>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</si>
  <si>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</si>
  <si>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</si>
  <si>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</si>
  <si>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</si>
  <si>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</si>
  <si>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</si>
  <si>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</si>
  <si>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</si>
  <si>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</si>
  <si>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</si>
  <si>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</si>
  <si>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</si>
  <si>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</si>
  <si>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</si>
  <si>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</si>
  <si>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</si>
  <si>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</si>
  <si>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</si>
  <si>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</si>
  <si>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</si>
  <si>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</si>
  <si>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</si>
  <si>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</si>
  <si>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</si>
  <si>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</si>
  <si>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</si>
  <si>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</si>
  <si>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</si>
  <si>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</si>
  <si>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</si>
  <si>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</si>
  <si>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</si>
  <si>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</si>
  <si>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</si>
  <si>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</si>
  <si>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</si>
  <si>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</si>
  <si>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</si>
  <si>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Adams</t>
  </si>
  <si>
    <t>1416 Maine Street</t>
  </si>
  <si>
    <t>beswicer@qps.org</t>
  </si>
  <si>
    <t>Eryn Beswick</t>
  </si>
  <si>
    <t>217-223-8700</t>
  </si>
  <si>
    <t>217-221-4585</t>
  </si>
  <si>
    <t>Zumbahlen, Eyth, Surratt, Foote &amp; Flynn, Ltd.</t>
  </si>
  <si>
    <t>Valerie L. Flynn, CPA</t>
  </si>
  <si>
    <t>1395 Lincoln Avenue</t>
  </si>
  <si>
    <t>Jacksonville</t>
  </si>
  <si>
    <t>IL</t>
  </si>
  <si>
    <t>217-245-5121</t>
  </si>
  <si>
    <t>217-243-3356</t>
  </si>
  <si>
    <t>vflynn@zescpa.com</t>
  </si>
  <si>
    <t>066.004993</t>
  </si>
  <si>
    <t>U.S. Dept. of Education passed through Illinois State Board of Education:</t>
  </si>
  <si>
    <t>Federal Special Ed Preschool Flow Through (M)</t>
  </si>
  <si>
    <t xml:space="preserve">     Total CFDA 84.173</t>
  </si>
  <si>
    <t>17-4600-00</t>
  </si>
  <si>
    <t>18-4600-00</t>
  </si>
  <si>
    <t>Federal Special Ed IDEA Flow Through (M)</t>
  </si>
  <si>
    <t xml:space="preserve">     Total CFDA 84.027</t>
  </si>
  <si>
    <t>Federal Special Ed Preschool Flow Through (Prepayment $4) (M)</t>
  </si>
  <si>
    <t>17-4620-00</t>
  </si>
  <si>
    <t>18-4620-00</t>
  </si>
  <si>
    <t>TOTAL U.S. DEPT. OF EDUCATION</t>
  </si>
  <si>
    <t>U.S. Dept. of Health and Human Services passed through Illinois Dept. of Healthcare and Family Services:</t>
  </si>
  <si>
    <t>Medicaid Admin Outreach</t>
  </si>
  <si>
    <t xml:space="preserve">     Total CFDA 93.778</t>
  </si>
  <si>
    <t>17-4991-00</t>
  </si>
  <si>
    <t>18-4991-00</t>
  </si>
  <si>
    <t>N/A</t>
  </si>
  <si>
    <t>TOTAL U.S. DEPT. OF HEALTH AND HUMAN SERVICES</t>
  </si>
  <si>
    <t>GRAND TOTAL FEDERAL AWARDS</t>
  </si>
  <si>
    <t>Federal Special Ed IDEA Flow Through (Prepayment $109,802) (M)</t>
  </si>
  <si>
    <t>TOTAL SPECIAL EDUCATION CLUSTER (IDEA)</t>
  </si>
  <si>
    <t>NONE</t>
  </si>
  <si>
    <t>Page 29 - No contracts paid in fiscal year 2018.</t>
  </si>
  <si>
    <t>Page 10, Line 107 Other Local Revenues $11,873 Refunds and Reimbursements</t>
  </si>
  <si>
    <t>Payson CUSD #1, Liberty CUSD #2, Central CUSD #3, Mendon CUSD #4, Quincy PSD #172</t>
  </si>
  <si>
    <t>n/a</t>
  </si>
  <si>
    <t>Medicaid administrative fees deducted from revenues</t>
  </si>
  <si>
    <t>The accompanying Schedule of Expenditures of Federal Awards includes the federal grant activity of Special Education Association of Adams County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</si>
  <si>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Special Education Association of Adams County provided federal awards to subrecipients as follows:</t>
  </si>
  <si>
    <t>The following amounts were expended in the form of non-cash assistance by Special Education Association of Adams County and should be included in the Schedule of Expenditures of Federal Awards:</t>
  </si>
  <si>
    <t>Fed Sp Ed Preschool Flow Through - Payson CUSD No. 1</t>
  </si>
  <si>
    <t>Fed Sp Ed Preschool Flow Through - Liberty CUSD No. 2</t>
  </si>
  <si>
    <t>Fed Sp Ed Preschool Flow Through - Central CUSD No. 3</t>
  </si>
  <si>
    <t>Fed Sp Ed Preschool Flow Through - Mendon CUSD No. 4</t>
  </si>
  <si>
    <t>Fed Sp Ed Preschool Flow Through - Quincy PSD No. 172</t>
  </si>
  <si>
    <t>Fed Sp Ed IDEA Flow Through - Payson CUSD No. 1</t>
  </si>
  <si>
    <t>Fed Sp Ed IDEA Flow Through - Liberty CUSD No. 2</t>
  </si>
  <si>
    <t>Fed Sp Ed IDEA Flow Through - Central CUSD No. 3</t>
  </si>
  <si>
    <t>Fed Sp Ed IDEA Flow Through - Mendon CUSD No. 4</t>
  </si>
  <si>
    <t>Fed Sp Ed IDEA Flow Through - Quincy PSD No. 172</t>
  </si>
  <si>
    <t>Unmodified</t>
  </si>
  <si>
    <t>84.027/84.173</t>
  </si>
  <si>
    <t>Special Education Cluster</t>
  </si>
  <si>
    <t>Internal controls should be in place to monitor and limit expenditures within approved budget guidelines.</t>
  </si>
  <si>
    <t>Actual expenditures were allowed to exceed budgeted expenditures.</t>
  </si>
  <si>
    <t>The Association had actual expenditures in excess of budget of $24,313 in the Educational Fund.</t>
  </si>
  <si>
    <t>The Association did not comply with applicable budget constraints.</t>
  </si>
  <si>
    <t>The Association did amend their budget before year end, however expenditures were not recorded in the general ledger to account for prior year grant paybacks from subgrantees that were withheld from current year reimbursements.  The recording of these amounts resulted in the Association exceeding the budget.</t>
  </si>
  <si>
    <t>The Association should review a comparison of actual expenditures to budgeted expenditures throughout the year.  If the Association will exceed the adopted budget, the Board should amend the budget by the same procedures required of its original adoption.</t>
  </si>
  <si>
    <t>The Association will monitor actual expenditures in relation to budget more closely in the future, and if the budget will be exceeded, the Board will amend the budget by the same procedures required of its original adoption.</t>
  </si>
  <si>
    <t>2017 and 2018 Special Education Cluster</t>
  </si>
  <si>
    <t>17-4600/18-4600/17-4620/18-4620</t>
  </si>
  <si>
    <t>Illinois State Board of Education</t>
  </si>
  <si>
    <t>U.S. Dept. of Education</t>
  </si>
  <si>
    <t>SEE FINDING 2018-001</t>
  </si>
  <si>
    <t>2017-001</t>
  </si>
  <si>
    <t>2017-002</t>
  </si>
  <si>
    <t>2017-003</t>
  </si>
  <si>
    <t>2017-004</t>
  </si>
  <si>
    <t>2017-005</t>
  </si>
  <si>
    <t>2017-006</t>
  </si>
  <si>
    <t>2017-007</t>
  </si>
  <si>
    <t>2017-009</t>
  </si>
  <si>
    <t>2017-008</t>
  </si>
  <si>
    <t>Duties regarding grant expenditures/reporting of Special Education Association of Adams County and Quincy Public School District No. 172 are being performed by the same personnel.</t>
  </si>
  <si>
    <t>Resolved</t>
  </si>
  <si>
    <t>See Finding 2017-001 above</t>
  </si>
  <si>
    <t>Resolved - See Finding 2017-001 above</t>
  </si>
  <si>
    <t>Quincy Public School District No. 172 (subrecipient) was reimbursed for submitted expenditures over their approved grant budget.</t>
  </si>
  <si>
    <t>On the final expenditure report for the 2016 grant year, payments to Quincy Public School District No. 172 (subrecipient) were under-reported.</t>
  </si>
  <si>
    <t>Two subrecipients were not reimbursed the total amount of their approved submitted expenditures for grant year 2016.</t>
  </si>
  <si>
    <t>Quincy Public School District No. 172 (subrecipient) was reimbursed in excess of actual costs incurred.</t>
  </si>
  <si>
    <t>One subrecipient was reimbursed for submitted expenditures over their approved grant budget.</t>
  </si>
  <si>
    <t>Three subrecipients were not reimbursed the total amount of their approved submitted expenditures for grant year 2016.</t>
  </si>
  <si>
    <t>One subrecipient was not reimbursed the total amount of their approved submitted expenditures as of 6/30/17.</t>
  </si>
  <si>
    <t xml:space="preserve">Internal controls should provide for a review of reimbursements paid to Quincy Public School District No. 172 (District) for agreement with expenditure reports filed by the District.  Internal controls should also provide for a review of expenditure reports submitted to ISBE by Special Education Association of Adams County (Association). </t>
  </si>
  <si>
    <t>The District submits expenditure reports to the Association in order to receive reimbursements for monies spent by the District through the IDEA Special Education grants.  Also, the Association submits expenditure reports to ISBE in order to receive reimbursements for monies spent by the Association as well as reimbursements paid to subrecipients.</t>
  </si>
  <si>
    <t>Reimbursements paid to Quincy Public School District No. 172 are not being compared to submitted expenditure reports for agreement.  Also, expenditure reports submitted to ISBE by the Association are not being reviewed appropriately for accuracy.</t>
  </si>
  <si>
    <t>The District has been reimbursed by the Association amounts that differ from the amounts requested by the District.  In certain instances, such as where the grant year has already been closed, this has resulted in lost revenue to the District due to reimbursements paid to them for less than requested and documented.  Also, the Association has submitted expenditure reports to ISBE that under-reported what was actually paid to subgrantees.</t>
  </si>
  <si>
    <t>The Association should reconcile reimbursements paid to the District with amounts requested through expenditure reports filed by the District.  If the amounts differ, the Association should work with the District to determine the cause of the difference, such as disapproved expenditures or clerical errors.  Also, on all future expenditure reports submitted to ISBE by the Association, the Association should review the reports for accuracy and completeness before submitting them to ISBE.</t>
  </si>
  <si>
    <t>The Association will review and reconcile amounts paid to the District with amounts requested by the District on a timely basis.  If there are differences in the amounts, the Association will work with the District to determine the cause, and reflect any necessary changes in the records of the Association.  Also, the Association will more closely review expenditure reports submitted by them to ISBE for accuracy and completeness before submission.  This will ensure that the Association is reimbursed for all monies spent by the Association, as well as all monies paid to subgrantees.</t>
  </si>
  <si>
    <t>There is no subsequent review and reconciliation of expenditure reports to reimbursements before the reimbursement is paid to the District from the Association.  Also, expenditure reports submitted to ISBE by the Association are not being thoroughly reviewed for accuracy before submission.</t>
  </si>
  <si>
    <t>Quincy, Illinois</t>
  </si>
  <si>
    <t>Sp Ed Association of Adams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</si>
</sst>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2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52" fillId="0" borderId="22" xfId="3" applyNumberFormat="1" applyFont="1" applyBorder="1" applyAlignment="1" applyProtection="1">
      <alignment horizontal="left" vertical="center" wrapText="1"/>
      <protection locked="0"/>
    </xf>
    <xf numFmtId="169" fontId="52" fillId="0" borderId="22" xfId="3" applyNumberFormat="1" applyFont="1" applyBorder="1" applyAlignment="1" applyProtection="1">
      <alignment horizontal="center"/>
      <protection locked="0"/>
    </xf>
    <xf numFmtId="1" fontId="52" fillId="0" borderId="22" xfId="3" applyNumberFormat="1" applyFont="1" applyBorder="1" applyAlignment="1" applyProtection="1">
      <alignment horizontal="center"/>
      <protection locked="0"/>
    </xf>
    <xf numFmtId="3" fontId="52" fillId="0" borderId="22" xfId="3" applyNumberFormat="1" applyFont="1" applyBorder="1" applyAlignment="1" applyProtection="1">
      <alignment horizontal="center"/>
      <protection locked="0"/>
    </xf>
    <xf numFmtId="3" fontId="52"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55" fillId="0" borderId="0" xfId="3" applyFont="1" applyAlignment="1" applyProtection="1">
      <alignment horizontal="justify" vertical="top" wrapText="1"/>
      <protection locked="0"/>
    </xf>
    <xf numFmtId="0" fontId="55" fillId="0" borderId="0" xfId="3" applyFont="1" applyBorder="1" applyAlignment="1" applyProtection="1">
      <alignment horizontal="justify" vertical="top" wrapText="1"/>
      <protection locked="0"/>
    </xf>
    <xf numFmtId="0" fontId="55" fillId="0" borderId="0" xfId="3" applyFont="1" applyBorder="1" applyAlignment="1" applyProtection="1">
      <alignment horizontal="center" vertical="top" wrapText="1"/>
      <protection locked="0"/>
    </xf>
    <xf numFmtId="0" fontId="55" fillId="0" borderId="0" xfId="3" applyFont="1" applyAlignment="1" applyProtection="1">
      <alignment horizontal="center" vertical="top" wrapText="1"/>
      <protection locked="0"/>
    </xf>
    <xf numFmtId="179" fontId="55" fillId="0" borderId="0" xfId="3" applyNumberFormat="1" applyFont="1" applyBorder="1" applyAlignment="1" applyProtection="1">
      <alignment horizontal="center"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Alignment="1" applyProtection="1">
      <alignment horizontal="justify"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center"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3</xdr:row>
          <xdr:rowOff>161925</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8</xdr:row>
          <xdr:rowOff>161925</xdr:rowOff>
        </xdr:to>
        <xdr:sp macro="" textlink="">
          <xdr:nvSpPr>
            <xdr:cNvPr id="51204" name="Object 4" hidden="1">
              <a:extLst>
                <a:ext uri="{63B3BB69-23CF-44E3-9099-C40C66FF867C}">
                  <a14:compatExt spid="_x0000_s51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914400</xdr:colOff>
          <xdr:row>3</xdr:row>
          <xdr:rowOff>161925</xdr:rowOff>
        </xdr:to>
        <xdr:sp macro="" textlink="">
          <xdr:nvSpPr>
            <xdr:cNvPr id="51205" name="Object 5" hidden="1">
              <a:extLst>
                <a:ext uri="{63B3BB69-23CF-44E3-9099-C40C66FF867C}">
                  <a14:compatExt spid="_x0000_s51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3</xdr:col>
          <xdr:colOff>914400</xdr:colOff>
          <xdr:row>8</xdr:row>
          <xdr:rowOff>161925</xdr:rowOff>
        </xdr:to>
        <xdr:sp macro="" textlink="">
          <xdr:nvSpPr>
            <xdr:cNvPr id="51206" name="Object 6" hidden="1">
              <a:extLst>
                <a:ext uri="{63B3BB69-23CF-44E3-9099-C40C66FF867C}">
                  <a14:compatExt spid="_x0000_s51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6</xdr:col>
          <xdr:colOff>57150</xdr:colOff>
          <xdr:row>3</xdr:row>
          <xdr:rowOff>161925</xdr:rowOff>
        </xdr:to>
        <xdr:sp macro="" textlink="">
          <xdr:nvSpPr>
            <xdr:cNvPr id="51207" name="Object 7" hidden="1">
              <a:extLst>
                <a:ext uri="{63B3BB69-23CF-44E3-9099-C40C66FF867C}">
                  <a14:compatExt spid="_x0000_s512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57150</xdr:colOff>
          <xdr:row>8</xdr:row>
          <xdr:rowOff>161925</xdr:rowOff>
        </xdr:to>
        <xdr:sp macro="" textlink="">
          <xdr:nvSpPr>
            <xdr:cNvPr id="51208" name="Object 8" hidden="1">
              <a:extLst>
                <a:ext uri="{63B3BB69-23CF-44E3-9099-C40C66FF867C}">
                  <a14:compatExt spid="_x0000_s512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8659</xdr:colOff>
          <xdr:row>0</xdr:row>
          <xdr:rowOff>0</xdr:rowOff>
        </xdr:from>
        <xdr:to>
          <xdr:col>8</xdr:col>
          <xdr:colOff>140277</xdr:colOff>
          <xdr:row>4</xdr:row>
          <xdr:rowOff>48491</xdr:rowOff>
        </xdr:to>
        <xdr:sp macro="" textlink="">
          <xdr:nvSpPr>
            <xdr:cNvPr id="51209" name="Object 9" hidden="1">
              <a:extLst>
                <a:ext uri="{63B3BB69-23CF-44E3-9099-C40C66FF867C}">
                  <a14:compatExt spid="_x0000_s512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104775</xdr:colOff>
          <xdr:row>8</xdr:row>
          <xdr:rowOff>161925</xdr:rowOff>
        </xdr:to>
        <xdr:sp macro="" textlink="">
          <xdr:nvSpPr>
            <xdr:cNvPr id="51210" name="Object 10" hidden="1">
              <a:extLst>
                <a:ext uri="{63B3BB69-23CF-44E3-9099-C40C66FF867C}">
                  <a14:compatExt spid="_x0000_s512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2" t="s">
        <v>425</v>
      </c>
      <c r="J1" s="2023"/>
      <c r="K1" s="2023"/>
      <c r="L1" s="2023"/>
      <c r="M1" s="2023"/>
      <c r="N1" s="2023"/>
      <c r="O1" s="2023"/>
      <c r="P1" s="2023"/>
      <c r="Q1" s="2023"/>
      <c r="R1" s="2023"/>
      <c r="S1" s="2023"/>
    </row>
    <row r="2" spans="1:28" ht="12" customHeight="1" x14ac:dyDescent="0.2">
      <c r="A2" s="47" t="s">
        <v>1684</v>
      </c>
      <c r="D2" s="48"/>
      <c r="I2" s="2024" t="s">
        <v>1036</v>
      </c>
      <c r="J2" s="2023"/>
      <c r="K2" s="2023"/>
      <c r="L2" s="2023"/>
      <c r="M2" s="2023"/>
      <c r="N2" s="2023"/>
      <c r="O2" s="2023"/>
      <c r="P2" s="2023"/>
      <c r="Q2" s="2023"/>
      <c r="R2" s="2023"/>
      <c r="S2" s="2023"/>
    </row>
    <row r="3" spans="1:28" ht="12" customHeight="1" x14ac:dyDescent="0.2">
      <c r="A3" s="155" t="s">
        <v>1685</v>
      </c>
      <c r="B3" s="156"/>
      <c r="C3" s="156"/>
      <c r="D3" s="157"/>
      <c r="I3" s="2024" t="s">
        <v>54</v>
      </c>
      <c r="J3" s="2023"/>
      <c r="K3" s="2023"/>
      <c r="L3" s="2023"/>
      <c r="M3" s="2023"/>
      <c r="N3" s="2023"/>
      <c r="O3" s="2023"/>
      <c r="P3" s="2023"/>
      <c r="Q3" s="2023"/>
      <c r="R3" s="2023"/>
      <c r="S3" s="2023"/>
    </row>
    <row r="4" spans="1:28" ht="12" customHeight="1" x14ac:dyDescent="0.2">
      <c r="A4" s="37"/>
      <c r="I4" s="2024" t="s">
        <v>545</v>
      </c>
      <c r="J4" s="2023"/>
      <c r="K4" s="2023"/>
      <c r="L4" s="2023"/>
      <c r="M4" s="2023"/>
      <c r="N4" s="2023"/>
      <c r="O4" s="2023"/>
      <c r="P4" s="2023"/>
      <c r="Q4" s="2023"/>
      <c r="R4" s="2023"/>
      <c r="S4" s="2023"/>
    </row>
    <row r="5" spans="1:28" ht="14.1" customHeight="1" x14ac:dyDescent="0.2">
      <c r="B5" s="104"/>
      <c r="C5" s="26" t="s">
        <v>966</v>
      </c>
      <c r="D5" s="84"/>
      <c r="E5" s="84"/>
      <c r="H5" s="38"/>
      <c r="I5" s="2032" t="s">
        <v>701</v>
      </c>
      <c r="J5" s="2031"/>
      <c r="K5" s="2031"/>
      <c r="L5" s="2031"/>
      <c r="M5" s="2031"/>
      <c r="N5" s="2031"/>
      <c r="O5" s="2031"/>
      <c r="P5" s="2031"/>
      <c r="Q5" s="2031"/>
      <c r="R5" s="2031"/>
      <c r="S5" s="2031"/>
    </row>
    <row r="6" spans="1:28" ht="14.1" customHeight="1" x14ac:dyDescent="0.2">
      <c r="B6" s="104" t="s">
        <v>2073</v>
      </c>
      <c r="C6" s="26" t="s">
        <v>967</v>
      </c>
      <c r="D6" s="84"/>
      <c r="E6" s="84"/>
      <c r="I6" s="2030" t="s">
        <v>938</v>
      </c>
      <c r="J6" s="2031"/>
      <c r="K6" s="2031"/>
      <c r="L6" s="2031"/>
      <c r="M6" s="2031"/>
      <c r="N6" s="2031"/>
      <c r="O6" s="2031"/>
      <c r="P6" s="2031"/>
      <c r="Q6" s="2031"/>
      <c r="R6" s="2031"/>
      <c r="S6" s="2031"/>
    </row>
    <row r="7" spans="1:28" ht="12.2" customHeight="1" x14ac:dyDescent="0.2">
      <c r="I7" s="2025">
        <v>43281</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695</v>
      </c>
      <c r="J9" s="2028"/>
      <c r="K9" s="2028"/>
      <c r="L9" s="2028"/>
      <c r="M9" s="2028"/>
      <c r="N9" s="2028"/>
      <c r="O9" s="2028"/>
      <c r="P9" s="2028"/>
      <c r="Q9" s="2028"/>
      <c r="R9" s="2028"/>
      <c r="S9" s="2029"/>
      <c r="T9" s="2043" t="s">
        <v>554</v>
      </c>
      <c r="U9" s="2044"/>
      <c r="V9" s="2044"/>
      <c r="W9" s="2044"/>
      <c r="X9" s="2044"/>
      <c r="Y9" s="2044"/>
      <c r="Z9" s="2044"/>
      <c r="AA9" s="2045"/>
    </row>
    <row r="10" spans="1:28" ht="13.5" customHeight="1" x14ac:dyDescent="0.2">
      <c r="A10" s="2050" t="s">
        <v>696</v>
      </c>
      <c r="B10" s="2051"/>
      <c r="C10" s="2051"/>
      <c r="D10" s="2051"/>
      <c r="E10" s="2051"/>
      <c r="F10" s="2051"/>
      <c r="G10" s="2051"/>
      <c r="H10" s="2052"/>
      <c r="I10" s="29"/>
      <c r="J10" s="30"/>
      <c r="K10" s="28"/>
      <c r="R10" s="30"/>
      <c r="S10" s="30"/>
      <c r="T10" s="2046"/>
      <c r="U10" s="2031"/>
      <c r="V10" s="2031"/>
      <c r="W10" s="2031"/>
      <c r="X10" s="2031"/>
      <c r="Y10" s="2031"/>
      <c r="Z10" s="2031"/>
      <c r="AA10" s="2037"/>
    </row>
    <row r="11" spans="1:28" ht="14.25" customHeight="1" x14ac:dyDescent="0.2">
      <c r="A11" s="2053" t="s">
        <v>1012</v>
      </c>
      <c r="B11" s="2054"/>
      <c r="C11" s="2054"/>
      <c r="D11" s="2054"/>
      <c r="E11" s="2054"/>
      <c r="F11" s="2054"/>
      <c r="G11" s="2054"/>
      <c r="H11" s="2055"/>
      <c r="I11" s="27"/>
      <c r="J11" s="74"/>
      <c r="K11" s="27"/>
      <c r="O11" s="148" t="s">
        <v>2073</v>
      </c>
      <c r="P11" s="100" t="s">
        <v>210</v>
      </c>
      <c r="Q11" s="30"/>
      <c r="R11" s="28"/>
      <c r="S11" s="27"/>
      <c r="T11" s="2047"/>
      <c r="U11" s="2048"/>
      <c r="V11" s="2048"/>
      <c r="W11" s="2048"/>
      <c r="X11" s="2048"/>
      <c r="Y11" s="2048"/>
      <c r="Z11" s="2048"/>
      <c r="AA11" s="204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7">
        <v>1001172061</v>
      </c>
      <c r="B13" s="2058"/>
      <c r="C13" s="2058"/>
      <c r="D13" s="2058"/>
      <c r="E13" s="2058"/>
      <c r="F13" s="2058"/>
      <c r="G13" s="2058"/>
      <c r="H13" s="2059"/>
      <c r="I13" s="31"/>
      <c r="J13" s="30"/>
      <c r="K13" s="28"/>
      <c r="L13" s="30"/>
      <c r="M13" s="30"/>
      <c r="N13" s="30"/>
      <c r="O13" s="30"/>
      <c r="P13" s="30"/>
      <c r="Q13" s="30"/>
      <c r="R13" s="30"/>
      <c r="S13" s="30"/>
      <c r="T13" s="2062" t="s">
        <v>2080</v>
      </c>
      <c r="U13" s="2063"/>
      <c r="V13" s="2063"/>
      <c r="W13" s="2063"/>
      <c r="X13" s="2063"/>
      <c r="Y13" s="2064"/>
      <c r="Z13" s="2064"/>
      <c r="AA13" s="206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6" t="s">
        <v>2074</v>
      </c>
      <c r="B15" s="2060"/>
      <c r="C15" s="2060"/>
      <c r="D15" s="2060"/>
      <c r="E15" s="2060"/>
      <c r="F15" s="2060"/>
      <c r="G15" s="2060"/>
      <c r="H15" s="2061"/>
      <c r="T15" s="2066" t="s">
        <v>2081</v>
      </c>
      <c r="U15" s="2010"/>
      <c r="V15" s="2010"/>
      <c r="W15" s="2010"/>
      <c r="X15" s="2010"/>
      <c r="Y15" s="2067"/>
      <c r="Z15" s="2067"/>
      <c r="AA15" s="206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6" t="s">
        <v>2172</v>
      </c>
      <c r="B17" s="2017"/>
      <c r="C17" s="2017"/>
      <c r="D17" s="2017"/>
      <c r="E17" s="2017"/>
      <c r="F17" s="2017"/>
      <c r="G17" s="2017"/>
      <c r="H17" s="2042"/>
      <c r="T17" s="2073" t="s">
        <v>2082</v>
      </c>
      <c r="U17" s="2074"/>
      <c r="V17" s="2074"/>
      <c r="W17" s="2074"/>
      <c r="X17" s="2074"/>
      <c r="Y17" s="2074"/>
      <c r="Z17" s="2074"/>
      <c r="AA17" s="2075"/>
    </row>
    <row r="18" spans="1:27" ht="13.5" customHeight="1" x14ac:dyDescent="0.2">
      <c r="A18" s="85" t="s">
        <v>551</v>
      </c>
      <c r="B18" s="76"/>
      <c r="C18" s="72"/>
      <c r="D18" s="76"/>
      <c r="E18" s="76"/>
      <c r="F18" s="76"/>
      <c r="G18" s="76"/>
      <c r="H18" s="56"/>
      <c r="I18" s="2041" t="s">
        <v>697</v>
      </c>
      <c r="J18" s="1992"/>
      <c r="K18" s="1992"/>
      <c r="L18" s="1992"/>
      <c r="M18" s="1992"/>
      <c r="N18" s="1992"/>
      <c r="O18" s="1992"/>
      <c r="P18" s="1992"/>
      <c r="Q18" s="1992"/>
      <c r="R18" s="1992"/>
      <c r="S18" s="1993"/>
      <c r="T18" s="85" t="s">
        <v>735</v>
      </c>
      <c r="U18" s="51"/>
      <c r="V18" s="72"/>
      <c r="W18" s="50"/>
      <c r="X18" s="85" t="s">
        <v>284</v>
      </c>
      <c r="Y18" s="81"/>
      <c r="Z18" s="159" t="s">
        <v>698</v>
      </c>
      <c r="AA18" s="46"/>
    </row>
    <row r="19" spans="1:27" ht="13.5" customHeight="1" x14ac:dyDescent="0.2">
      <c r="A19" s="2056" t="s">
        <v>2075</v>
      </c>
      <c r="B19" s="2002"/>
      <c r="C19" s="2002"/>
      <c r="D19" s="2002"/>
      <c r="E19" s="2002"/>
      <c r="F19" s="2002"/>
      <c r="G19" s="2002"/>
      <c r="H19" s="1982"/>
      <c r="I19" s="30"/>
      <c r="J19" s="99"/>
      <c r="K19" s="40"/>
      <c r="L19" s="38"/>
      <c r="M19" s="112" t="s">
        <v>333</v>
      </c>
      <c r="P19" s="27"/>
      <c r="Q19" s="27"/>
      <c r="R19" s="27"/>
      <c r="S19" s="31"/>
      <c r="T19" s="2056" t="s">
        <v>2083</v>
      </c>
      <c r="U19" s="1981"/>
      <c r="V19" s="1981"/>
      <c r="W19" s="1982"/>
      <c r="X19" s="2071" t="s">
        <v>2084</v>
      </c>
      <c r="Y19" s="2072"/>
      <c r="Z19" s="2069">
        <v>62650</v>
      </c>
      <c r="AA19" s="207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0" t="s">
        <v>2171</v>
      </c>
      <c r="B21" s="1981"/>
      <c r="C21" s="1981"/>
      <c r="D21" s="1981"/>
      <c r="E21" s="1981"/>
      <c r="F21" s="1981"/>
      <c r="G21" s="1981"/>
      <c r="H21" s="1982"/>
      <c r="I21" s="2036" t="s">
        <v>699</v>
      </c>
      <c r="J21" s="2031"/>
      <c r="K21" s="2031"/>
      <c r="L21" s="2031"/>
      <c r="M21" s="2031"/>
      <c r="N21" s="2031"/>
      <c r="O21" s="2031"/>
      <c r="P21" s="2031"/>
      <c r="Q21" s="2031"/>
      <c r="R21" s="2031"/>
      <c r="S21" s="2037"/>
      <c r="T21" s="2081" t="s">
        <v>2085</v>
      </c>
      <c r="U21" s="2082"/>
      <c r="V21" s="2082"/>
      <c r="W21" s="2082"/>
      <c r="X21" s="2087" t="s">
        <v>2086</v>
      </c>
      <c r="Y21" s="2088"/>
      <c r="Z21" s="2088"/>
      <c r="AA21" s="2089"/>
    </row>
    <row r="22" spans="1:27" ht="13.5" customHeight="1" x14ac:dyDescent="0.2">
      <c r="A22" s="87" t="s">
        <v>552</v>
      </c>
      <c r="B22" s="59"/>
      <c r="C22" s="59"/>
      <c r="D22" s="59"/>
      <c r="E22" s="59"/>
      <c r="F22" s="59"/>
      <c r="G22" s="59"/>
      <c r="H22" s="60"/>
      <c r="I22" s="2038" t="s">
        <v>1504</v>
      </c>
      <c r="J22" s="2039"/>
      <c r="K22" s="2039"/>
      <c r="L22" s="2039"/>
      <c r="M22" s="2039"/>
      <c r="N22" s="2039"/>
      <c r="O22" s="2039"/>
      <c r="P22" s="2039"/>
      <c r="Q22" s="2039"/>
      <c r="R22" s="2039"/>
      <c r="S22" s="2040"/>
      <c r="T22" s="85" t="s">
        <v>1596</v>
      </c>
      <c r="U22" s="51"/>
      <c r="V22" s="72"/>
      <c r="W22" s="51"/>
      <c r="X22" s="160" t="s">
        <v>1385</v>
      </c>
      <c r="Z22" s="45"/>
      <c r="AA22" s="46"/>
    </row>
    <row r="23" spans="1:27" ht="13.5" customHeight="1" x14ac:dyDescent="0.2">
      <c r="A23" s="2033" t="s">
        <v>2076</v>
      </c>
      <c r="B23" s="2034"/>
      <c r="C23" s="2034"/>
      <c r="D23" s="2034"/>
      <c r="E23" s="2034"/>
      <c r="F23" s="2034"/>
      <c r="G23" s="2034"/>
      <c r="H23" s="2035"/>
      <c r="T23" s="2079" t="s">
        <v>2088</v>
      </c>
      <c r="U23" s="2080"/>
      <c r="V23" s="2080"/>
      <c r="W23" s="2080"/>
      <c r="X23" s="2084">
        <v>43422</v>
      </c>
      <c r="Y23" s="2085"/>
      <c r="Z23" s="2085"/>
      <c r="AA23" s="2086"/>
    </row>
    <row r="24" spans="1:27" ht="14.1" customHeight="1" x14ac:dyDescent="0.2">
      <c r="A24" s="88" t="s">
        <v>698</v>
      </c>
      <c r="B24" s="49"/>
      <c r="C24" s="49"/>
      <c r="D24" s="49"/>
      <c r="E24" s="49"/>
      <c r="F24" s="49"/>
      <c r="G24" s="49"/>
      <c r="H24" s="61"/>
      <c r="J24" s="2003" t="str">
        <f>IF(B5="x",IF(AUDITCHECK!D29="AFR form Incomplete.","",IF(AUDITCHECK!D29="Deficit reduction plan is required.","School District must complete a deficit reduction plan in the 2018-2019 Budget",)),"")</f>
        <v/>
      </c>
      <c r="K24" s="2003"/>
      <c r="L24" s="2003"/>
      <c r="M24" s="2003"/>
      <c r="N24" s="2003"/>
      <c r="O24" s="2003"/>
      <c r="P24" s="2003"/>
      <c r="Q24" s="2003"/>
      <c r="R24" s="2003"/>
      <c r="S24" s="2004"/>
      <c r="T24" s="105" t="s">
        <v>552</v>
      </c>
      <c r="U24" s="106"/>
      <c r="V24" s="106"/>
      <c r="W24" s="106"/>
      <c r="X24" s="107"/>
      <c r="Y24" s="107"/>
      <c r="Z24" s="107"/>
      <c r="AA24" s="108"/>
    </row>
    <row r="25" spans="1:27" ht="14.1" customHeight="1" x14ac:dyDescent="0.2">
      <c r="A25" s="1980">
        <v>62301</v>
      </c>
      <c r="B25" s="1981"/>
      <c r="C25" s="1981"/>
      <c r="D25" s="1981"/>
      <c r="E25" s="1981"/>
      <c r="F25" s="1981"/>
      <c r="G25" s="1981"/>
      <c r="H25" s="1982"/>
      <c r="I25" s="113"/>
      <c r="J25" s="2005"/>
      <c r="K25" s="2005"/>
      <c r="L25" s="2005"/>
      <c r="M25" s="2005"/>
      <c r="N25" s="2005"/>
      <c r="O25" s="2005"/>
      <c r="P25" s="2005"/>
      <c r="Q25" s="2005"/>
      <c r="R25" s="2005"/>
      <c r="S25" s="2006"/>
      <c r="T25" s="2076" t="s">
        <v>2087</v>
      </c>
      <c r="U25" s="2077"/>
      <c r="V25" s="2077"/>
      <c r="W25" s="2077"/>
      <c r="X25" s="2077"/>
      <c r="Y25" s="2077"/>
      <c r="Z25" s="2077"/>
      <c r="AA25" s="20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1" t="s">
        <v>1591</v>
      </c>
      <c r="J27" s="1992"/>
      <c r="K27" s="1992"/>
      <c r="L27" s="1992"/>
      <c r="M27" s="1992"/>
      <c r="N27" s="1992"/>
      <c r="O27" s="1992"/>
      <c r="P27" s="1992"/>
      <c r="Q27" s="1992"/>
      <c r="R27" s="1992"/>
      <c r="S27" s="199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6" t="s">
        <v>2077</v>
      </c>
      <c r="B38" s="2017"/>
      <c r="C38" s="2017"/>
      <c r="D38" s="2017"/>
      <c r="E38" s="2017"/>
      <c r="F38" s="1981"/>
      <c r="G38" s="1981"/>
      <c r="H38" s="1982"/>
      <c r="I38" s="2009"/>
      <c r="J38" s="2010"/>
      <c r="K38" s="2010"/>
      <c r="L38" s="2010"/>
      <c r="M38" s="2010"/>
      <c r="N38" s="2010"/>
      <c r="O38" s="2010"/>
      <c r="P38" s="2011"/>
      <c r="Q38" s="2011"/>
      <c r="R38" s="2011"/>
      <c r="S38" s="2012"/>
      <c r="T38" s="2066"/>
      <c r="U38" s="2010"/>
      <c r="V38" s="2010"/>
      <c r="W38" s="2010"/>
      <c r="X38" s="2011"/>
      <c r="Y38" s="2011"/>
      <c r="Z38" s="2011"/>
      <c r="AA38" s="2012"/>
    </row>
    <row r="39" spans="1:27" ht="12" customHeight="1" x14ac:dyDescent="0.2">
      <c r="A39" s="1986" t="s">
        <v>552</v>
      </c>
      <c r="B39" s="1987"/>
      <c r="C39" s="72"/>
      <c r="D39" s="69"/>
      <c r="E39" s="69"/>
      <c r="F39" s="79"/>
      <c r="G39" s="69"/>
      <c r="H39" s="56"/>
      <c r="I39" s="1986" t="s">
        <v>552</v>
      </c>
      <c r="J39" s="1987"/>
      <c r="K39" s="1987"/>
      <c r="L39" s="1987"/>
      <c r="M39" s="1987"/>
      <c r="N39" s="67"/>
      <c r="O39" s="72"/>
      <c r="P39" s="72"/>
      <c r="Q39" s="78"/>
      <c r="R39" s="72"/>
      <c r="S39" s="56"/>
      <c r="T39" s="72" t="s">
        <v>552</v>
      </c>
      <c r="U39" s="51"/>
      <c r="V39" s="72"/>
      <c r="W39" s="50"/>
      <c r="X39" s="78"/>
      <c r="Y39" s="45"/>
      <c r="Z39" s="45"/>
      <c r="AA39" s="46"/>
    </row>
    <row r="40" spans="1:27" ht="13.5" customHeight="1" x14ac:dyDescent="0.2">
      <c r="A40" s="1994" t="s">
        <v>2076</v>
      </c>
      <c r="B40" s="1995"/>
      <c r="C40" s="1996"/>
      <c r="D40" s="1996"/>
      <c r="E40" s="1996"/>
      <c r="F40" s="1997"/>
      <c r="G40" s="1997"/>
      <c r="H40" s="1998"/>
      <c r="I40" s="2019"/>
      <c r="J40" s="2020"/>
      <c r="K40" s="2020"/>
      <c r="L40" s="2020"/>
      <c r="M40" s="2020"/>
      <c r="N40" s="2020"/>
      <c r="O40" s="2020"/>
      <c r="P40" s="2020"/>
      <c r="Q40" s="2020"/>
      <c r="R40" s="2020"/>
      <c r="S40" s="2021"/>
      <c r="T40" s="2019"/>
      <c r="U40" s="2083"/>
      <c r="V40" s="2020"/>
      <c r="W40" s="2020"/>
      <c r="X40" s="2020"/>
      <c r="Y40" s="2020"/>
      <c r="Z40" s="2020"/>
      <c r="AA40" s="202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8" t="s">
        <v>2078</v>
      </c>
      <c r="B42" s="2000"/>
      <c r="C42" s="2001"/>
      <c r="D42" s="1999" t="s">
        <v>2079</v>
      </c>
      <c r="E42" s="2000"/>
      <c r="F42" s="2000"/>
      <c r="G42" s="2000"/>
      <c r="H42" s="2001"/>
      <c r="I42" s="1983"/>
      <c r="J42" s="1984"/>
      <c r="K42" s="1984"/>
      <c r="L42" s="1984"/>
      <c r="M42" s="1984"/>
      <c r="N42" s="1984"/>
      <c r="O42" s="1985"/>
      <c r="P42" s="2018"/>
      <c r="Q42" s="1984"/>
      <c r="R42" s="1984"/>
      <c r="S42" s="1985"/>
      <c r="T42" s="1983"/>
      <c r="U42" s="1984"/>
      <c r="V42" s="1984"/>
      <c r="W42" s="1985"/>
      <c r="X42" s="2018"/>
      <c r="Y42" s="1984"/>
      <c r="Z42" s="1984"/>
      <c r="AA42" s="198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3"/>
      <c r="B44" s="2014"/>
      <c r="C44" s="2014"/>
      <c r="D44" s="2014"/>
      <c r="E44" s="2014"/>
      <c r="F44" s="2014"/>
      <c r="G44" s="2014"/>
      <c r="H44" s="2015"/>
      <c r="I44" s="1988"/>
      <c r="J44" s="1989"/>
      <c r="K44" s="1989"/>
      <c r="L44" s="1989"/>
      <c r="M44" s="1989"/>
      <c r="N44" s="1989"/>
      <c r="O44" s="1989"/>
      <c r="P44" s="1989"/>
      <c r="Q44" s="1989"/>
      <c r="R44" s="1989"/>
      <c r="S44" s="1990"/>
      <c r="T44" s="1988"/>
      <c r="U44" s="2007"/>
      <c r="V44" s="2007"/>
      <c r="W44" s="2007"/>
      <c r="X44" s="2007"/>
      <c r="Y44" s="2007"/>
      <c r="Z44" s="1989"/>
      <c r="AA44" s="199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23" t="s">
        <v>1901</v>
      </c>
      <c r="B2" s="1548" t="s">
        <v>2033</v>
      </c>
      <c r="C2" s="715" t="s">
        <v>1906</v>
      </c>
      <c r="D2" s="715" t="s">
        <v>1907</v>
      </c>
      <c r="E2" s="715" t="s">
        <v>1908</v>
      </c>
      <c r="F2" s="715" t="s">
        <v>1909</v>
      </c>
    </row>
    <row r="3" spans="1:6" ht="12" customHeight="1" x14ac:dyDescent="0.2">
      <c r="A3" s="2224"/>
      <c r="B3" s="1545"/>
      <c r="C3" s="1546"/>
      <c r="D3" s="1547" t="s">
        <v>274</v>
      </c>
      <c r="E3" s="1546"/>
      <c r="F3" s="1547" t="s">
        <v>275</v>
      </c>
    </row>
    <row r="4" spans="1:6" ht="13.7" customHeight="1" x14ac:dyDescent="0.2">
      <c r="A4" s="716" t="s">
        <v>1217</v>
      </c>
      <c r="B4" s="1769">
        <f>'Revenues 9-14'!C5</f>
        <v>0</v>
      </c>
      <c r="C4" s="1544"/>
      <c r="D4" s="1772">
        <f>B4-C4</f>
        <v>0</v>
      </c>
      <c r="E4" s="1544"/>
      <c r="F4" s="1772">
        <f>E4-C4</f>
        <v>0</v>
      </c>
    </row>
    <row r="5" spans="1:6" ht="13.7" customHeight="1" x14ac:dyDescent="0.2">
      <c r="A5" s="716" t="s">
        <v>925</v>
      </c>
      <c r="B5" s="1770">
        <f>'Revenues 9-14'!D5</f>
        <v>0</v>
      </c>
      <c r="C5" s="585"/>
      <c r="D5" s="1773">
        <f t="shared" ref="D5:D18" si="0">B5-C5</f>
        <v>0</v>
      </c>
      <c r="E5" s="585"/>
      <c r="F5" s="1773">
        <f>E5-C5</f>
        <v>0</v>
      </c>
    </row>
    <row r="6" spans="1:6" ht="13.7" customHeight="1" x14ac:dyDescent="0.2">
      <c r="A6" s="716" t="s">
        <v>431</v>
      </c>
      <c r="B6" s="1770">
        <f>'Revenues 9-14'!E5</f>
        <v>0</v>
      </c>
      <c r="C6" s="585"/>
      <c r="D6" s="1773">
        <f t="shared" si="0"/>
        <v>0</v>
      </c>
      <c r="E6" s="585"/>
      <c r="F6" s="1773">
        <f t="shared" ref="F6:F18" si="1">E6-C6</f>
        <v>0</v>
      </c>
    </row>
    <row r="7" spans="1:6" ht="13.7" customHeight="1" x14ac:dyDescent="0.2">
      <c r="A7" s="716" t="s">
        <v>157</v>
      </c>
      <c r="B7" s="1770">
        <f>'Revenues 9-14'!F5</f>
        <v>0</v>
      </c>
      <c r="C7" s="585"/>
      <c r="D7" s="1773">
        <f t="shared" si="0"/>
        <v>0</v>
      </c>
      <c r="E7" s="585"/>
      <c r="F7" s="1773">
        <f t="shared" si="1"/>
        <v>0</v>
      </c>
    </row>
    <row r="8" spans="1:6" ht="13.7" customHeight="1" x14ac:dyDescent="0.2">
      <c r="A8" s="716" t="s">
        <v>1241</v>
      </c>
      <c r="B8" s="1770">
        <f>'Revenues 9-14'!G5</f>
        <v>0</v>
      </c>
      <c r="C8" s="585"/>
      <c r="D8" s="1773">
        <f t="shared" si="0"/>
        <v>0</v>
      </c>
      <c r="E8" s="585"/>
      <c r="F8" s="1773">
        <f t="shared" si="1"/>
        <v>0</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0</v>
      </c>
      <c r="C10" s="585"/>
      <c r="D10" s="1773">
        <f t="shared" si="0"/>
        <v>0</v>
      </c>
      <c r="E10" s="585"/>
      <c r="F10" s="1773">
        <f t="shared" si="1"/>
        <v>0</v>
      </c>
    </row>
    <row r="11" spans="1:6" x14ac:dyDescent="0.2">
      <c r="A11" s="716" t="s">
        <v>429</v>
      </c>
      <c r="B11" s="1770">
        <f>'Revenues 9-14'!J5</f>
        <v>0</v>
      </c>
      <c r="C11" s="585"/>
      <c r="D11" s="1773">
        <f t="shared" si="0"/>
        <v>0</v>
      </c>
      <c r="E11" s="585"/>
      <c r="F11" s="1773">
        <f t="shared" si="1"/>
        <v>0</v>
      </c>
    </row>
    <row r="12" spans="1:6" ht="13.7" customHeight="1" x14ac:dyDescent="0.2">
      <c r="A12" s="716" t="s">
        <v>159</v>
      </c>
      <c r="B12" s="1770">
        <f>'Revenues 9-14'!K5</f>
        <v>0</v>
      </c>
      <c r="C12" s="585"/>
      <c r="D12" s="1773">
        <f t="shared" si="0"/>
        <v>0</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0</v>
      </c>
      <c r="C14" s="585"/>
      <c r="D14" s="1773">
        <f t="shared" si="0"/>
        <v>0</v>
      </c>
      <c r="E14" s="585"/>
      <c r="F14" s="1773">
        <f t="shared" si="1"/>
        <v>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0</v>
      </c>
      <c r="C16" s="585"/>
      <c r="D16" s="1773">
        <f t="shared" si="0"/>
        <v>0</v>
      </c>
      <c r="E16" s="585"/>
      <c r="F16" s="1773">
        <f t="shared" si="1"/>
        <v>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5" t="s">
        <v>650</v>
      </c>
      <c r="B1" s="2243"/>
      <c r="C1" s="722"/>
    </row>
    <row r="2" spans="1:7" ht="33.75" x14ac:dyDescent="0.2">
      <c r="A2" s="2250" t="s">
        <v>1901</v>
      </c>
      <c r="B2" s="2251"/>
      <c r="C2" s="1907" t="s">
        <v>2034</v>
      </c>
      <c r="D2" s="724" t="s">
        <v>2041</v>
      </c>
      <c r="E2" s="724" t="s">
        <v>2042</v>
      </c>
      <c r="F2" s="1907" t="s">
        <v>2035</v>
      </c>
    </row>
    <row r="3" spans="1:7" ht="15.75" customHeight="1" x14ac:dyDescent="0.2">
      <c r="A3" s="2252" t="s">
        <v>1176</v>
      </c>
      <c r="B3" s="2253"/>
      <c r="C3" s="2246"/>
      <c r="D3" s="2247"/>
      <c r="E3" s="2247"/>
      <c r="F3" s="2248"/>
    </row>
    <row r="4" spans="1:7" ht="12.75" customHeight="1" thickBot="1" x14ac:dyDescent="0.25">
      <c r="A4" s="2240" t="s">
        <v>651</v>
      </c>
      <c r="B4" s="2241"/>
      <c r="C4" s="581"/>
      <c r="D4" s="581"/>
      <c r="E4" s="581"/>
      <c r="F4" s="1775">
        <f>SUM(C4+D4)-E4</f>
        <v>0</v>
      </c>
    </row>
    <row r="5" spans="1:7" ht="15.75" customHeight="1" thickTop="1" x14ac:dyDescent="0.2">
      <c r="A5" s="2244" t="s">
        <v>1172</v>
      </c>
      <c r="B5" s="2239"/>
      <c r="C5" s="2233"/>
      <c r="D5" s="2234"/>
      <c r="E5" s="2234"/>
      <c r="F5" s="2235"/>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36" t="s">
        <v>652</v>
      </c>
      <c r="B15" s="2237"/>
      <c r="C15" s="1775">
        <f>SUM(C6:C14)</f>
        <v>0</v>
      </c>
      <c r="D15" s="1775">
        <f>SUM(D6:D14)</f>
        <v>0</v>
      </c>
      <c r="E15" s="1775">
        <f>SUM(E6:E14)</f>
        <v>0</v>
      </c>
      <c r="F15" s="1775">
        <f>SUM(F6:F14)</f>
        <v>0</v>
      </c>
      <c r="G15" s="552"/>
    </row>
    <row r="16" spans="1:7" s="202" customFormat="1" ht="15.75" customHeight="1" thickTop="1" x14ac:dyDescent="0.2">
      <c r="A16" s="2249" t="s">
        <v>1173</v>
      </c>
      <c r="B16" s="2239"/>
      <c r="C16" s="2233"/>
      <c r="D16" s="2234"/>
      <c r="E16" s="2234"/>
      <c r="F16" s="2235"/>
    </row>
    <row r="17" spans="1:11" ht="12.75" customHeight="1" thickBot="1" x14ac:dyDescent="0.25">
      <c r="A17" s="2231" t="s">
        <v>66</v>
      </c>
      <c r="B17" s="2232"/>
      <c r="C17" s="727"/>
      <c r="D17" s="585"/>
      <c r="E17" s="727"/>
      <c r="F17" s="1775">
        <f>SUM(C17+D17)-E17</f>
        <v>0</v>
      </c>
    </row>
    <row r="18" spans="1:11" ht="12.75" customHeight="1" thickTop="1" thickBot="1" x14ac:dyDescent="0.25">
      <c r="A18" s="2231" t="s">
        <v>6</v>
      </c>
      <c r="B18" s="2232"/>
      <c r="C18" s="727"/>
      <c r="D18" s="585"/>
      <c r="E18" s="727"/>
      <c r="F18" s="1775">
        <f>SUM(C18+D18)-E18</f>
        <v>0</v>
      </c>
    </row>
    <row r="19" spans="1:11" ht="12.75" customHeight="1" thickTop="1" thickBot="1" x14ac:dyDescent="0.25">
      <c r="A19" s="2231" t="s">
        <v>406</v>
      </c>
      <c r="B19" s="2232"/>
      <c r="C19" s="727"/>
      <c r="D19" s="585"/>
      <c r="E19" s="727"/>
      <c r="F19" s="1775">
        <f>SUM(C19+D19)-E19</f>
        <v>0</v>
      </c>
    </row>
    <row r="20" spans="1:11" ht="12.75" customHeight="1" thickTop="1" thickBot="1" x14ac:dyDescent="0.25">
      <c r="A20" s="2231" t="s">
        <v>468</v>
      </c>
      <c r="B20" s="2232"/>
      <c r="C20" s="727"/>
      <c r="D20" s="585"/>
      <c r="E20" s="727"/>
      <c r="F20" s="1775">
        <f>SUM(C20+D20)-E20</f>
        <v>0</v>
      </c>
    </row>
    <row r="21" spans="1:11" ht="14.25" thickTop="1" thickBot="1" x14ac:dyDescent="0.25">
      <c r="A21" s="2236" t="s">
        <v>653</v>
      </c>
      <c r="B21" s="2237"/>
      <c r="C21" s="1775">
        <f>SUM(C17:C20)</f>
        <v>0</v>
      </c>
      <c r="D21" s="1775">
        <f>SUM(D17:D20)</f>
        <v>0</v>
      </c>
      <c r="E21" s="1775">
        <f>SUM(E17:E20)</f>
        <v>0</v>
      </c>
      <c r="F21" s="1775">
        <f>SUM(F17:F20)</f>
        <v>0</v>
      </c>
      <c r="G21" s="552"/>
    </row>
    <row r="22" spans="1:11" ht="15.75" customHeight="1" thickTop="1" x14ac:dyDescent="0.2">
      <c r="A22" s="2238" t="s">
        <v>1174</v>
      </c>
      <c r="B22" s="2239"/>
      <c r="C22" s="2233"/>
      <c r="D22" s="2234"/>
      <c r="E22" s="2234"/>
      <c r="F22" s="2235"/>
    </row>
    <row r="23" spans="1:11" ht="13.5" thickBot="1" x14ac:dyDescent="0.25">
      <c r="A23" s="2240" t="s">
        <v>654</v>
      </c>
      <c r="B23" s="2241"/>
      <c r="C23" s="581"/>
      <c r="D23" s="581"/>
      <c r="E23" s="581"/>
      <c r="F23" s="1775">
        <f>SUM(C23+D23)-E23</f>
        <v>0</v>
      </c>
      <c r="G23" s="552"/>
    </row>
    <row r="24" spans="1:11" ht="15.75" customHeight="1" thickTop="1" x14ac:dyDescent="0.2">
      <c r="A24" s="2238" t="s">
        <v>1175</v>
      </c>
      <c r="B24" s="2239"/>
      <c r="C24" s="2233"/>
      <c r="D24" s="2234"/>
      <c r="E24" s="2234"/>
      <c r="F24" s="2235"/>
    </row>
    <row r="25" spans="1:11" ht="13.5" thickBot="1" x14ac:dyDescent="0.25">
      <c r="A25" s="2240" t="s">
        <v>655</v>
      </c>
      <c r="B25" s="2241"/>
      <c r="C25" s="581"/>
      <c r="D25" s="581"/>
      <c r="E25" s="581"/>
      <c r="F25" s="1775">
        <f>SUM(C25+D25)-E25</f>
        <v>0</v>
      </c>
      <c r="G25" s="552"/>
    </row>
    <row r="26" spans="1:11" ht="15.75" customHeight="1" thickTop="1" x14ac:dyDescent="0.2">
      <c r="A26" s="2244" t="s">
        <v>678</v>
      </c>
      <c r="B26" s="2239"/>
      <c r="C26" s="728"/>
      <c r="D26" s="728"/>
      <c r="E26" s="728"/>
      <c r="F26" s="729"/>
    </row>
    <row r="27" spans="1:11" ht="13.5" thickBot="1" x14ac:dyDescent="0.25">
      <c r="A27" s="2236" t="s">
        <v>1130</v>
      </c>
      <c r="B27" s="2237"/>
      <c r="C27" s="585"/>
      <c r="D27" s="585"/>
      <c r="E27" s="585"/>
      <c r="F27" s="1775">
        <f>SUM(C27+D27)-E27</f>
        <v>0</v>
      </c>
      <c r="G27" s="552"/>
    </row>
    <row r="28" spans="1:11" ht="7.5" customHeight="1" thickTop="1" x14ac:dyDescent="0.2">
      <c r="A28" s="594"/>
    </row>
    <row r="29" spans="1:11" ht="23.25" customHeight="1" x14ac:dyDescent="0.2">
      <c r="A29" s="2242" t="s">
        <v>603</v>
      </c>
      <c r="B29" s="2243"/>
      <c r="C29" s="730"/>
      <c r="D29" s="730"/>
      <c r="E29" s="730"/>
      <c r="F29" s="730"/>
      <c r="G29" s="730"/>
      <c r="H29" s="730"/>
      <c r="I29" s="730"/>
      <c r="J29" s="730"/>
    </row>
    <row r="30" spans="1:11" ht="33.75" x14ac:dyDescent="0.2">
      <c r="A30" s="1549" t="s">
        <v>1131</v>
      </c>
      <c r="B30" s="731" t="s">
        <v>1186</v>
      </c>
      <c r="C30" s="1908" t="s">
        <v>604</v>
      </c>
      <c r="D30" s="1908" t="s">
        <v>1772</v>
      </c>
      <c r="E30" s="1908" t="s">
        <v>2036</v>
      </c>
      <c r="F30" s="1908" t="s">
        <v>2037</v>
      </c>
      <c r="G30" s="1908" t="s">
        <v>2040</v>
      </c>
      <c r="H30" s="1908" t="s">
        <v>2038</v>
      </c>
      <c r="I30" s="1908" t="s">
        <v>2039</v>
      </c>
      <c r="J30" s="1909" t="s">
        <v>2</v>
      </c>
      <c r="K30" s="732"/>
    </row>
    <row r="31" spans="1:11" ht="12" customHeight="1" x14ac:dyDescent="0.2">
      <c r="A31" s="733"/>
      <c r="B31" s="734"/>
      <c r="C31" s="735"/>
      <c r="D31" s="736"/>
      <c r="E31" s="735"/>
      <c r="F31" s="735"/>
      <c r="G31" s="735"/>
      <c r="H31" s="735"/>
      <c r="I31" s="1776">
        <f>((E31+F31)-H31)+G31</f>
        <v>0</v>
      </c>
      <c r="J31" s="735"/>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0</v>
      </c>
      <c r="D49" s="746"/>
      <c r="E49" s="1776">
        <f t="shared" ref="E49:J49" si="2">SUM(E31:E48)</f>
        <v>0</v>
      </c>
      <c r="F49" s="1776">
        <f t="shared" si="2"/>
        <v>0</v>
      </c>
      <c r="G49" s="1776">
        <f t="shared" si="2"/>
        <v>0</v>
      </c>
      <c r="H49" s="1776">
        <f t="shared" si="2"/>
        <v>0</v>
      </c>
      <c r="I49" s="1776">
        <f t="shared" si="2"/>
        <v>0</v>
      </c>
      <c r="J49" s="1776">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c r="G52" s="2228"/>
      <c r="H52" s="737"/>
      <c r="I52" s="737"/>
      <c r="J52" s="747"/>
    </row>
    <row r="53" spans="1:11" ht="11.25" customHeight="1" x14ac:dyDescent="0.2">
      <c r="A53" s="751" t="s">
        <v>969</v>
      </c>
      <c r="B53" s="752" t="s">
        <v>1008</v>
      </c>
      <c r="C53" s="747"/>
      <c r="D53" s="738"/>
      <c r="E53" s="750" t="s">
        <v>518</v>
      </c>
      <c r="F53" s="2229"/>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0"/>
      <c r="I1" s="761"/>
      <c r="J1" s="433"/>
    </row>
    <row r="2" spans="1:11" ht="26.25" x14ac:dyDescent="0.2">
      <c r="A2" s="2273" t="s">
        <v>1776</v>
      </c>
      <c r="B2" s="2274"/>
      <c r="C2" s="2274"/>
      <c r="D2" s="2274"/>
      <c r="E2" s="2275"/>
      <c r="F2" s="762" t="s">
        <v>960</v>
      </c>
      <c r="G2" s="763" t="s">
        <v>1773</v>
      </c>
      <c r="H2" s="763" t="s">
        <v>430</v>
      </c>
      <c r="I2" s="763" t="s">
        <v>1220</v>
      </c>
      <c r="J2" s="763" t="s">
        <v>1915</v>
      </c>
      <c r="K2" s="763" t="s">
        <v>140</v>
      </c>
    </row>
    <row r="3" spans="1:11" x14ac:dyDescent="0.2">
      <c r="A3" s="2276" t="s">
        <v>1698</v>
      </c>
      <c r="B3" s="2277"/>
      <c r="C3" s="2277"/>
      <c r="D3" s="2277"/>
      <c r="E3" s="2278"/>
      <c r="F3" s="764"/>
      <c r="G3" s="765"/>
      <c r="H3" s="765"/>
      <c r="I3" s="765"/>
      <c r="J3" s="766"/>
      <c r="K3" s="766"/>
    </row>
    <row r="4" spans="1:11" x14ac:dyDescent="0.2">
      <c r="A4" s="2279" t="s">
        <v>387</v>
      </c>
      <c r="B4" s="2280"/>
      <c r="C4" s="2280"/>
      <c r="D4" s="2280"/>
      <c r="E4" s="2226"/>
      <c r="F4" s="767"/>
      <c r="G4" s="768"/>
      <c r="H4" s="769"/>
      <c r="I4" s="768"/>
      <c r="J4" s="770"/>
      <c r="K4" s="770"/>
    </row>
    <row r="5" spans="1:11" x14ac:dyDescent="0.2">
      <c r="A5" s="2257" t="s">
        <v>1129</v>
      </c>
      <c r="B5" s="2258"/>
      <c r="C5" s="2258"/>
      <c r="D5" s="2258"/>
      <c r="E5" s="225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1916</v>
      </c>
      <c r="B10" s="2258"/>
      <c r="C10" s="2258"/>
      <c r="D10" s="2258"/>
      <c r="E10" s="2260"/>
      <c r="F10" s="784" t="s">
        <v>917</v>
      </c>
      <c r="G10" s="783"/>
      <c r="H10" s="785"/>
      <c r="I10" s="765"/>
      <c r="J10" s="766"/>
      <c r="K10" s="766"/>
    </row>
    <row r="11" spans="1:11" x14ac:dyDescent="0.2">
      <c r="A11" s="2257" t="s">
        <v>162</v>
      </c>
      <c r="B11" s="2258"/>
      <c r="C11" s="2258"/>
      <c r="D11" s="2258"/>
      <c r="E11" s="2259"/>
      <c r="F11" s="771" t="s">
        <v>907</v>
      </c>
      <c r="G11" s="772"/>
      <c r="H11" s="765"/>
      <c r="I11" s="765"/>
      <c r="J11" s="766"/>
      <c r="K11" s="774"/>
    </row>
    <row r="12" spans="1:11" ht="13.5" thickBot="1" x14ac:dyDescent="0.25">
      <c r="A12" s="2284" t="s">
        <v>961</v>
      </c>
      <c r="B12" s="2285"/>
      <c r="C12" s="2285"/>
      <c r="D12" s="2285"/>
      <c r="E12" s="2286"/>
      <c r="F12" s="1777"/>
      <c r="G12" s="1778">
        <f>SUM(G5:G11)</f>
        <v>0</v>
      </c>
      <c r="H12" s="1778">
        <f>SUM(H5:H11)</f>
        <v>0</v>
      </c>
      <c r="I12" s="1778">
        <f>SUM(I5:I11)</f>
        <v>0</v>
      </c>
      <c r="J12" s="1778">
        <f>SUM(J5:J11)</f>
        <v>0</v>
      </c>
      <c r="K12" s="1778">
        <f>SUM(K5:K11)</f>
        <v>0</v>
      </c>
    </row>
    <row r="13" spans="1:11" ht="13.5" thickTop="1" x14ac:dyDescent="0.2">
      <c r="A13" s="2281" t="s">
        <v>388</v>
      </c>
      <c r="B13" s="2282"/>
      <c r="C13" s="2282"/>
      <c r="D13" s="2282"/>
      <c r="E13" s="2283"/>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58" t="s">
        <v>4</v>
      </c>
      <c r="B15" s="2258"/>
      <c r="C15" s="2258"/>
      <c r="D15" s="2258"/>
      <c r="E15" s="2259"/>
      <c r="F15" s="790" t="s">
        <v>910</v>
      </c>
      <c r="G15" s="772"/>
      <c r="H15" s="765"/>
      <c r="I15" s="765"/>
      <c r="J15" s="766"/>
      <c r="K15" s="766"/>
    </row>
    <row r="16" spans="1:11" x14ac:dyDescent="0.2">
      <c r="A16" s="2258" t="s">
        <v>316</v>
      </c>
      <c r="B16" s="2258"/>
      <c r="C16" s="2258"/>
      <c r="D16" s="2258"/>
      <c r="E16" s="2259"/>
      <c r="F16" s="790" t="s">
        <v>980</v>
      </c>
      <c r="G16" s="773"/>
      <c r="H16" s="768"/>
      <c r="I16" s="768"/>
      <c r="J16" s="770"/>
      <c r="K16" s="770"/>
    </row>
    <row r="17" spans="1:11" x14ac:dyDescent="0.2">
      <c r="A17" s="2289" t="s">
        <v>992</v>
      </c>
      <c r="B17" s="2289"/>
      <c r="C17" s="2289"/>
      <c r="D17" s="2289"/>
      <c r="E17" s="2290"/>
      <c r="F17" s="791"/>
      <c r="G17" s="792"/>
      <c r="H17" s="793"/>
      <c r="I17" s="793"/>
      <c r="J17" s="794"/>
      <c r="K17" s="795"/>
    </row>
    <row r="18" spans="1:11" x14ac:dyDescent="0.2">
      <c r="A18" s="2268" t="s">
        <v>386</v>
      </c>
      <c r="B18" s="2269"/>
      <c r="C18" s="2269"/>
      <c r="D18" s="2269"/>
      <c r="E18" s="2270"/>
      <c r="F18" s="790" t="s">
        <v>989</v>
      </c>
      <c r="G18" s="783"/>
      <c r="H18" s="783"/>
      <c r="I18" s="783"/>
      <c r="J18" s="766"/>
      <c r="K18" s="796"/>
    </row>
    <row r="19" spans="1:11" ht="21.75" customHeight="1" x14ac:dyDescent="0.2">
      <c r="A19" s="2266" t="s">
        <v>1912</v>
      </c>
      <c r="B19" s="2266"/>
      <c r="C19" s="2266"/>
      <c r="D19" s="2266"/>
      <c r="E19" s="2267"/>
      <c r="F19" s="790" t="s">
        <v>990</v>
      </c>
      <c r="G19" s="783"/>
      <c r="H19" s="783"/>
      <c r="I19" s="783"/>
      <c r="J19" s="766"/>
      <c r="K19" s="796"/>
    </row>
    <row r="20" spans="1:11" x14ac:dyDescent="0.2">
      <c r="A20" s="2268" t="s">
        <v>1917</v>
      </c>
      <c r="B20" s="2269"/>
      <c r="C20" s="2269"/>
      <c r="D20" s="2269"/>
      <c r="E20" s="2270"/>
      <c r="F20" s="790" t="s">
        <v>991</v>
      </c>
      <c r="G20" s="783"/>
      <c r="H20" s="783"/>
      <c r="I20" s="783"/>
      <c r="J20" s="766"/>
      <c r="K20" s="796"/>
    </row>
    <row r="21" spans="1:11" ht="13.5" thickBot="1" x14ac:dyDescent="0.25">
      <c r="A21" s="2287" t="s">
        <v>659</v>
      </c>
      <c r="B21" s="2287"/>
      <c r="C21" s="2287"/>
      <c r="D21" s="2287"/>
      <c r="E21" s="2287"/>
      <c r="F21" s="1779"/>
      <c r="G21" s="793"/>
      <c r="H21" s="797"/>
      <c r="I21" s="797"/>
      <c r="J21" s="1780">
        <f>SUM(J18:J20)</f>
        <v>0</v>
      </c>
      <c r="K21" s="794"/>
    </row>
    <row r="22" spans="1:11" ht="13.5" thickTop="1" x14ac:dyDescent="0.2">
      <c r="A22" s="2258" t="s">
        <v>1918</v>
      </c>
      <c r="B22" s="2258"/>
      <c r="C22" s="2258"/>
      <c r="D22" s="2258"/>
      <c r="E22" s="2259"/>
      <c r="F22" s="790" t="s">
        <v>917</v>
      </c>
      <c r="G22" s="783"/>
      <c r="H22" s="765"/>
      <c r="I22" s="765"/>
      <c r="J22" s="798"/>
      <c r="K22" s="766"/>
    </row>
    <row r="23" spans="1:11" ht="13.5" thickBot="1" x14ac:dyDescent="0.25">
      <c r="A23" s="2288" t="s">
        <v>962</v>
      </c>
      <c r="B23" s="2287"/>
      <c r="C23" s="2287"/>
      <c r="D23" s="2287"/>
      <c r="E23" s="2287"/>
      <c r="F23" s="1781"/>
      <c r="G23" s="1778">
        <f>SUM(G14:G16,G21,G22)</f>
        <v>0</v>
      </c>
      <c r="H23" s="1778">
        <f>SUM(H14:H16,H21,H22)</f>
        <v>0</v>
      </c>
      <c r="I23" s="1778">
        <f>SUM(I14:I16,I21,I22)</f>
        <v>0</v>
      </c>
      <c r="J23" s="1778">
        <f>SUM(J14:J16,J21,J22)</f>
        <v>0</v>
      </c>
      <c r="K23" s="1778">
        <f>SUM(K14:K16,K21,K22)</f>
        <v>0</v>
      </c>
    </row>
    <row r="24" spans="1:11" ht="14.25" thickTop="1" thickBot="1" x14ac:dyDescent="0.25">
      <c r="A24" s="2288" t="s">
        <v>2022</v>
      </c>
      <c r="B24" s="2287"/>
      <c r="C24" s="2287"/>
      <c r="D24" s="2287"/>
      <c r="E24" s="2287"/>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2032</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8" t="s">
        <v>562</v>
      </c>
      <c r="B41" s="2271"/>
      <c r="C41" s="2271"/>
      <c r="D41" s="2271"/>
      <c r="E41" s="2271"/>
      <c r="F41" s="227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1913</v>
      </c>
      <c r="B46" s="408" t="s">
        <v>1774</v>
      </c>
    </row>
    <row r="47" spans="1:11" s="824" customFormat="1" ht="12.75" customHeight="1" x14ac:dyDescent="0.2">
      <c r="A47" s="822"/>
      <c r="B47" s="823" t="s">
        <v>1775</v>
      </c>
      <c r="E47" s="823"/>
      <c r="K47" s="825"/>
    </row>
    <row r="48" spans="1:11" ht="12.75" customHeight="1" x14ac:dyDescent="0.2">
      <c r="A48" s="1552"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M12" sqref="M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3" t="s">
        <v>2031</v>
      </c>
      <c r="B1" s="2294"/>
      <c r="C1" s="2295"/>
      <c r="D1" s="827"/>
      <c r="E1" s="828"/>
      <c r="F1" s="828"/>
      <c r="G1" s="829"/>
      <c r="H1" s="830"/>
      <c r="I1" s="831"/>
      <c r="J1" s="2291"/>
      <c r="K1" s="2292"/>
      <c r="L1" s="2292"/>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c r="D5" s="842"/>
      <c r="E5" s="842"/>
      <c r="F5" s="1780">
        <f>(C5+D5)-E5</f>
        <v>0</v>
      </c>
      <c r="G5" s="838"/>
      <c r="H5" s="843"/>
      <c r="I5" s="843"/>
      <c r="J5" s="843"/>
      <c r="K5" s="794"/>
      <c r="L5" s="1789">
        <f>F5-K5</f>
        <v>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c r="D8" s="845"/>
      <c r="E8" s="845"/>
      <c r="F8" s="1780">
        <f>(C8+D8)-E8</f>
        <v>0</v>
      </c>
      <c r="G8" s="844">
        <v>50</v>
      </c>
      <c r="H8" s="766"/>
      <c r="I8" s="766"/>
      <c r="J8" s="766"/>
      <c r="K8" s="1789">
        <f>(H8+I8)-J8</f>
        <v>0</v>
      </c>
      <c r="L8" s="1789">
        <f>F8-K8</f>
        <v>0</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c r="D10" s="847"/>
      <c r="E10" s="847"/>
      <c r="F10" s="1784">
        <f>(C10+D10)-E10</f>
        <v>0</v>
      </c>
      <c r="G10" s="844">
        <v>20</v>
      </c>
      <c r="H10" s="848"/>
      <c r="I10" s="848"/>
      <c r="J10" s="848"/>
      <c r="K10" s="1789">
        <f>(H10+I10)-J10</f>
        <v>0</v>
      </c>
      <c r="L10" s="1789">
        <f>F10-K10</f>
        <v>0</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48679</v>
      </c>
      <c r="D12" s="845"/>
      <c r="E12" s="845">
        <v>22114</v>
      </c>
      <c r="F12" s="1780">
        <f>(C12+D12)-E12</f>
        <v>26565</v>
      </c>
      <c r="G12" s="844">
        <v>10</v>
      </c>
      <c r="H12" s="766">
        <v>42041</v>
      </c>
      <c r="I12" s="766">
        <v>2657</v>
      </c>
      <c r="J12" s="766">
        <v>22114</v>
      </c>
      <c r="K12" s="1789">
        <f>(H12+I12)-J12</f>
        <v>22584</v>
      </c>
      <c r="L12" s="1789">
        <f>F12-K12</f>
        <v>3981</v>
      </c>
    </row>
    <row r="13" spans="1:14" ht="14.25" thickTop="1" thickBot="1" x14ac:dyDescent="0.25">
      <c r="A13" s="849" t="s">
        <v>1184</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48679</v>
      </c>
      <c r="D16" s="1780">
        <f>SUM(D3,D5:D6,D8:D10,D12:D15)</f>
        <v>0</v>
      </c>
      <c r="E16" s="1780">
        <f>SUM(E3,E5:E6,E8:E10,E12:E15)</f>
        <v>22114</v>
      </c>
      <c r="F16" s="1780">
        <f>SUM(F3,F5:F6,F8:F10,F12:F15)</f>
        <v>26565</v>
      </c>
      <c r="G16" s="844"/>
      <c r="H16" s="1780">
        <f>SUM(H3,H6,H8:H10,H12:H14,)</f>
        <v>42041</v>
      </c>
      <c r="I16" s="1780">
        <f>SUM(I3,I6,I8:I10,I12:I14,)</f>
        <v>2657</v>
      </c>
      <c r="J16" s="1780">
        <f>SUM(J3,J6,J8:J10,J12:J14,)</f>
        <v>22114</v>
      </c>
      <c r="K16" s="1780">
        <f>(H16+I16)-J16</f>
        <v>22584</v>
      </c>
      <c r="L16" s="1780">
        <f>F16-K16</f>
        <v>3981</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2657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9" t="s">
        <v>1699</v>
      </c>
      <c r="B1" s="2300"/>
      <c r="C1" s="2300"/>
      <c r="D1" s="2300"/>
      <c r="E1" s="2300"/>
      <c r="F1" s="2301"/>
      <c r="G1" s="856"/>
    </row>
    <row r="2" spans="1:7" ht="15" customHeight="1" thickBot="1" x14ac:dyDescent="0.25">
      <c r="A2" s="2302" t="s">
        <v>498</v>
      </c>
      <c r="B2" s="2303"/>
      <c r="C2" s="2303"/>
      <c r="D2" s="2303"/>
      <c r="E2" s="2303"/>
      <c r="F2" s="230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5"/>
      <c r="B5" s="2306"/>
      <c r="C5" s="2306"/>
      <c r="D5" s="2306"/>
      <c r="E5" s="2306"/>
      <c r="F5" s="2306"/>
    </row>
    <row r="6" spans="1:7" ht="13.5" customHeight="1" thickBot="1" x14ac:dyDescent="0.25">
      <c r="A6" s="2296" t="s">
        <v>1166</v>
      </c>
      <c r="B6" s="2297"/>
      <c r="C6" s="2297"/>
      <c r="D6" s="2297"/>
      <c r="E6" s="2297"/>
      <c r="F6" s="229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2006686</v>
      </c>
      <c r="G8" s="866"/>
    </row>
    <row r="9" spans="1:7" x14ac:dyDescent="0.2">
      <c r="A9" s="870" t="s">
        <v>480</v>
      </c>
      <c r="B9" s="871" t="s">
        <v>1985</v>
      </c>
      <c r="C9" s="872"/>
      <c r="D9" s="870" t="s">
        <v>522</v>
      </c>
      <c r="E9" s="869"/>
      <c r="F9" s="1933">
        <f>'Expenditures 15-22'!K151</f>
        <v>0</v>
      </c>
      <c r="G9" s="873"/>
    </row>
    <row r="10" spans="1:7" x14ac:dyDescent="0.2">
      <c r="A10" s="870" t="s">
        <v>520</v>
      </c>
      <c r="B10" s="871" t="s">
        <v>1986</v>
      </c>
      <c r="C10" s="872"/>
      <c r="D10" s="870" t="s">
        <v>522</v>
      </c>
      <c r="E10" s="869"/>
      <c r="F10" s="1933">
        <f>'Expenditures 15-22'!K174</f>
        <v>0</v>
      </c>
      <c r="G10" s="873"/>
    </row>
    <row r="11" spans="1:7" x14ac:dyDescent="0.2">
      <c r="A11" s="870" t="s">
        <v>481</v>
      </c>
      <c r="B11" s="871" t="s">
        <v>1987</v>
      </c>
      <c r="C11" s="872"/>
      <c r="D11" s="870" t="s">
        <v>522</v>
      </c>
      <c r="E11" s="869"/>
      <c r="F11" s="1933">
        <f>'Expenditures 15-22'!K210</f>
        <v>0</v>
      </c>
      <c r="G11" s="873"/>
    </row>
    <row r="12" spans="1:7" x14ac:dyDescent="0.2">
      <c r="A12" s="870" t="s">
        <v>482</v>
      </c>
      <c r="B12" s="871" t="s">
        <v>1988</v>
      </c>
      <c r="C12" s="872"/>
      <c r="D12" s="870" t="s">
        <v>522</v>
      </c>
      <c r="E12" s="869"/>
      <c r="F12" s="1933">
        <f>'Expenditures 15-22'!K295</f>
        <v>0</v>
      </c>
      <c r="G12" s="873"/>
    </row>
    <row r="13" spans="1:7" x14ac:dyDescent="0.2">
      <c r="A13" s="870" t="s">
        <v>108</v>
      </c>
      <c r="B13" s="871" t="s">
        <v>1989</v>
      </c>
      <c r="C13" s="872"/>
      <c r="D13" s="870" t="s">
        <v>522</v>
      </c>
      <c r="E13" s="869"/>
      <c r="F13" s="1933">
        <f>'Expenditures 15-22'!K342</f>
        <v>0</v>
      </c>
      <c r="G13" s="874"/>
    </row>
    <row r="14" spans="1:7" ht="12" customHeight="1" thickBot="1" x14ac:dyDescent="0.25">
      <c r="A14" s="1790"/>
      <c r="B14" s="1791"/>
      <c r="C14" s="1792"/>
      <c r="D14" s="1793" t="s">
        <v>522</v>
      </c>
      <c r="E14" s="1794" t="s">
        <v>1015</v>
      </c>
      <c r="F14" s="1795">
        <f>SUM(F8:F13)</f>
        <v>2006686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1587227</v>
      </c>
      <c r="G53" s="866"/>
    </row>
    <row r="54" spans="1:7" x14ac:dyDescent="0.2">
      <c r="A54" s="870" t="s">
        <v>479</v>
      </c>
      <c r="B54" s="870" t="s">
        <v>1552</v>
      </c>
      <c r="C54" s="890" t="s">
        <v>1039</v>
      </c>
      <c r="D54" s="886" t="s">
        <v>1157</v>
      </c>
      <c r="E54" s="869"/>
      <c r="F54" s="1937">
        <f>'Expenditures 15-22'!G114</f>
        <v>0</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7">
        <f>'Expenditures 15-22'!K139</f>
        <v>0</v>
      </c>
      <c r="G57" s="866"/>
    </row>
    <row r="58" spans="1:7" x14ac:dyDescent="0.2">
      <c r="A58" s="870" t="s">
        <v>480</v>
      </c>
      <c r="B58" s="870" t="s">
        <v>1991</v>
      </c>
      <c r="C58" s="887" t="s">
        <v>1039</v>
      </c>
      <c r="D58" s="886" t="s">
        <v>1157</v>
      </c>
      <c r="E58" s="869"/>
      <c r="F58" s="1939">
        <f>'Expenditures 15-22'!G151</f>
        <v>0</v>
      </c>
      <c r="G58" s="866"/>
    </row>
    <row r="59" spans="1:7" x14ac:dyDescent="0.2">
      <c r="A59" s="894" t="s">
        <v>480</v>
      </c>
      <c r="B59" s="857" t="s">
        <v>1992</v>
      </c>
      <c r="C59" s="895" t="s">
        <v>1039</v>
      </c>
      <c r="D59" s="857" t="s">
        <v>309</v>
      </c>
      <c r="F59" s="1940">
        <f>'Expenditures 15-22'!I151</f>
        <v>0</v>
      </c>
      <c r="G59" s="866"/>
    </row>
    <row r="60" spans="1:7" x14ac:dyDescent="0.2">
      <c r="A60" s="894" t="s">
        <v>520</v>
      </c>
      <c r="B60" s="857" t="s">
        <v>1993</v>
      </c>
      <c r="C60" s="895">
        <v>4000</v>
      </c>
      <c r="D60" s="857" t="s">
        <v>330</v>
      </c>
      <c r="F60" s="1938">
        <f>'Expenditures 15-22'!K160</f>
        <v>0</v>
      </c>
      <c r="G60" s="866"/>
    </row>
    <row r="61" spans="1:7" x14ac:dyDescent="0.2">
      <c r="A61" s="896" t="s">
        <v>520</v>
      </c>
      <c r="B61" s="896" t="s">
        <v>1994</v>
      </c>
      <c r="C61" s="897" t="str">
        <f>'Expenditures 15-22'!B170</f>
        <v>5300</v>
      </c>
      <c r="D61" s="898" t="s">
        <v>329</v>
      </c>
      <c r="E61" s="880"/>
      <c r="F61" s="1937">
        <f>'Expenditures 15-22'!K170</f>
        <v>0</v>
      </c>
      <c r="G61" s="866"/>
    </row>
    <row r="62" spans="1:7" x14ac:dyDescent="0.2">
      <c r="A62" s="870" t="s">
        <v>481</v>
      </c>
      <c r="B62" s="870" t="s">
        <v>1995</v>
      </c>
      <c r="C62" s="887">
        <f>'Expenditures 15-22'!B185</f>
        <v>3000</v>
      </c>
      <c r="D62" s="877" t="s">
        <v>469</v>
      </c>
      <c r="E62" s="869"/>
      <c r="F62" s="1937">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1997</v>
      </c>
      <c r="C64" s="897" t="str">
        <f>'Expenditures 15-22'!B206</f>
        <v>5300</v>
      </c>
      <c r="D64" s="893" t="s">
        <v>329</v>
      </c>
      <c r="E64" s="869"/>
      <c r="F64" s="1937">
        <f>'Expenditures 15-22'!K206</f>
        <v>0</v>
      </c>
      <c r="G64" s="866"/>
    </row>
    <row r="65" spans="1:8" x14ac:dyDescent="0.2">
      <c r="A65" s="870" t="s">
        <v>481</v>
      </c>
      <c r="B65" s="870" t="s">
        <v>1998</v>
      </c>
      <c r="C65" s="887" t="s">
        <v>1039</v>
      </c>
      <c r="D65" s="886" t="s">
        <v>1157</v>
      </c>
      <c r="E65" s="869"/>
      <c r="F65" s="1937">
        <f>'Expenditures 15-22'!G210</f>
        <v>0</v>
      </c>
      <c r="G65" s="866"/>
    </row>
    <row r="66" spans="1:8" x14ac:dyDescent="0.2">
      <c r="A66" s="870" t="s">
        <v>481</v>
      </c>
      <c r="B66" s="870" t="s">
        <v>1999</v>
      </c>
      <c r="C66" s="887" t="s">
        <v>1039</v>
      </c>
      <c r="D66" s="886" t="s">
        <v>309</v>
      </c>
      <c r="E66" s="869"/>
      <c r="F66" s="1937">
        <f>'Expenditures 15-22'!I210</f>
        <v>0</v>
      </c>
      <c r="G66" s="866"/>
    </row>
    <row r="67" spans="1:8" x14ac:dyDescent="0.2">
      <c r="A67" s="870" t="s">
        <v>482</v>
      </c>
      <c r="B67" s="870" t="s">
        <v>2000</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2002</v>
      </c>
      <c r="C70" s="887">
        <f>'Expenditures 15-22'!B221</f>
        <v>1300</v>
      </c>
      <c r="D70" s="888" t="str">
        <f>'Expenditures 15-22'!A221</f>
        <v>Adult/Continuing Education Programs</v>
      </c>
      <c r="E70" s="869"/>
      <c r="F70" s="1937">
        <f>'Expenditures 15-22'!K221</f>
        <v>0</v>
      </c>
      <c r="G70" s="866"/>
    </row>
    <row r="71" spans="1:8" x14ac:dyDescent="0.2">
      <c r="A71" s="870" t="s">
        <v>482</v>
      </c>
      <c r="B71" s="870" t="s">
        <v>2003</v>
      </c>
      <c r="C71" s="887">
        <f>'Expenditures 15-22'!B224</f>
        <v>1600</v>
      </c>
      <c r="D71" s="888" t="str">
        <f>'Expenditures 15-22'!A224</f>
        <v>Summer School Programs</v>
      </c>
      <c r="E71" s="869"/>
      <c r="F71" s="1937">
        <f>'Expenditures 15-22'!K224</f>
        <v>0</v>
      </c>
      <c r="G71" s="866"/>
    </row>
    <row r="72" spans="1:8" x14ac:dyDescent="0.2">
      <c r="A72" s="870" t="s">
        <v>482</v>
      </c>
      <c r="B72" s="870" t="s">
        <v>2004</v>
      </c>
      <c r="C72" s="887">
        <f>'Expenditures 15-22'!B280</f>
        <v>3000</v>
      </c>
      <c r="D72" s="877" t="s">
        <v>469</v>
      </c>
      <c r="E72" s="869"/>
      <c r="F72" s="1937">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2006</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2007</v>
      </c>
      <c r="E76" s="1794" t="s">
        <v>1015</v>
      </c>
      <c r="F76" s="1798">
        <f>SUM(F18:F74)</f>
        <v>1587227</v>
      </c>
      <c r="G76" s="866"/>
    </row>
    <row r="77" spans="1:8" s="894" customFormat="1" ht="12" customHeight="1" thickTop="1" thickBot="1" x14ac:dyDescent="0.25">
      <c r="A77" s="1799"/>
      <c r="B77" s="1796"/>
      <c r="C77" s="1792"/>
      <c r="D77" s="1797" t="s">
        <v>2008</v>
      </c>
      <c r="E77" s="1794"/>
      <c r="F77" s="1800">
        <f>(F14-F76)</f>
        <v>419459</v>
      </c>
      <c r="G77" s="870"/>
    </row>
    <row r="78" spans="1:8" s="894" customFormat="1" ht="12" customHeight="1" thickTop="1" x14ac:dyDescent="0.2">
      <c r="A78" s="1801"/>
      <c r="B78" s="1796"/>
      <c r="C78" s="1792"/>
      <c r="D78" s="1797" t="s">
        <v>2055</v>
      </c>
      <c r="E78" s="1794"/>
      <c r="F78" s="899">
        <v>0</v>
      </c>
      <c r="G78" s="900"/>
      <c r="H78" s="870"/>
    </row>
    <row r="79" spans="1:8" s="894" customFormat="1" ht="12" customHeight="1" thickBot="1" x14ac:dyDescent="0.25">
      <c r="A79" s="1802"/>
      <c r="B79" s="1796"/>
      <c r="C79" s="1792"/>
      <c r="D79" s="1797" t="s">
        <v>2009</v>
      </c>
      <c r="E79" s="1794" t="s">
        <v>1015</v>
      </c>
      <c r="F79" s="1803"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96" t="s">
        <v>1167</v>
      </c>
      <c r="B81" s="2297"/>
      <c r="C81" s="2297"/>
      <c r="D81" s="2297"/>
      <c r="E81" s="2297"/>
      <c r="F81" s="229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0</v>
      </c>
      <c r="G94" s="913"/>
    </row>
    <row r="95" spans="1:7" x14ac:dyDescent="0.2">
      <c r="A95" s="909" t="s">
        <v>142</v>
      </c>
      <c r="B95" s="909" t="s">
        <v>177</v>
      </c>
      <c r="C95" s="911">
        <v>1700</v>
      </c>
      <c r="D95" s="919" t="str">
        <f>'Revenues 9-14'!A82</f>
        <v>Total District/School Activity Income</v>
      </c>
      <c r="E95" s="907"/>
      <c r="F95" s="1809">
        <f>SUM('Revenues 9-14'!C82,'Revenues 9-14'!D82)</f>
        <v>0</v>
      </c>
      <c r="G95" s="913"/>
    </row>
    <row r="96" spans="1:7" x14ac:dyDescent="0.2">
      <c r="A96" s="909" t="s">
        <v>479</v>
      </c>
      <c r="B96" s="909" t="s">
        <v>178</v>
      </c>
      <c r="C96" s="911">
        <f>'Revenues 9-14'!B84</f>
        <v>1811</v>
      </c>
      <c r="D96" s="912" t="str">
        <f>'Revenues 9-14'!A84</f>
        <v>Rentals - Regular Textbooks</v>
      </c>
      <c r="E96" s="907"/>
      <c r="F96" s="1809">
        <f>'Revenues 9-14'!C84</f>
        <v>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79043</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63000</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0</v>
      </c>
      <c r="G129" s="931"/>
    </row>
    <row r="130" spans="1:7" x14ac:dyDescent="0.2">
      <c r="A130" s="928" t="s">
        <v>689</v>
      </c>
      <c r="B130" s="928" t="s">
        <v>804</v>
      </c>
      <c r="C130" s="933">
        <v>4300</v>
      </c>
      <c r="D130" s="934" t="str">
        <f>'Revenues 9-14'!A211</f>
        <v>Total Title I</v>
      </c>
      <c r="E130" s="907"/>
      <c r="F130" s="1809">
        <f>SUM('Revenues 9-14'!C211,'Revenues 9-14'!D211,'Revenues 9-14'!F211,'Revenues 9-14'!G211)</f>
        <v>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1492070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73121</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73173</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2" t="s">
        <v>5</v>
      </c>
      <c r="B175" s="1943" t="s">
        <v>2054</v>
      </c>
      <c r="C175" s="1944">
        <v>3100</v>
      </c>
      <c r="D175" s="1945" t="s">
        <v>2057</v>
      </c>
      <c r="E175" s="907"/>
      <c r="F175" s="1929"/>
      <c r="G175" s="928"/>
    </row>
    <row r="176" spans="1:7" x14ac:dyDescent="0.2">
      <c r="A176" s="1942" t="s">
        <v>685</v>
      </c>
      <c r="B176" s="1943" t="s">
        <v>2054</v>
      </c>
      <c r="C176" s="1944">
        <v>3300</v>
      </c>
      <c r="D176" s="1945" t="s">
        <v>2058</v>
      </c>
      <c r="E176" s="907"/>
      <c r="F176" s="1929"/>
      <c r="G176" s="928"/>
    </row>
    <row r="177" spans="1:7" ht="6" customHeight="1" x14ac:dyDescent="0.2">
      <c r="A177" s="928"/>
      <c r="B177" s="928"/>
      <c r="C177" s="950"/>
      <c r="D177" s="928"/>
      <c r="E177" s="907"/>
      <c r="F177" s="951"/>
      <c r="G177" s="948"/>
    </row>
    <row r="178" spans="1:7" x14ac:dyDescent="0.2">
      <c r="A178" s="1790"/>
      <c r="B178" s="1804"/>
      <c r="C178" s="1805"/>
      <c r="D178" s="1806" t="s">
        <v>2010</v>
      </c>
      <c r="E178" s="1807" t="s">
        <v>1015</v>
      </c>
      <c r="F178" s="1808">
        <f>SUM(F84:F136,F161:F176)</f>
        <v>1780407</v>
      </c>
    </row>
    <row r="179" spans="1:7" ht="12" customHeight="1" x14ac:dyDescent="0.2">
      <c r="A179" s="1790"/>
      <c r="B179" s="1804"/>
      <c r="C179" s="1805"/>
      <c r="D179" s="1806" t="s">
        <v>2011</v>
      </c>
      <c r="E179" s="1807"/>
      <c r="F179" s="1809">
        <f>'PCTC-OEPP 27-28'!F77-F178</f>
        <v>-1360948</v>
      </c>
    </row>
    <row r="180" spans="1:7" ht="12" customHeight="1" x14ac:dyDescent="0.2">
      <c r="A180" s="1790"/>
      <c r="B180" s="1804"/>
      <c r="C180" s="1805"/>
      <c r="D180" s="1806" t="s">
        <v>1920</v>
      </c>
      <c r="E180" s="1807"/>
      <c r="F180" s="1809">
        <f>'Cap Outlay Deprec 26'!I18</f>
        <v>2657</v>
      </c>
    </row>
    <row r="181" spans="1:7" ht="12" customHeight="1" x14ac:dyDescent="0.2">
      <c r="A181" s="1790"/>
      <c r="B181" s="1804"/>
      <c r="C181" s="1805"/>
      <c r="D181" s="1806" t="s">
        <v>2012</v>
      </c>
      <c r="E181" s="1807"/>
      <c r="F181" s="1809">
        <f>F179+F180</f>
        <v>-1358291</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31"/>
    </row>
    <row r="183" spans="1:7" ht="12" customHeight="1" thickBot="1" x14ac:dyDescent="0.25">
      <c r="A183" s="1790"/>
      <c r="B183" s="1810"/>
      <c r="C183" s="1805"/>
      <c r="D183" s="1806" t="s">
        <v>2013</v>
      </c>
      <c r="E183" s="1807" t="s">
        <v>1626</v>
      </c>
      <c r="F183" s="1812" t="e">
        <f>F181/F182</f>
        <v>#DIV/0!</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6" customFormat="1" ht="12.2" customHeight="1" x14ac:dyDescent="0.2">
      <c r="A186" s="1946" t="s">
        <v>2061</v>
      </c>
      <c r="B186" s="1947"/>
      <c r="C186" s="1948"/>
      <c r="D186" s="1947"/>
      <c r="E186" s="1948"/>
      <c r="F186" s="1947"/>
      <c r="G186" s="1947"/>
    </row>
    <row r="187" spans="1:7" s="1946" customFormat="1" ht="12.2" customHeight="1" x14ac:dyDescent="0.2">
      <c r="A187" s="1949" t="s">
        <v>2062</v>
      </c>
      <c r="C187" s="1948"/>
      <c r="D187" s="1947"/>
      <c r="E187" s="1948"/>
      <c r="F187" s="1947"/>
      <c r="G187" s="1947"/>
    </row>
    <row r="188" spans="1:7" ht="12" customHeight="1" x14ac:dyDescent="0.2">
      <c r="C188" s="950"/>
      <c r="D188" s="931"/>
      <c r="E188" s="950"/>
      <c r="F188" s="931"/>
      <c r="G188" s="931"/>
    </row>
    <row r="189" spans="1:7" x14ac:dyDescent="0.2">
      <c r="A189" s="1950" t="s">
        <v>2060</v>
      </c>
      <c r="B189" s="1951"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10" t="s">
        <v>1921</v>
      </c>
      <c r="B4" s="2311"/>
      <c r="C4" s="2311"/>
      <c r="D4" s="2311"/>
      <c r="E4" s="2311"/>
      <c r="F4" s="2311"/>
      <c r="G4" s="2312"/>
    </row>
    <row r="5" spans="1:7" x14ac:dyDescent="0.25">
      <c r="A5" s="2313"/>
      <c r="B5" s="2314"/>
      <c r="C5" s="2314"/>
      <c r="D5" s="2314"/>
      <c r="E5" s="2314"/>
      <c r="F5" s="2314"/>
      <c r="G5" s="2315"/>
    </row>
    <row r="6" spans="1:7" ht="18.75" x14ac:dyDescent="0.25">
      <c r="A6" s="1554" t="s">
        <v>1922</v>
      </c>
      <c r="B6" s="1555"/>
      <c r="C6" s="1555"/>
      <c r="D6" s="1555"/>
      <c r="E6" s="1555"/>
      <c r="F6" s="1555"/>
      <c r="G6" s="1556"/>
    </row>
    <row r="7" spans="1:7" ht="30.75" customHeight="1" x14ac:dyDescent="0.25">
      <c r="A7" s="2316" t="s">
        <v>2071</v>
      </c>
      <c r="B7" s="2317"/>
      <c r="C7" s="2317"/>
      <c r="D7" s="2317"/>
      <c r="E7" s="2317"/>
      <c r="F7" s="2317"/>
      <c r="G7" s="2318"/>
    </row>
    <row r="8" spans="1:7" ht="15.75" customHeight="1" x14ac:dyDescent="0.25">
      <c r="A8" s="2319" t="s">
        <v>2020</v>
      </c>
      <c r="B8" s="2320"/>
      <c r="C8" s="2320"/>
      <c r="D8" s="2320"/>
      <c r="E8" s="2320"/>
      <c r="F8" s="2320"/>
      <c r="G8" s="2321"/>
    </row>
    <row r="9" spans="1:7" ht="35.25" customHeight="1" x14ac:dyDescent="0.25">
      <c r="A9" s="2316" t="s">
        <v>2019</v>
      </c>
      <c r="B9" s="2317"/>
      <c r="C9" s="2317"/>
      <c r="D9" s="2317"/>
      <c r="E9" s="2317"/>
      <c r="F9" s="2317"/>
      <c r="G9" s="2318"/>
    </row>
    <row r="10" spans="1:7" ht="15" customHeight="1" x14ac:dyDescent="0.25">
      <c r="A10" s="1557" t="s">
        <v>1923</v>
      </c>
      <c r="B10" s="1558"/>
      <c r="C10" s="1558"/>
      <c r="D10" s="1558"/>
      <c r="E10" s="1558"/>
      <c r="F10" s="1558"/>
      <c r="G10" s="1559"/>
    </row>
    <row r="11" spans="1:7" ht="17.25" customHeight="1" x14ac:dyDescent="0.25">
      <c r="A11" s="2316" t="s">
        <v>1937</v>
      </c>
      <c r="B11" s="2317"/>
      <c r="C11" s="2317"/>
      <c r="D11" s="2317"/>
      <c r="E11" s="2317"/>
      <c r="F11" s="2317"/>
      <c r="G11" s="2318"/>
    </row>
    <row r="12" spans="1:7" ht="15" customHeight="1" x14ac:dyDescent="0.25">
      <c r="A12" s="1557" t="s">
        <v>1928</v>
      </c>
      <c r="B12" s="1558"/>
      <c r="C12" s="1558"/>
      <c r="D12" s="1558"/>
      <c r="E12" s="1558"/>
      <c r="F12" s="1558"/>
      <c r="G12" s="1559"/>
    </row>
    <row r="13" spans="1:7" ht="32.25" customHeight="1" x14ac:dyDescent="0.25">
      <c r="A13" s="2307" t="s">
        <v>1929</v>
      </c>
      <c r="B13" s="2308"/>
      <c r="C13" s="2308"/>
      <c r="D13" s="2308"/>
      <c r="E13" s="2308"/>
      <c r="F13" s="2308"/>
      <c r="G13" s="2309"/>
    </row>
    <row r="14" spans="1:7" x14ac:dyDescent="0.25">
      <c r="A14" s="1681" t="s">
        <v>1938</v>
      </c>
      <c r="B14" s="1682"/>
      <c r="C14" s="1682"/>
      <c r="D14" s="1682"/>
      <c r="E14" s="1682"/>
      <c r="F14" s="1682"/>
      <c r="G14" s="1683"/>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8" t="s">
        <v>1939</v>
      </c>
      <c r="B16" s="1669" t="s">
        <v>1927</v>
      </c>
      <c r="C16" s="1670" t="s">
        <v>1925</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71" t="s">
        <v>2110</v>
      </c>
      <c r="B17" s="1972" t="s">
        <v>2105</v>
      </c>
      <c r="C17" s="1973" t="s">
        <v>2105</v>
      </c>
      <c r="D17" s="1974" t="s">
        <v>2105</v>
      </c>
      <c r="E17" s="1560">
        <f t="shared" ref="E17:E141" si="1">IF(D17&lt;=25000,D17,IF(D17&gt;25000,25000,0))</f>
        <v>25000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2" t="s">
        <v>1778</v>
      </c>
      <c r="B5" s="2323"/>
      <c r="C5" s="2323"/>
      <c r="D5" s="2323"/>
      <c r="E5" s="2323"/>
      <c r="F5" s="2323"/>
      <c r="G5" s="2324"/>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5" customHeight="1" x14ac:dyDescent="0.2">
      <c r="A11" s="2327" t="s">
        <v>1941</v>
      </c>
      <c r="B11" s="2328"/>
      <c r="C11" s="2328"/>
      <c r="D11" s="232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14880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21081</v>
      </c>
      <c r="F19" s="1820"/>
      <c r="G19" s="1822">
        <f>'Expenditures 15-22'!K33-SUM('Expenditures 15-22'!G33,'Expenditures 15-22'!I33)+'Expenditures 15-22'!D229</f>
        <v>21081</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175941</v>
      </c>
      <c r="F21" s="1823"/>
      <c r="G21" s="1826">
        <f>'Expenditures 15-22'!K42-SUM('Expenditures 15-22'!G42,'Expenditures 15-22'!I42)+'Expenditures 15-22'!K120-SUM('Expenditures 15-22'!G120,'Expenditures 15-22'!I120)+'Expenditures 15-22'!K180-SUM('Expenditures 15-22'!G180,'Expenditures 15-22'!I180)+'Expenditures 15-22'!D238</f>
        <v>175941</v>
      </c>
      <c r="H21" s="988"/>
      <c r="I21" s="162"/>
    </row>
    <row r="22" spans="1:9" s="669" customFormat="1" ht="12" customHeight="1" x14ac:dyDescent="0.2">
      <c r="A22" s="995" t="s">
        <v>585</v>
      </c>
      <c r="B22" s="996"/>
      <c r="C22" s="994">
        <v>2200</v>
      </c>
      <c r="D22" s="1823"/>
      <c r="E22" s="1825">
        <f>'Expenditures 15-22'!K47-SUM('Expenditures 15-22'!G47,'Expenditures 15-22'!I47)+'Expenditures 15-22'!D243</f>
        <v>1125</v>
      </c>
      <c r="F22" s="1823"/>
      <c r="G22" s="1826">
        <f>'Expenditures 15-22'!K47-SUM('Expenditures 15-22'!G47,'Expenditures 15-22'!I47)+'Expenditures 15-22'!D243</f>
        <v>1125</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101841</v>
      </c>
      <c r="F23" s="1823"/>
      <c r="G23" s="1825">
        <f>'Expenditures 15-22'!K53-SUM('Expenditures 15-22'!G53,'Expenditures 15-22'!I53)+'Expenditures 15-22'!D257+'Expenditures 15-22'!K330-SUM('Expenditures 15-22'!G330,'Expenditures 15-22'!I330)</f>
        <v>101841</v>
      </c>
      <c r="H23" s="988"/>
      <c r="I23" s="162"/>
    </row>
    <row r="24" spans="1:9" s="669" customFormat="1" ht="12" customHeight="1" x14ac:dyDescent="0.2">
      <c r="A24" s="995" t="s">
        <v>587</v>
      </c>
      <c r="B24" s="996"/>
      <c r="C24" s="994">
        <v>2400</v>
      </c>
      <c r="D24" s="1823"/>
      <c r="E24" s="1825">
        <f>'Expenditures 15-22'!K57-SUM('Expenditures 15-22'!G57,'Expenditures 15-22'!I57)+'Expenditures 15-22'!D261</f>
        <v>104591</v>
      </c>
      <c r="F24" s="1823"/>
      <c r="G24" s="1826">
        <f>'Expenditures 15-22'!K57-SUM('Expenditures 15-22'!G57,'Expenditures 15-22'!I57)+'Expenditures 15-22'!D261</f>
        <v>104591</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0</v>
      </c>
      <c r="F28" s="1827">
        <f>'Expenditures 15-22'!K61-SUM('Expenditures 15-22'!G61,'Expenditures 15-22'!I61)+'Expenditures 15-22'!K124-SUM('Expenditures 15-22'!G124,'Expenditures 15-22'!I124)+'Expenditures 15-22'!D266-E9</f>
        <v>0</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14880</v>
      </c>
      <c r="F37" s="1825">
        <f>'Expenditures 15-22'!K71-SUM('Expenditures 15-22'!G71,'Expenditures 15-22'!I71)+'Expenditures 15-22'!D276-E14</f>
        <v>0</v>
      </c>
      <c r="G37" s="1825">
        <f>E14</f>
        <v>14880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23"/>
      <c r="E40" s="1827">
        <f>-'Contracts Paid in CY 29'!G141</f>
        <v>0</v>
      </c>
      <c r="F40" s="1823"/>
      <c r="G40" s="1827">
        <f>-'Contracts Paid in CY 29'!G141</f>
        <v>0</v>
      </c>
    </row>
    <row r="41" spans="1:7" ht="12" customHeight="1" x14ac:dyDescent="0.2">
      <c r="A41" s="999" t="s">
        <v>158</v>
      </c>
      <c r="B41" s="1000"/>
      <c r="C41" s="1001"/>
      <c r="D41" s="1827">
        <f>SUM(D19:D39)</f>
        <v>0</v>
      </c>
      <c r="E41" s="1827">
        <f>SUM(E19:E40)</f>
        <v>419459</v>
      </c>
      <c r="F41" s="1827">
        <f>SUM(F19:F39)</f>
        <v>0</v>
      </c>
      <c r="G41" s="1827">
        <f>SUM(G19:G40)</f>
        <v>419459</v>
      </c>
    </row>
    <row r="42" spans="1:7" x14ac:dyDescent="0.2">
      <c r="A42" s="988"/>
      <c r="B42" s="162"/>
      <c r="C42" s="1002"/>
      <c r="D42" s="2325" t="s">
        <v>543</v>
      </c>
      <c r="E42" s="2326"/>
      <c r="F42" s="1003" t="s">
        <v>544</v>
      </c>
      <c r="G42" s="1004"/>
    </row>
    <row r="43" spans="1:7" ht="12" customHeight="1" x14ac:dyDescent="0.2">
      <c r="A43" s="988"/>
      <c r="B43" s="162"/>
      <c r="C43" s="1002"/>
      <c r="D43" s="1828" t="s">
        <v>493</v>
      </c>
      <c r="E43" s="1829">
        <f>D41</f>
        <v>0</v>
      </c>
      <c r="F43" s="1828" t="s">
        <v>495</v>
      </c>
      <c r="G43" s="1829">
        <f>F41</f>
        <v>0</v>
      </c>
    </row>
    <row r="44" spans="1:7" ht="12" customHeight="1" x14ac:dyDescent="0.2">
      <c r="A44" s="988"/>
      <c r="B44" s="162"/>
      <c r="C44" s="1002"/>
      <c r="D44" s="1828" t="s">
        <v>494</v>
      </c>
      <c r="E44" s="1829">
        <f>E41</f>
        <v>419459</v>
      </c>
      <c r="F44" s="1828" t="s">
        <v>494</v>
      </c>
      <c r="G44" s="1829">
        <f>G41</f>
        <v>419459</v>
      </c>
    </row>
    <row r="45" spans="1:7" ht="12" customHeight="1" x14ac:dyDescent="0.2">
      <c r="A45" s="988"/>
      <c r="B45" s="162"/>
      <c r="C45" s="162"/>
      <c r="D45" s="1830" t="s">
        <v>1063</v>
      </c>
      <c r="E45" s="1831">
        <f>(E43/E44)</f>
        <v>0</v>
      </c>
      <c r="F45" s="1830" t="s">
        <v>1063</v>
      </c>
      <c r="G45" s="1831">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44" t="s">
        <v>1446</v>
      </c>
      <c r="B1" s="2344"/>
      <c r="C1" s="2344"/>
      <c r="D1" s="2344"/>
      <c r="E1" s="2344"/>
      <c r="F1" s="2344"/>
    </row>
    <row r="2" spans="1:10" x14ac:dyDescent="0.2">
      <c r="A2" s="1910" t="s">
        <v>2044</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45" t="s">
        <v>1627</v>
      </c>
      <c r="B5" s="2346"/>
      <c r="C5" s="2347"/>
      <c r="D5" s="2347"/>
      <c r="E5" s="2347"/>
      <c r="F5" s="2347"/>
    </row>
    <row r="6" spans="1:10" ht="12" customHeight="1" x14ac:dyDescent="0.25">
      <c r="A6" s="1873"/>
      <c r="B6" s="1874"/>
      <c r="C6" s="2348" t="str">
        <f>COVER!A17</f>
        <v>Sp Ed Association of Adams Co</v>
      </c>
      <c r="D6" s="2348"/>
      <c r="E6" s="2348"/>
      <c r="F6" s="1875"/>
    </row>
    <row r="7" spans="1:10" ht="11.25" customHeight="1" thickBot="1" x14ac:dyDescent="0.3">
      <c r="A7" s="1873"/>
      <c r="B7" s="1874"/>
      <c r="C7" s="2349">
        <f>COVER!A13</f>
        <v>1001172061</v>
      </c>
      <c r="D7" s="2349"/>
      <c r="E7" s="2349"/>
      <c r="F7" s="1875"/>
    </row>
    <row r="8" spans="1:10" ht="25.5" customHeight="1" thickBot="1" x14ac:dyDescent="0.25">
      <c r="A8" s="1916" t="s">
        <v>2021</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2073</v>
      </c>
      <c r="D26" s="1888" t="s">
        <v>2073</v>
      </c>
      <c r="E26" s="1891" t="s">
        <v>2073</v>
      </c>
      <c r="F26" s="1890" t="s">
        <v>2113</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5</v>
      </c>
      <c r="K34" s="1901">
        <f>SUM(H34:J34)</f>
        <v>15</v>
      </c>
    </row>
    <row r="35" spans="1:11" ht="12" customHeight="1" x14ac:dyDescent="0.2">
      <c r="A35" s="1894" t="s">
        <v>1459</v>
      </c>
      <c r="B35" s="1895"/>
      <c r="C35" s="2350"/>
      <c r="D35" s="2350"/>
      <c r="E35" s="2350"/>
      <c r="F35" s="2351"/>
    </row>
    <row r="36" spans="1:11" ht="12" customHeight="1" x14ac:dyDescent="0.2">
      <c r="A36" s="2333"/>
      <c r="B36" s="2334"/>
      <c r="C36" s="2334"/>
      <c r="D36" s="2334"/>
      <c r="E36" s="2334"/>
      <c r="F36" s="2335"/>
    </row>
    <row r="37" spans="1:11" ht="12" customHeight="1" x14ac:dyDescent="0.2">
      <c r="A37" s="2333"/>
      <c r="B37" s="2334"/>
      <c r="C37" s="2334"/>
      <c r="D37" s="2334"/>
      <c r="E37" s="2334"/>
      <c r="F37" s="2335"/>
    </row>
    <row r="38" spans="1:11" ht="12" customHeight="1" x14ac:dyDescent="0.2">
      <c r="A38" s="2336"/>
      <c r="B38" s="2337"/>
      <c r="C38" s="2337"/>
      <c r="D38" s="2337"/>
      <c r="E38" s="2337"/>
      <c r="F38" s="2338"/>
    </row>
    <row r="39" spans="1:11" ht="4.5" hidden="1" customHeight="1" x14ac:dyDescent="0.2">
      <c r="A39" s="1896"/>
      <c r="B39" s="1896"/>
      <c r="C39" s="1896"/>
      <c r="D39" s="1896"/>
      <c r="E39" s="1896"/>
      <c r="F39" s="1896"/>
    </row>
    <row r="40" spans="1:11" s="1893" customFormat="1" ht="12" customHeight="1" x14ac:dyDescent="0.25">
      <c r="A40" s="1897" t="s">
        <v>1458</v>
      </c>
      <c r="B40" s="1898"/>
      <c r="C40" s="2339"/>
      <c r="D40" s="2339"/>
      <c r="E40" s="2339"/>
      <c r="F40" s="2340"/>
      <c r="H40" s="1902"/>
      <c r="I40" s="1902"/>
      <c r="J40" s="1902"/>
      <c r="K40" s="1902"/>
    </row>
    <row r="41" spans="1:11" s="1893" customFormat="1" ht="12" customHeight="1" x14ac:dyDescent="0.25">
      <c r="A41" s="2341"/>
      <c r="B41" s="2342"/>
      <c r="C41" s="2342"/>
      <c r="D41" s="2342"/>
      <c r="E41" s="2342"/>
      <c r="F41" s="2343"/>
      <c r="H41" s="1902"/>
      <c r="I41" s="1902"/>
      <c r="J41" s="1902"/>
      <c r="K41" s="1902"/>
    </row>
    <row r="42" spans="1:11" s="1893" customFormat="1" ht="12" customHeight="1" x14ac:dyDescent="0.25">
      <c r="A42" s="2341"/>
      <c r="B42" s="2342"/>
      <c r="C42" s="2342"/>
      <c r="D42" s="2342"/>
      <c r="E42" s="2342"/>
      <c r="F42" s="2343"/>
      <c r="H42" s="1902"/>
      <c r="I42" s="1902"/>
      <c r="J42" s="1902"/>
      <c r="K42" s="1902"/>
    </row>
    <row r="43" spans="1:11" s="1893" customFormat="1" ht="15" x14ac:dyDescent="0.25">
      <c r="A43" s="2330"/>
      <c r="B43" s="2331"/>
      <c r="C43" s="2331"/>
      <c r="D43" s="2331"/>
      <c r="E43" s="2331"/>
      <c r="F43" s="2332"/>
      <c r="H43" s="1902"/>
      <c r="I43" s="1902"/>
      <c r="J43" s="1902"/>
      <c r="K43" s="1902"/>
    </row>
    <row r="44" spans="1:11" s="1893" customFormat="1" ht="12" hidden="1" customHeight="1" x14ac:dyDescent="0.25">
      <c r="A44" s="2330"/>
      <c r="B44" s="2331"/>
      <c r="C44" s="2331"/>
      <c r="D44" s="2331"/>
      <c r="E44" s="2331"/>
      <c r="F44" s="233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2"/>
      <c r="C6" s="1662"/>
      <c r="D6" s="1662"/>
      <c r="E6" s="1663"/>
      <c r="F6" s="1016"/>
      <c r="G6" s="1010"/>
      <c r="H6" s="1017" t="s">
        <v>1086</v>
      </c>
      <c r="I6" s="2357" t="str">
        <f>COVER!A17</f>
        <v>Sp Ed Association of Adams Co</v>
      </c>
      <c r="J6" s="2358"/>
      <c r="Q6" s="1684"/>
    </row>
    <row r="7" spans="1:17" x14ac:dyDescent="0.2">
      <c r="A7" s="2359" t="s">
        <v>924</v>
      </c>
      <c r="B7" s="2360"/>
      <c r="C7" s="2360"/>
      <c r="D7" s="2360"/>
      <c r="E7" s="2361"/>
      <c r="F7" s="1018"/>
      <c r="G7" s="1010"/>
      <c r="H7" s="1017" t="s">
        <v>390</v>
      </c>
      <c r="I7" s="2362">
        <f>COVER!A13</f>
        <v>1001172061</v>
      </c>
      <c r="J7" s="2362"/>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3" t="s">
        <v>502</v>
      </c>
      <c r="B11" s="2364"/>
      <c r="C11" s="236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0</v>
      </c>
      <c r="F12" s="1040"/>
      <c r="G12" s="1832">
        <f t="shared" ref="G12:G18" si="0">SUM(E12:F12)</f>
        <v>0</v>
      </c>
      <c r="H12" s="1041"/>
      <c r="I12" s="1040"/>
      <c r="J12" s="1832">
        <f t="shared" ref="J12:J18" si="1">SUM(H12:I12)</f>
        <v>0</v>
      </c>
    </row>
    <row r="13" spans="1:17" ht="15" customHeight="1" x14ac:dyDescent="0.2">
      <c r="A13" s="1036">
        <v>2</v>
      </c>
      <c r="B13" s="1037" t="s">
        <v>44</v>
      </c>
      <c r="C13" s="1038"/>
      <c r="D13" s="1039">
        <v>2330</v>
      </c>
      <c r="E13" s="1832">
        <f>'Expenditures 15-22'!K51</f>
        <v>101841</v>
      </c>
      <c r="F13" s="1040"/>
      <c r="G13" s="1832">
        <f t="shared" si="0"/>
        <v>101841</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66" t="s">
        <v>7</v>
      </c>
      <c r="C18" s="2367"/>
      <c r="D18" s="2368"/>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101841</v>
      </c>
      <c r="F19" s="1834">
        <f t="shared" si="2"/>
        <v>0</v>
      </c>
      <c r="G19" s="1834">
        <f t="shared" si="2"/>
        <v>101841</v>
      </c>
      <c r="H19" s="1834">
        <f t="shared" si="2"/>
        <v>0</v>
      </c>
      <c r="I19" s="1834">
        <f t="shared" si="2"/>
        <v>0</v>
      </c>
      <c r="J19" s="1834">
        <f t="shared" si="2"/>
        <v>0</v>
      </c>
    </row>
    <row r="20" spans="1:10" ht="13.5" thickTop="1" x14ac:dyDescent="0.2">
      <c r="A20" s="1036">
        <v>9</v>
      </c>
      <c r="B20" s="2369" t="s">
        <v>1703</v>
      </c>
      <c r="C20" s="2369"/>
      <c r="D20" s="2370"/>
      <c r="E20" s="1047"/>
      <c r="F20" s="1047"/>
      <c r="G20" s="1047"/>
      <c r="H20" s="1047"/>
      <c r="I20" s="1047"/>
      <c r="J20" s="1835"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5"/>
      <c r="D26" s="2375"/>
      <c r="E26" s="1051"/>
      <c r="F26" s="2374"/>
      <c r="G26" s="2374"/>
    </row>
    <row r="27" spans="1:10" x14ac:dyDescent="0.2">
      <c r="B27" s="1048"/>
      <c r="C27" s="1052" t="s">
        <v>1093</v>
      </c>
      <c r="D27" s="1053"/>
      <c r="E27" s="1054"/>
      <c r="F27" s="2371" t="s">
        <v>1589</v>
      </c>
      <c r="G27" s="2371"/>
    </row>
    <row r="28" spans="1:10" ht="28.5" customHeight="1" x14ac:dyDescent="0.2">
      <c r="B28" s="1048"/>
      <c r="C28" s="2373" t="s">
        <v>2077</v>
      </c>
      <c r="D28" s="2373"/>
      <c r="E28" s="1055"/>
      <c r="F28" s="2373" t="s">
        <v>2078</v>
      </c>
      <c r="G28" s="2373"/>
    </row>
    <row r="29" spans="1:10" x14ac:dyDescent="0.2">
      <c r="B29" s="1048"/>
      <c r="C29" s="1056" t="s">
        <v>1642</v>
      </c>
      <c r="E29" s="1057"/>
      <c r="F29" s="2372" t="s">
        <v>1590</v>
      </c>
      <c r="G29" s="237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4" t="s">
        <v>134</v>
      </c>
      <c r="D33" s="2355"/>
      <c r="E33" s="2355"/>
      <c r="F33" s="2355"/>
      <c r="G33" s="2355"/>
      <c r="H33" s="2355"/>
      <c r="I33" s="2355"/>
    </row>
    <row r="34" spans="1:10" ht="10.35" customHeight="1" x14ac:dyDescent="0.2">
      <c r="C34" s="2355"/>
      <c r="D34" s="2355"/>
      <c r="E34" s="2355"/>
      <c r="F34" s="2355"/>
      <c r="G34" s="2355"/>
      <c r="H34" s="2355"/>
      <c r="I34" s="2355"/>
    </row>
    <row r="35" spans="1:10" ht="7.5" customHeight="1" x14ac:dyDescent="0.2">
      <c r="C35" s="1063"/>
    </row>
    <row r="36" spans="1:10" ht="13.5" customHeight="1" x14ac:dyDescent="0.2">
      <c r="B36" s="1062"/>
      <c r="C36" s="2356" t="s">
        <v>1940</v>
      </c>
      <c r="D36" s="2355"/>
      <c r="E36" s="2355"/>
      <c r="F36" s="2355"/>
      <c r="G36" s="2355"/>
      <c r="H36" s="2355"/>
      <c r="I36" s="2355"/>
      <c r="J36" s="1064"/>
    </row>
    <row r="37" spans="1:10" ht="22.5" customHeight="1" x14ac:dyDescent="0.2">
      <c r="C37" s="2355"/>
      <c r="D37" s="2355"/>
      <c r="E37" s="2355"/>
      <c r="F37" s="2355"/>
      <c r="G37" s="2355"/>
      <c r="H37" s="2355"/>
      <c r="I37" s="2355"/>
      <c r="J37" s="1064"/>
    </row>
    <row r="38" spans="1:10" ht="7.5" customHeight="1" x14ac:dyDescent="0.2">
      <c r="C38" s="1063"/>
      <c r="D38" s="1065"/>
      <c r="E38" s="1066"/>
      <c r="F38" s="1067"/>
      <c r="G38" s="1066"/>
    </row>
    <row r="39" spans="1:10" ht="13.5" customHeight="1" x14ac:dyDescent="0.2">
      <c r="B39" s="1062"/>
      <c r="C39" s="2352" t="s">
        <v>937</v>
      </c>
      <c r="D39" s="2353"/>
      <c r="E39" s="2353"/>
      <c r="F39" s="2353"/>
      <c r="G39" s="2353"/>
      <c r="H39" s="2353"/>
      <c r="I39" s="235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675" t="s">
        <v>2112</v>
      </c>
    </row>
    <row r="6" spans="1:2" x14ac:dyDescent="0.2">
      <c r="A6" s="1069">
        <v>2</v>
      </c>
      <c r="B6" s="329" t="s">
        <v>2111</v>
      </c>
    </row>
    <row r="7" spans="1:2" x14ac:dyDescent="0.2">
      <c r="A7" s="1069"/>
    </row>
    <row r="8" spans="1:2" x14ac:dyDescent="0.2">
      <c r="A8" s="1069"/>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c r="B61" s="258" t="str">
        <f>COVER!A17</f>
        <v>Sp Ed Association of Adams Co</v>
      </c>
    </row>
    <row r="62" spans="1:2" x14ac:dyDescent="0.2">
      <c r="B62" s="1071">
        <f>COVER!A13</f>
        <v>1001172061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7" t="s">
        <v>1709</v>
      </c>
    </row>
    <row r="23" spans="1:5" x14ac:dyDescent="0.2">
      <c r="A23" s="168"/>
      <c r="B23" s="162" t="s">
        <v>1965</v>
      </c>
      <c r="D23" s="167" t="s">
        <v>658</v>
      </c>
      <c r="E23" s="1857"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3" t="s">
        <v>1125</v>
      </c>
      <c r="B35" s="2093"/>
      <c r="C35" s="2093"/>
      <c r="D35" s="2093"/>
      <c r="E35" s="20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0" t="s">
        <v>715</v>
      </c>
      <c r="B40" s="2090"/>
      <c r="C40" s="2090"/>
      <c r="D40" s="2090"/>
      <c r="E40" s="2090"/>
    </row>
    <row r="41" spans="1:5" x14ac:dyDescent="0.2">
      <c r="A41" s="2091" t="s">
        <v>1706</v>
      </c>
      <c r="B41" s="2091"/>
      <c r="C41" s="2091"/>
      <c r="D41" s="2091"/>
      <c r="E41" s="2091"/>
    </row>
    <row r="42" spans="1:5" ht="12.75" customHeight="1" x14ac:dyDescent="0.2">
      <c r="A42" s="2092" t="s">
        <v>1080</v>
      </c>
      <c r="B42" s="2092"/>
      <c r="C42" s="2092"/>
      <c r="D42" s="2092"/>
      <c r="E42" s="2092"/>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7.140625" style="329" bestFit="1" customWidth="1"/>
    <col min="3" max="3" width="2.28515625" style="329" customWidth="1"/>
    <col min="4" max="4" width="13.7109375" style="329" customWidth="1"/>
    <col min="5" max="5" width="3.5703125" style="329" customWidth="1"/>
    <col min="6" max="6" width="12.42578125" style="329" customWidth="1"/>
    <col min="7" max="7" width="4.7109375" style="329" customWidth="1"/>
    <col min="8" max="8" width="11.7109375" style="329" customWidth="1"/>
    <col min="9"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6" t="s">
        <v>1784</v>
      </c>
      <c r="B18" s="237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3" r:id="rId4">
          <objectPr defaultSize="0" r:id="rId5">
            <anchor moveWithCells="1">
              <from>
                <xdr:col>1</xdr:col>
                <xdr:colOff>0</xdr:colOff>
                <xdr:row>0</xdr:row>
                <xdr:rowOff>0</xdr:rowOff>
              </from>
              <to>
                <xdr:col>1</xdr:col>
                <xdr:colOff>914400</xdr:colOff>
                <xdr:row>3</xdr:row>
                <xdr:rowOff>161925</xdr:rowOff>
              </to>
            </anchor>
          </objectPr>
        </oleObject>
      </mc:Choice>
      <mc:Fallback>
        <oleObject progId="Acrobat Document" dvAspect="DVASPECT_ICON" shapeId="51203" r:id="rId4"/>
      </mc:Fallback>
    </mc:AlternateContent>
    <mc:AlternateContent xmlns:mc="http://schemas.openxmlformats.org/markup-compatibility/2006">
      <mc:Choice Requires="x14">
        <oleObject progId="Acrobat Document" dvAspect="DVASPECT_ICON" shapeId="51204" r:id="rId6">
          <objectPr defaultSize="0" r:id="rId7">
            <anchor moveWithCells="1">
              <from>
                <xdr:col>1</xdr:col>
                <xdr:colOff>0</xdr:colOff>
                <xdr:row>5</xdr:row>
                <xdr:rowOff>0</xdr:rowOff>
              </from>
              <to>
                <xdr:col>1</xdr:col>
                <xdr:colOff>914400</xdr:colOff>
                <xdr:row>8</xdr:row>
                <xdr:rowOff>161925</xdr:rowOff>
              </to>
            </anchor>
          </objectPr>
        </oleObject>
      </mc:Choice>
      <mc:Fallback>
        <oleObject progId="Acrobat Document" dvAspect="DVASPECT_ICON" shapeId="51204" r:id="rId6"/>
      </mc:Fallback>
    </mc:AlternateContent>
    <mc:AlternateContent xmlns:mc="http://schemas.openxmlformats.org/markup-compatibility/2006">
      <mc:Choice Requires="x14">
        <oleObject progId="Acrobat Document" dvAspect="DVASPECT_ICON" shapeId="51205" r:id="rId8">
          <objectPr defaultSize="0" r:id="rId9">
            <anchor moveWithCells="1">
              <from>
                <xdr:col>3</xdr:col>
                <xdr:colOff>0</xdr:colOff>
                <xdr:row>0</xdr:row>
                <xdr:rowOff>0</xdr:rowOff>
              </from>
              <to>
                <xdr:col>3</xdr:col>
                <xdr:colOff>914400</xdr:colOff>
                <xdr:row>3</xdr:row>
                <xdr:rowOff>161925</xdr:rowOff>
              </to>
            </anchor>
          </objectPr>
        </oleObject>
      </mc:Choice>
      <mc:Fallback>
        <oleObject progId="Acrobat Document" dvAspect="DVASPECT_ICON" shapeId="51205" r:id="rId8"/>
      </mc:Fallback>
    </mc:AlternateContent>
    <mc:AlternateContent xmlns:mc="http://schemas.openxmlformats.org/markup-compatibility/2006">
      <mc:Choice Requires="x14">
        <oleObject progId="Acrobat Document" dvAspect="DVASPECT_ICON" shapeId="51206" r:id="rId10">
          <objectPr defaultSize="0" r:id="rId11">
            <anchor moveWithCells="1">
              <from>
                <xdr:col>3</xdr:col>
                <xdr:colOff>0</xdr:colOff>
                <xdr:row>5</xdr:row>
                <xdr:rowOff>0</xdr:rowOff>
              </from>
              <to>
                <xdr:col>3</xdr:col>
                <xdr:colOff>914400</xdr:colOff>
                <xdr:row>8</xdr:row>
                <xdr:rowOff>161925</xdr:rowOff>
              </to>
            </anchor>
          </objectPr>
        </oleObject>
      </mc:Choice>
      <mc:Fallback>
        <oleObject progId="Acrobat Document" dvAspect="DVASPECT_ICON" shapeId="51206" r:id="rId10"/>
      </mc:Fallback>
    </mc:AlternateContent>
    <mc:AlternateContent xmlns:mc="http://schemas.openxmlformats.org/markup-compatibility/2006">
      <mc:Choice Requires="x14">
        <oleObject progId="Acrobat Document" dvAspect="DVASPECT_ICON" shapeId="51207" r:id="rId12">
          <objectPr defaultSize="0" r:id="rId13">
            <anchor moveWithCells="1">
              <from>
                <xdr:col>5</xdr:col>
                <xdr:colOff>0</xdr:colOff>
                <xdr:row>0</xdr:row>
                <xdr:rowOff>0</xdr:rowOff>
              </from>
              <to>
                <xdr:col>6</xdr:col>
                <xdr:colOff>57150</xdr:colOff>
                <xdr:row>3</xdr:row>
                <xdr:rowOff>161925</xdr:rowOff>
              </to>
            </anchor>
          </objectPr>
        </oleObject>
      </mc:Choice>
      <mc:Fallback>
        <oleObject progId="Acrobat Document" dvAspect="DVASPECT_ICON" shapeId="51207" r:id="rId12"/>
      </mc:Fallback>
    </mc:AlternateContent>
    <mc:AlternateContent xmlns:mc="http://schemas.openxmlformats.org/markup-compatibility/2006">
      <mc:Choice Requires="x14">
        <oleObject progId="Acrobat Document" dvAspect="DVASPECT_ICON" shapeId="51208" r:id="rId14">
          <objectPr defaultSize="0" r:id="rId15">
            <anchor moveWithCells="1">
              <from>
                <xdr:col>5</xdr:col>
                <xdr:colOff>0</xdr:colOff>
                <xdr:row>5</xdr:row>
                <xdr:rowOff>0</xdr:rowOff>
              </from>
              <to>
                <xdr:col>6</xdr:col>
                <xdr:colOff>57150</xdr:colOff>
                <xdr:row>8</xdr:row>
                <xdr:rowOff>161925</xdr:rowOff>
              </to>
            </anchor>
          </objectPr>
        </oleObject>
      </mc:Choice>
      <mc:Fallback>
        <oleObject progId="Acrobat Document" dvAspect="DVASPECT_ICON" shapeId="51208" r:id="rId14"/>
      </mc:Fallback>
    </mc:AlternateContent>
    <mc:AlternateContent xmlns:mc="http://schemas.openxmlformats.org/markup-compatibility/2006">
      <mc:Choice Requires="x14">
        <oleObject progId="Acrobat Document" dvAspect="DVASPECT_ICON" shapeId="51209" r:id="rId16">
          <objectPr defaultSize="0" r:id="rId17">
            <anchor moveWithCells="1">
              <from>
                <xdr:col>7</xdr:col>
                <xdr:colOff>0</xdr:colOff>
                <xdr:row>0</xdr:row>
                <xdr:rowOff>0</xdr:rowOff>
              </from>
              <to>
                <xdr:col>8</xdr:col>
                <xdr:colOff>133350</xdr:colOff>
                <xdr:row>4</xdr:row>
                <xdr:rowOff>38100</xdr:rowOff>
              </to>
            </anchor>
          </objectPr>
        </oleObject>
      </mc:Choice>
      <mc:Fallback>
        <oleObject progId="Acrobat Document" dvAspect="DVASPECT_ICON" shapeId="51209" r:id="rId16"/>
      </mc:Fallback>
    </mc:AlternateContent>
    <mc:AlternateContent xmlns:mc="http://schemas.openxmlformats.org/markup-compatibility/2006">
      <mc:Choice Requires="x14">
        <oleObject progId="Acrobat Document" dvAspect="DVASPECT_ICON" shapeId="51210" r:id="rId18">
          <objectPr defaultSize="0" r:id="rId19">
            <anchor moveWithCells="1">
              <from>
                <xdr:col>7</xdr:col>
                <xdr:colOff>0</xdr:colOff>
                <xdr:row>5</xdr:row>
                <xdr:rowOff>0</xdr:rowOff>
              </from>
              <to>
                <xdr:col>8</xdr:col>
                <xdr:colOff>104775</xdr:colOff>
                <xdr:row>8</xdr:row>
                <xdr:rowOff>161925</xdr:rowOff>
              </to>
            </anchor>
          </objectPr>
        </oleObject>
      </mc:Choice>
      <mc:Fallback>
        <oleObject progId="Acrobat Document" dvAspect="DVASPECT_ICON" shapeId="51210"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7" t="s">
        <v>1790</v>
      </c>
      <c r="B1" s="2378"/>
      <c r="C1" s="2378"/>
      <c r="D1" s="2378"/>
      <c r="E1" s="2378"/>
      <c r="F1" s="2379"/>
    </row>
    <row r="2" spans="1:8" ht="45" customHeight="1" x14ac:dyDescent="0.2">
      <c r="A2" s="2387" t="s">
        <v>1791</v>
      </c>
      <c r="B2" s="2388"/>
      <c r="C2" s="2388"/>
      <c r="D2" s="2388"/>
      <c r="E2" s="2388"/>
      <c r="F2" s="2389"/>
      <c r="G2" s="1075"/>
      <c r="H2" s="1075"/>
    </row>
    <row r="3" spans="1:8" ht="57" customHeight="1" x14ac:dyDescent="0.2">
      <c r="A3" s="2390" t="s">
        <v>1786</v>
      </c>
      <c r="B3" s="2391"/>
      <c r="C3" s="2391"/>
      <c r="D3" s="2391"/>
      <c r="E3" s="2391"/>
      <c r="F3" s="2392"/>
      <c r="G3" s="1075"/>
      <c r="H3" s="1075"/>
    </row>
    <row r="4" spans="1:8" ht="14.25" customHeight="1" x14ac:dyDescent="0.2">
      <c r="A4" s="2396" t="s">
        <v>2052</v>
      </c>
      <c r="B4" s="2397"/>
      <c r="C4" s="2397"/>
      <c r="D4" s="2397"/>
      <c r="E4" s="2397"/>
      <c r="F4" s="2398"/>
      <c r="G4" s="1075"/>
      <c r="H4" s="1075"/>
    </row>
    <row r="5" spans="1:8" ht="14.25" customHeight="1" x14ac:dyDescent="0.2">
      <c r="A5" s="2399" t="s">
        <v>2053</v>
      </c>
      <c r="B5" s="2400"/>
      <c r="C5" s="2400"/>
      <c r="D5" s="2400"/>
      <c r="E5" s="2400"/>
      <c r="F5" s="2401"/>
      <c r="G5" s="1075"/>
      <c r="H5" s="1075"/>
    </row>
    <row r="6" spans="1:8" s="1076" customFormat="1" ht="41.25" customHeight="1" x14ac:dyDescent="0.2">
      <c r="A6" s="2393" t="s">
        <v>1792</v>
      </c>
      <c r="B6" s="2394"/>
      <c r="C6" s="2394"/>
      <c r="D6" s="2394"/>
      <c r="E6" s="2394"/>
      <c r="F6" s="239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2091714</v>
      </c>
      <c r="C8" s="1836">
        <f>'Acct Summary 7-8'!D8</f>
        <v>0</v>
      </c>
      <c r="D8" s="1836">
        <f>'Acct Summary 7-8'!F8</f>
        <v>0</v>
      </c>
      <c r="E8" s="1836">
        <f>'Acct Summary 7-8'!I8</f>
        <v>0</v>
      </c>
      <c r="F8" s="1836">
        <f>SUM(B8:E8)</f>
        <v>2091714</v>
      </c>
    </row>
    <row r="9" spans="1:8" s="1080" customFormat="1" ht="14.25" customHeight="1" thickBot="1" x14ac:dyDescent="0.25">
      <c r="A9" s="1079" t="s">
        <v>1436</v>
      </c>
      <c r="B9" s="1837">
        <f>'Acct Summary 7-8'!C17</f>
        <v>2006686</v>
      </c>
      <c r="C9" s="1837">
        <f>'Acct Summary 7-8'!D17</f>
        <v>0</v>
      </c>
      <c r="D9" s="1837">
        <f>'Acct Summary 7-8'!F17</f>
        <v>0</v>
      </c>
      <c r="E9" s="1836"/>
      <c r="F9" s="1836">
        <f>SUM(B9:E9)</f>
        <v>2006686</v>
      </c>
    </row>
    <row r="10" spans="1:8" s="1080" customFormat="1" ht="14.25" thickTop="1" thickBot="1" x14ac:dyDescent="0.25">
      <c r="A10" s="1081" t="s">
        <v>1437</v>
      </c>
      <c r="B10" s="1838">
        <f>(B8-B9)</f>
        <v>85028</v>
      </c>
      <c r="C10" s="1838">
        <f>(C8-C9)</f>
        <v>0</v>
      </c>
      <c r="D10" s="1838">
        <f>(D8-D9)</f>
        <v>0</v>
      </c>
      <c r="E10" s="1837">
        <f>(E8-E9)</f>
        <v>0</v>
      </c>
      <c r="F10" s="1839">
        <f>SUM(F8-F9)</f>
        <v>85028</v>
      </c>
    </row>
    <row r="11" spans="1:8" s="1080" customFormat="1" ht="14.25" thickTop="1" thickBot="1" x14ac:dyDescent="0.25">
      <c r="A11" s="1082" t="s">
        <v>1785</v>
      </c>
      <c r="B11" s="1840">
        <f>'Acct Summary 7-8'!C81</f>
        <v>366852</v>
      </c>
      <c r="C11" s="1840">
        <f>'Acct Summary 7-8'!D81</f>
        <v>0</v>
      </c>
      <c r="D11" s="1840">
        <f>'Acct Summary 7-8'!F81</f>
        <v>0</v>
      </c>
      <c r="E11" s="1840">
        <f>'Acct Summary 7-8'!I81</f>
        <v>0</v>
      </c>
      <c r="F11" s="1841">
        <f>SUM(B11:E11)</f>
        <v>366852</v>
      </c>
    </row>
    <row r="12" spans="1:8" ht="16.5" customHeight="1" thickTop="1" x14ac:dyDescent="0.2">
      <c r="A12" s="1083"/>
      <c r="B12" s="1084"/>
      <c r="C12" s="2381" t="str">
        <f>IF(AND(F10&lt;0,F11&gt;=0,ABS(F10*3)&gt;ABS(F11)),A16,IF(AND(F10&lt;0,F11&gt;0,ABS(F10*3)&lt;=ABS(F11)),A17,IF(AND(F10&lt;0,F11&lt;0),A16,IF(F11=0,A19,A18))))</f>
        <v>Balanced - no deficit reduction plan is required.</v>
      </c>
      <c r="D12" s="2382"/>
      <c r="E12" s="2382"/>
      <c r="F12" s="2383"/>
    </row>
    <row r="13" spans="1:8" ht="19.5" customHeight="1" x14ac:dyDescent="0.2">
      <c r="A13" s="1085"/>
      <c r="B13" s="1086"/>
      <c r="C13" s="2381"/>
      <c r="D13" s="2382"/>
      <c r="E13" s="2382"/>
      <c r="F13" s="2383"/>
      <c r="H13" s="1075"/>
    </row>
    <row r="14" spans="1:8" ht="19.5" customHeight="1" x14ac:dyDescent="0.2">
      <c r="A14" s="1085"/>
      <c r="B14" s="1086"/>
      <c r="C14" s="2381"/>
      <c r="D14" s="2382"/>
      <c r="E14" s="2382"/>
      <c r="F14" s="2383"/>
      <c r="H14" s="1075"/>
    </row>
    <row r="15" spans="1:8" ht="17.25" customHeight="1" x14ac:dyDescent="0.2">
      <c r="A15" s="1085"/>
      <c r="B15" s="1086"/>
      <c r="C15" s="2384"/>
      <c r="D15" s="2385"/>
      <c r="E15" s="2385"/>
      <c r="F15" s="2386"/>
      <c r="H15" s="1075"/>
    </row>
    <row r="16" spans="1:8" s="310" customFormat="1" ht="51.75" hidden="1" customHeight="1" x14ac:dyDescent="0.2">
      <c r="A16" s="2380" t="s">
        <v>1787</v>
      </c>
      <c r="B16" s="2380"/>
      <c r="C16" s="2380"/>
      <c r="D16" s="2380"/>
      <c r="E16" s="238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3" sqref="D8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402" t="s">
        <v>686</v>
      </c>
      <c r="B3" s="2403"/>
      <c r="C3" s="2403"/>
      <c r="D3" s="2404"/>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3" t="s">
        <v>1584</v>
      </c>
      <c r="D7" s="2414"/>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5" t="s">
        <v>1065</v>
      </c>
      <c r="B15" s="2406"/>
      <c r="C15" s="2406"/>
      <c r="D15" s="2407"/>
    </row>
    <row r="16" spans="1:4" s="669" customFormat="1" ht="24" customHeight="1" x14ac:dyDescent="0.2">
      <c r="A16" s="2408" t="s">
        <v>684</v>
      </c>
      <c r="B16" s="2409"/>
      <c r="C16" s="2409"/>
      <c r="D16" s="241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7" t="s">
        <v>332</v>
      </c>
      <c r="D21" s="2418"/>
    </row>
    <row r="22" spans="1:10" ht="12.75" x14ac:dyDescent="0.2">
      <c r="A22" s="1140"/>
      <c r="B22" s="1141">
        <v>2</v>
      </c>
      <c r="C22" s="2415" t="s">
        <v>1605</v>
      </c>
      <c r="D22" s="241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9" t="s">
        <v>557</v>
      </c>
      <c r="D43" s="242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1" t="s">
        <v>817</v>
      </c>
      <c r="D56" s="241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11" t="s">
        <v>1797</v>
      </c>
      <c r="D70" s="241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1001172061</v>
      </c>
    </row>
    <row r="3" spans="1:2" x14ac:dyDescent="0.2">
      <c r="A3" t="s">
        <v>1013</v>
      </c>
      <c r="B3" s="138" t="str">
        <f>COVER!A15</f>
        <v>Adams</v>
      </c>
    </row>
    <row r="4" spans="1:2" x14ac:dyDescent="0.2">
      <c r="A4" t="s">
        <v>1064</v>
      </c>
      <c r="B4" s="138" t="str">
        <f>COVER!A17</f>
        <v>Sp Ed Association of Adams Co</v>
      </c>
    </row>
    <row r="5" spans="1:2" x14ac:dyDescent="0.2">
      <c r="A5" t="s">
        <v>728</v>
      </c>
      <c r="B5" s="138" t="str">
        <f>COVER!A38</f>
        <v>Eryn Beswick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Valerie L. Flynn, CPA</v>
      </c>
    </row>
    <row r="18" spans="1:2" x14ac:dyDescent="0.2">
      <c r="A18" t="s">
        <v>1212</v>
      </c>
      <c r="B18" s="138" t="str">
        <f>COVER!T17</f>
        <v>1395 Lincoln Avenue</v>
      </c>
    </row>
    <row r="19" spans="1:2" x14ac:dyDescent="0.2">
      <c r="A19" t="s">
        <v>941</v>
      </c>
      <c r="B19" s="138" t="str">
        <f>COVER!T25</f>
        <v>vflynn@zescpa.com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366852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366852</v>
      </c>
      <c r="D92" s="2" t="str">
        <f t="shared" si="0"/>
        <v>Error?</v>
      </c>
    </row>
    <row r="93" spans="1:4" x14ac:dyDescent="0.2">
      <c r="A93" s="5">
        <v>32</v>
      </c>
      <c r="B93" s="138">
        <f>'Assets-Liab 5-6'!C41</f>
        <v>366852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26565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26565</v>
      </c>
      <c r="C279" s="2" t="s">
        <v>594</v>
      </c>
      <c r="D279" s="2" t="str">
        <f t="shared" si="3"/>
        <v>Error?</v>
      </c>
    </row>
    <row r="280" spans="1:4" x14ac:dyDescent="0.2">
      <c r="A280" s="5">
        <v>219</v>
      </c>
      <c r="B280" s="138">
        <f>'Assets-Liab 5-6'!M40</f>
        <v>26565</v>
      </c>
      <c r="D280" s="2" t="str">
        <f t="shared" si="3"/>
        <v>Error?</v>
      </c>
    </row>
    <row r="281" spans="1:4" x14ac:dyDescent="0.2">
      <c r="A281" s="5">
        <v>220</v>
      </c>
      <c r="B281" s="138">
        <f>'Assets-Liab 5-6'!M41</f>
        <v>26565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17126</v>
      </c>
      <c r="C720" s="2" t="s">
        <v>594</v>
      </c>
      <c r="D720" s="2" t="str">
        <f t="shared" si="10"/>
        <v>Error?</v>
      </c>
    </row>
    <row r="721" spans="1:4" x14ac:dyDescent="0.2">
      <c r="A721" s="5">
        <v>660</v>
      </c>
      <c r="B721" s="138">
        <f>'Expenditures 15-22'!C36</f>
        <v>68294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24769</v>
      </c>
      <c r="D723" s="2" t="str">
        <f t="shared" si="10"/>
        <v>Error?</v>
      </c>
    </row>
    <row r="724" spans="1:4" x14ac:dyDescent="0.2">
      <c r="A724" s="5">
        <v>663</v>
      </c>
      <c r="B724" s="138">
        <f>'Expenditures 15-22'!C39</f>
        <v>47956</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141019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67042</v>
      </c>
      <c r="C734" s="2" t="s">
        <v>594</v>
      </c>
      <c r="D734" s="2" t="str">
        <f t="shared" si="10"/>
        <v>Error?</v>
      </c>
    </row>
    <row r="735" spans="1:4" x14ac:dyDescent="0.2">
      <c r="A735" s="5">
        <v>674</v>
      </c>
      <c r="B735" s="138">
        <f>'Expenditures 15-22'!C55</f>
        <v>95771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95771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303832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320958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211</v>
      </c>
      <c r="C778" s="2" t="s">
        <v>594</v>
      </c>
      <c r="D778" s="2" t="str">
        <f t="shared" si="11"/>
        <v>Error?</v>
      </c>
    </row>
    <row r="779" spans="1:4" x14ac:dyDescent="0.2">
      <c r="A779" s="5">
        <v>718</v>
      </c>
      <c r="B779" s="138">
        <f>'Expenditures 15-22'!D36</f>
        <v>814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5343</v>
      </c>
      <c r="D781" s="2" t="str">
        <f t="shared" si="11"/>
        <v>Error?</v>
      </c>
    </row>
    <row r="782" spans="1:4" x14ac:dyDescent="0.2">
      <c r="A782" s="5">
        <v>721</v>
      </c>
      <c r="B782" s="138">
        <f>'Expenditures 15-22'!D39</f>
        <v>11348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17505</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24224</v>
      </c>
      <c r="C792" s="2" t="s">
        <v>594</v>
      </c>
      <c r="D792" s="2" t="str">
        <f t="shared" si="11"/>
        <v>Error?</v>
      </c>
    </row>
    <row r="793" spans="1:4" x14ac:dyDescent="0.2">
      <c r="A793" s="5">
        <v>732</v>
      </c>
      <c r="B793" s="138">
        <f>'Expenditures 15-22'!D55</f>
        <v>8820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8820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50549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50760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3744</v>
      </c>
      <c r="C836" s="2" t="s">
        <v>594</v>
      </c>
      <c r="D836" s="2" t="str">
        <f t="shared" si="12"/>
        <v>Error?</v>
      </c>
    </row>
    <row r="837" spans="1:4" x14ac:dyDescent="0.2">
      <c r="A837" s="5">
        <v>776</v>
      </c>
      <c r="B837" s="138">
        <f>'Expenditures 15-22'!E36</f>
        <v>262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80</v>
      </c>
      <c r="D839" s="2" t="str">
        <f t="shared" si="12"/>
        <v>Error?</v>
      </c>
    </row>
    <row r="840" spans="1:4" x14ac:dyDescent="0.2">
      <c r="A840" s="5">
        <v>779</v>
      </c>
      <c r="B840" s="138">
        <f>'Expenditures 15-22'!E39</f>
        <v>28</v>
      </c>
      <c r="D840" s="2" t="str">
        <f t="shared" si="12"/>
        <v>Error?</v>
      </c>
    </row>
    <row r="841" spans="1:4" x14ac:dyDescent="0.2">
      <c r="A841" s="5">
        <v>780</v>
      </c>
      <c r="B841" s="138">
        <f>'Expenditures 15-22'!E40</f>
        <v>17047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17417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9769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14880</v>
      </c>
      <c r="D867" s="2" t="str">
        <f t="shared" si="12"/>
        <v>Error?</v>
      </c>
    </row>
    <row r="868" spans="1:4" x14ac:dyDescent="0.2">
      <c r="A868" s="10">
        <v>807</v>
      </c>
      <c r="D868" s="2" t="str">
        <f t="shared" si="12"/>
        <v>OK</v>
      </c>
    </row>
    <row r="869" spans="1:4" x14ac:dyDescent="0.2">
      <c r="A869" s="5">
        <v>808</v>
      </c>
      <c r="B869" s="138">
        <f>'Expenditures 15-22'!E72</f>
        <v>14880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42066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45810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806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806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1125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1125</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1587227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1588352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21081</v>
      </c>
      <c r="C1108" s="2" t="s">
        <v>594</v>
      </c>
      <c r="D1108" s="2" t="str">
        <f t="shared" si="16"/>
        <v>Error?</v>
      </c>
    </row>
    <row r="1109" spans="1:4" x14ac:dyDescent="0.2">
      <c r="A1109" s="5">
        <v>1048</v>
      </c>
      <c r="B1109" s="138">
        <f>'Expenditures 15-22'!K36</f>
        <v>69370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30192</v>
      </c>
      <c r="C1111" s="2" t="s">
        <v>594</v>
      </c>
      <c r="D1111" s="2" t="str">
        <f t="shared" si="16"/>
        <v>Error?</v>
      </c>
    </row>
    <row r="1112" spans="1:4" x14ac:dyDescent="0.2">
      <c r="A1112" s="5">
        <v>1051</v>
      </c>
      <c r="B1112" s="138">
        <f>'Expenditures 15-22'!K39</f>
        <v>59332</v>
      </c>
      <c r="C1112" s="2" t="s">
        <v>594</v>
      </c>
      <c r="D1112" s="2" t="str">
        <f t="shared" si="16"/>
        <v>Error?</v>
      </c>
    </row>
    <row r="1113" spans="1:4" x14ac:dyDescent="0.2">
      <c r="A1113" s="5">
        <v>1052</v>
      </c>
      <c r="B1113" s="138">
        <f>'Expenditures 15-22'!K40</f>
        <v>17047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175941</v>
      </c>
      <c r="C1115" s="2" t="s">
        <v>594</v>
      </c>
      <c r="D1115" s="2" t="str">
        <f t="shared" si="16"/>
        <v>Error?</v>
      </c>
    </row>
    <row r="1116" spans="1:4" x14ac:dyDescent="0.2">
      <c r="A1116" s="5">
        <v>1055</v>
      </c>
      <c r="B1116" s="138">
        <f>'Expenditures 15-22'!K44</f>
        <v>1125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1125</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101841</v>
      </c>
      <c r="C1122" s="2" t="s">
        <v>594</v>
      </c>
      <c r="D1122" s="2" t="str">
        <f t="shared" si="16"/>
        <v>Error?</v>
      </c>
    </row>
    <row r="1123" spans="1:4" x14ac:dyDescent="0.2">
      <c r="A1123" s="5">
        <v>1062</v>
      </c>
      <c r="B1123" s="138">
        <f>'Expenditures 15-22'!K55</f>
        <v>104591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104591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14880</v>
      </c>
      <c r="C1139" s="2" t="s">
        <v>594</v>
      </c>
      <c r="D1139" s="2" t="str">
        <f t="shared" si="16"/>
        <v>Error?</v>
      </c>
    </row>
    <row r="1140" spans="1:4" x14ac:dyDescent="0.2">
      <c r="A1140" s="10">
        <v>1079</v>
      </c>
      <c r="D1140" s="2" t="str">
        <f t="shared" si="16"/>
        <v>OK</v>
      </c>
    </row>
    <row r="1141" spans="1:4" x14ac:dyDescent="0.2">
      <c r="A1141" s="5">
        <v>1080</v>
      </c>
      <c r="B1141" s="138">
        <f>'Expenditures 15-22'!K72</f>
        <v>14880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398378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1587227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2006686</v>
      </c>
      <c r="C1152" s="2" t="s">
        <v>594</v>
      </c>
      <c r="D1152" s="2" t="str">
        <f t="shared" si="17"/>
        <v>Error?</v>
      </c>
    </row>
    <row r="1153" spans="1:4" x14ac:dyDescent="0.2">
      <c r="A1153" s="5">
        <v>1092</v>
      </c>
      <c r="B1153" s="138">
        <f>'Expenditures 15-22'!K115</f>
        <v>85028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281824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366852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48679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48679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22114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22114</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26565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26565</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42041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42041</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2657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2657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22114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22114</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22584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22584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3981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3981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1587227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1587227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175850</v>
      </c>
      <c r="C2551" s="2" t="s">
        <v>594</v>
      </c>
      <c r="D2551" s="2" t="str">
        <f t="shared" si="38"/>
        <v>Error?</v>
      </c>
    </row>
    <row r="2552" spans="1:4" x14ac:dyDescent="0.2">
      <c r="A2552" s="10">
        <v>2491</v>
      </c>
      <c r="D2552" s="2" t="str">
        <f t="shared" si="38"/>
        <v>OK</v>
      </c>
    </row>
    <row r="2553" spans="1:4" x14ac:dyDescent="0.2">
      <c r="A2553" s="5">
        <v>2492</v>
      </c>
      <c r="B2553" s="138">
        <f>'Acct Summary 7-8'!C6</f>
        <v>189000</v>
      </c>
      <c r="C2553" s="2" t="s">
        <v>594</v>
      </c>
      <c r="D2553" s="2" t="str">
        <f t="shared" si="38"/>
        <v>Error?</v>
      </c>
    </row>
    <row r="2554" spans="1:4" x14ac:dyDescent="0.2">
      <c r="A2554" s="5">
        <v>2493</v>
      </c>
      <c r="B2554" s="138">
        <f>'Acct Summary 7-8'!C7</f>
        <v>1726864</v>
      </c>
      <c r="C2554" s="2" t="s">
        <v>594</v>
      </c>
      <c r="D2554" s="2" t="str">
        <f t="shared" si="38"/>
        <v>Error?</v>
      </c>
    </row>
    <row r="2555" spans="1:4" x14ac:dyDescent="0.2">
      <c r="A2555" s="5">
        <v>2494</v>
      </c>
      <c r="B2555" s="138">
        <f>'Acct Summary 7-8'!C8</f>
        <v>2091714</v>
      </c>
      <c r="C2555" s="2" t="s">
        <v>594</v>
      </c>
      <c r="D2555" s="2" t="str">
        <f t="shared" si="38"/>
        <v>Error?</v>
      </c>
    </row>
    <row r="2556" spans="1:4" x14ac:dyDescent="0.2">
      <c r="A2556" s="5">
        <v>2495</v>
      </c>
      <c r="B2556" s="138">
        <f>'Acct Summary 7-8'!C12</f>
        <v>21081</v>
      </c>
      <c r="C2556" s="2" t="s">
        <v>594</v>
      </c>
      <c r="D2556" s="2" t="str">
        <f t="shared" si="38"/>
        <v>Error?</v>
      </c>
    </row>
    <row r="2557" spans="1:4" x14ac:dyDescent="0.2">
      <c r="A2557" s="5">
        <v>2496</v>
      </c>
      <c r="B2557" s="138">
        <f>'Acct Summary 7-8'!C13</f>
        <v>398378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1587227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2006686</v>
      </c>
      <c r="C2561" s="2" t="s">
        <v>594</v>
      </c>
      <c r="D2561" s="2" t="str">
        <f t="shared" si="39"/>
        <v>Error?</v>
      </c>
    </row>
    <row r="2562" spans="1:4" x14ac:dyDescent="0.2">
      <c r="A2562" s="5">
        <v>2501</v>
      </c>
      <c r="B2562" s="138">
        <f>'Acct Summary 7-8'!C20</f>
        <v>85028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67042</v>
      </c>
      <c r="D2718" s="2" t="str">
        <f t="shared" si="41"/>
        <v>Error?</v>
      </c>
    </row>
    <row r="2719" spans="1:4" x14ac:dyDescent="0.2">
      <c r="A2719" s="5">
        <v>2658</v>
      </c>
      <c r="B2719" s="138">
        <f>'Expenditures 15-22'!D51</f>
        <v>24224</v>
      </c>
      <c r="D2719" s="2" t="str">
        <f t="shared" si="41"/>
        <v>Error?</v>
      </c>
    </row>
    <row r="2720" spans="1:4" x14ac:dyDescent="0.2">
      <c r="A2720" s="5">
        <v>2659</v>
      </c>
      <c r="B2720" s="138">
        <f>'Expenditures 15-22'!E51</f>
        <v>9769</v>
      </c>
      <c r="D2720" s="2" t="str">
        <f t="shared" si="41"/>
        <v>Error?</v>
      </c>
    </row>
    <row r="2721" spans="1:4" x14ac:dyDescent="0.2">
      <c r="A2721" s="5">
        <v>2660</v>
      </c>
      <c r="B2721" s="138">
        <f>'Expenditures 15-22'!F51</f>
        <v>806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101841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14880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1587227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1587227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85028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17126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21081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366852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2091714</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2006686</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366852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73121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73173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2522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79043</v>
      </c>
      <c r="D5115" s="2" t="str">
        <f t="shared" si="78"/>
        <v>Error?</v>
      </c>
    </row>
    <row r="5116" spans="1:4" x14ac:dyDescent="0.2">
      <c r="A5116" s="5">
        <v>5055</v>
      </c>
      <c r="B5116" s="138">
        <f>'Revenues 9-14'!C99</f>
        <v>82412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11873</v>
      </c>
      <c r="D5119" s="2" t="str">
        <f t="shared" ref="D5119:D5182" si="79">IF(ISBLANK(B5119),"OK",IF(A5119-B5119=0,"OK","Error?"))</f>
        <v>Error?</v>
      </c>
    </row>
    <row r="5120" spans="1:4" x14ac:dyDescent="0.2">
      <c r="A5120" s="5">
        <v>5059</v>
      </c>
      <c r="B5120" s="138">
        <f>'Revenues 9-14'!C108</f>
        <v>173328</v>
      </c>
      <c r="C5120" s="2" t="s">
        <v>594</v>
      </c>
      <c r="D5120" s="2" t="str">
        <f t="shared" si="79"/>
        <v>Error?</v>
      </c>
    </row>
    <row r="5121" spans="1:4" x14ac:dyDescent="0.2">
      <c r="A5121" s="5">
        <v>5060</v>
      </c>
      <c r="B5121" s="138">
        <f>'Revenues 9-14'!C109</f>
        <v>175850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126000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126000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63000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63000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63000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189000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88500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1492070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1580570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1726864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1726864</v>
      </c>
      <c r="C5326" s="2" t="s">
        <v>594</v>
      </c>
      <c r="D5326" s="2" t="str">
        <f t="shared" si="82"/>
        <v>Error?</v>
      </c>
    </row>
    <row r="5327" spans="1:4" x14ac:dyDescent="0.2">
      <c r="A5327" s="5">
        <v>5266</v>
      </c>
      <c r="B5327" s="138">
        <f>'Revenues 9-14'!C275</f>
        <v>2091714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85028</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0.23177739251796364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0</v>
      </c>
      <c r="D7797" s="2" t="str">
        <f t="shared" si="127"/>
        <v>Error?</v>
      </c>
      <c r="E7797" s="4" t="s">
        <v>2016</v>
      </c>
    </row>
    <row r="7798" spans="1:5" x14ac:dyDescent="0.2">
      <c r="A7798">
        <v>7737</v>
      </c>
      <c r="B7798" s="138">
        <f>'Contracts Paid in CY 29'!F141</f>
        <v>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4" t="s">
        <v>1253</v>
      </c>
      <c r="B2" s="2444"/>
      <c r="C2" s="2444"/>
      <c r="D2" s="2444"/>
      <c r="E2" s="2444"/>
      <c r="F2" s="2444"/>
      <c r="G2" s="2444"/>
      <c r="H2" s="2444"/>
      <c r="I2" s="2444"/>
      <c r="J2" s="2444"/>
      <c r="K2" s="2444"/>
      <c r="L2" s="2444"/>
    </row>
    <row r="3" spans="1:29" ht="13.5" customHeight="1" x14ac:dyDescent="0.2">
      <c r="A3" s="2430" t="s">
        <v>1252</v>
      </c>
      <c r="B3" s="2430"/>
      <c r="C3" s="2430"/>
      <c r="D3" s="2430"/>
      <c r="E3" s="2430"/>
      <c r="F3" s="2430"/>
      <c r="G3" s="2430"/>
      <c r="H3" s="2430"/>
      <c r="I3" s="2430"/>
      <c r="J3" s="2430"/>
      <c r="K3" s="2430"/>
      <c r="L3" s="2430"/>
    </row>
    <row r="4" spans="1:29" ht="13.5" customHeight="1" x14ac:dyDescent="0.2">
      <c r="A4" s="2444" t="s">
        <v>1799</v>
      </c>
      <c r="B4" s="2461"/>
      <c r="C4" s="2461"/>
      <c r="D4" s="2461"/>
      <c r="E4" s="2461"/>
      <c r="F4" s="2461"/>
      <c r="G4" s="2461"/>
      <c r="H4" s="2461"/>
      <c r="I4" s="2461"/>
      <c r="J4" s="2461"/>
      <c r="K4" s="2461"/>
      <c r="L4" s="246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4" t="str">
        <f>COVER!A17</f>
        <v>Sp Ed Association of Adams Co</v>
      </c>
      <c r="B7" s="2425"/>
      <c r="C7" s="2425"/>
      <c r="D7" s="2462"/>
      <c r="E7" s="2463">
        <f>COVER!A13</f>
        <v>1001172061</v>
      </c>
      <c r="F7" s="2464"/>
      <c r="G7" s="2431" t="str">
        <f>COVER!T23</f>
        <v>066.004993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37" t="str">
        <f>COVER!T13</f>
        <v>Zumbahlen, Eyth, Surratt, Foote &amp; Flynn, Ltd.</v>
      </c>
      <c r="H9" s="2438"/>
      <c r="I9" s="2438"/>
      <c r="J9" s="2438"/>
      <c r="K9" s="2438"/>
      <c r="L9" s="2439"/>
    </row>
    <row r="10" spans="1:29" ht="13.5" customHeight="1" x14ac:dyDescent="0.2">
      <c r="A10" s="2421" t="str">
        <f>COVER!A38</f>
        <v>Eryn Beswick</v>
      </c>
      <c r="B10" s="2422"/>
      <c r="C10" s="2422"/>
      <c r="D10" s="2422"/>
      <c r="E10" s="2422"/>
      <c r="F10" s="2423"/>
      <c r="G10" s="2437" t="str">
        <f>COVER!T17</f>
        <v>1395 Lincoln Avenue</v>
      </c>
      <c r="H10" s="2450"/>
      <c r="I10" s="2450"/>
      <c r="J10" s="2450"/>
      <c r="K10" s="2450"/>
      <c r="L10" s="2451"/>
    </row>
    <row r="11" spans="1:29" ht="13.5" customHeight="1" x14ac:dyDescent="0.2">
      <c r="A11" s="1185" t="s">
        <v>1599</v>
      </c>
      <c r="B11" s="1186"/>
      <c r="C11" s="1187"/>
      <c r="D11" s="1192"/>
      <c r="E11" s="1187"/>
      <c r="F11" s="1191"/>
      <c r="G11" s="2437" t="str">
        <f>COVER!T19</f>
        <v>Jacksonville</v>
      </c>
      <c r="H11" s="2450"/>
      <c r="I11" s="2450"/>
      <c r="J11" s="2450"/>
      <c r="K11" s="2450"/>
      <c r="L11" s="2451"/>
    </row>
    <row r="12" spans="1:29" ht="13.5" customHeight="1" x14ac:dyDescent="0.2">
      <c r="A12" s="2455" t="s">
        <v>1598</v>
      </c>
      <c r="B12" s="2456"/>
      <c r="C12" s="2456"/>
      <c r="D12" s="2456"/>
      <c r="E12" s="2456"/>
      <c r="F12" s="2457"/>
      <c r="G12" s="2452"/>
      <c r="H12" s="2453"/>
      <c r="I12" s="2453"/>
      <c r="J12" s="2453"/>
      <c r="K12" s="2453"/>
      <c r="L12" s="2454"/>
    </row>
    <row r="13" spans="1:29" ht="13.5" customHeight="1" x14ac:dyDescent="0.2">
      <c r="A13" s="2437"/>
      <c r="B13" s="2450"/>
      <c r="C13" s="2450"/>
      <c r="D13" s="2450"/>
      <c r="E13" s="2450"/>
      <c r="F13" s="2451"/>
      <c r="G13" s="2445" t="s">
        <v>1600</v>
      </c>
      <c r="H13" s="2446"/>
      <c r="I13" s="2458" t="str">
        <f>COVER!T25</f>
        <v>vflynn@zescpa.com</v>
      </c>
      <c r="J13" s="2459"/>
      <c r="K13" s="2459"/>
      <c r="L13" s="2460"/>
    </row>
    <row r="14" spans="1:29" ht="13.5" customHeight="1" x14ac:dyDescent="0.2">
      <c r="A14" s="2437" t="str">
        <f>COVER!A19</f>
        <v>1416 Maine Street</v>
      </c>
      <c r="B14" s="2450"/>
      <c r="C14" s="2450"/>
      <c r="D14" s="2450"/>
      <c r="E14" s="2450"/>
      <c r="F14" s="2451"/>
      <c r="G14" s="1196" t="s">
        <v>1247</v>
      </c>
      <c r="H14" s="1194"/>
      <c r="I14" s="1194"/>
      <c r="J14" s="1194"/>
      <c r="K14" s="1194"/>
      <c r="L14" s="1195"/>
    </row>
    <row r="15" spans="1:29" ht="13.5" customHeight="1" x14ac:dyDescent="0.2">
      <c r="A15" s="2437" t="str">
        <f>COVER!A21</f>
        <v>Quincy, Illinois</v>
      </c>
      <c r="B15" s="2450"/>
      <c r="C15" s="2450"/>
      <c r="D15" s="2450"/>
      <c r="E15" s="2450"/>
      <c r="F15" s="2451"/>
      <c r="G15" s="2447" t="str">
        <f>COVER!T15</f>
        <v>Valerie L. Flynn, CPA</v>
      </c>
      <c r="H15" s="2448"/>
      <c r="I15" s="2448"/>
      <c r="J15" s="2448"/>
      <c r="K15" s="2448"/>
      <c r="L15" s="2449"/>
    </row>
    <row r="16" spans="1:29" ht="12.2" customHeight="1" x14ac:dyDescent="0.2">
      <c r="A16" s="2427">
        <f>COVER!A25</f>
        <v>62301</v>
      </c>
      <c r="B16" s="2428"/>
      <c r="C16" s="2428"/>
      <c r="D16" s="2428"/>
      <c r="E16" s="2428"/>
      <c r="F16" s="2429"/>
      <c r="G16" s="2440"/>
      <c r="H16" s="2441"/>
      <c r="I16" s="2441"/>
      <c r="J16" s="2441"/>
      <c r="K16" s="2441"/>
      <c r="L16" s="2442"/>
    </row>
    <row r="17" spans="1:13" ht="12.2" customHeight="1" x14ac:dyDescent="0.2">
      <c r="A17" s="2443"/>
      <c r="B17" s="2428"/>
      <c r="C17" s="2428"/>
      <c r="D17" s="2428"/>
      <c r="E17" s="2428"/>
      <c r="F17" s="2429"/>
      <c r="G17" s="1196" t="s">
        <v>1246</v>
      </c>
      <c r="H17" s="1194"/>
      <c r="I17" s="1194"/>
      <c r="J17" s="1194"/>
      <c r="K17" s="1198" t="s">
        <v>1245</v>
      </c>
      <c r="L17" s="1191"/>
      <c r="M17" s="1184"/>
    </row>
    <row r="18" spans="1:13" ht="12.2" customHeight="1" x14ac:dyDescent="0.2">
      <c r="A18" s="2421"/>
      <c r="B18" s="2422"/>
      <c r="C18" s="2422"/>
      <c r="D18" s="2422"/>
      <c r="E18" s="2422"/>
      <c r="F18" s="2423"/>
      <c r="G18" s="2424" t="str">
        <f>COVER!T21</f>
        <v>217-245-5121</v>
      </c>
      <c r="H18" s="2425"/>
      <c r="I18" s="2425"/>
      <c r="J18" s="2425"/>
      <c r="K18" s="2424" t="str">
        <f>COVER!X21</f>
        <v>217-243-3356</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5" t="str">
        <f>'Single Audit Cover'!A7</f>
        <v>Sp Ed Association of Adams Co</v>
      </c>
      <c r="B1" s="2461"/>
      <c r="C1" s="2461"/>
      <c r="D1" s="2461"/>
    </row>
    <row r="2" spans="1:11" s="1215" customFormat="1" ht="12.75" x14ac:dyDescent="0.2">
      <c r="A2" s="2466">
        <f>'Single Audit Cover'!E7</f>
        <v>1001172061</v>
      </c>
      <c r="B2" s="2467"/>
      <c r="C2" s="2467"/>
      <c r="D2" s="2467"/>
    </row>
    <row r="3" spans="1:11" s="1215" customFormat="1" ht="12.75" x14ac:dyDescent="0.2">
      <c r="A3" s="2465" t="s">
        <v>1593</v>
      </c>
      <c r="B3" s="2461"/>
      <c r="C3" s="2461"/>
      <c r="D3" s="246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2114</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2073</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2114</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2073</v>
      </c>
      <c r="C42" s="1232">
        <v>11</v>
      </c>
      <c r="D42" s="1243" t="s">
        <v>1655</v>
      </c>
      <c r="E42" s="312"/>
    </row>
    <row r="43" spans="1:5" ht="3" customHeight="1" x14ac:dyDescent="0.2">
      <c r="A43" s="1222"/>
      <c r="B43" s="1239"/>
      <c r="C43" s="1240"/>
      <c r="D43" s="1221"/>
    </row>
    <row r="44" spans="1:5" x14ac:dyDescent="0.2">
      <c r="A44" s="1222"/>
      <c r="B44" s="1225" t="s">
        <v>2114</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2114</v>
      </c>
      <c r="C48" s="1226">
        <f>C44+1</f>
        <v>13</v>
      </c>
      <c r="D48" s="1237" t="s">
        <v>1656</v>
      </c>
    </row>
    <row r="49" spans="1:4" ht="3" customHeight="1" x14ac:dyDescent="0.2">
      <c r="A49" s="1222"/>
      <c r="B49" s="1229"/>
      <c r="C49" s="1226"/>
      <c r="D49" s="1237"/>
    </row>
    <row r="50" spans="1:4" x14ac:dyDescent="0.2">
      <c r="A50" s="1222"/>
      <c r="B50" s="1225" t="s">
        <v>2114</v>
      </c>
      <c r="C50" s="1226">
        <f>C48+1</f>
        <v>14</v>
      </c>
      <c r="D50" s="1237" t="s">
        <v>1274</v>
      </c>
    </row>
    <row r="51" spans="1:4" ht="3" customHeight="1" x14ac:dyDescent="0.2">
      <c r="A51" s="1222"/>
      <c r="B51" s="1229"/>
      <c r="C51" s="1226"/>
      <c r="D51" s="1237"/>
    </row>
    <row r="52" spans="1:4" x14ac:dyDescent="0.2">
      <c r="A52" s="1222"/>
      <c r="B52" s="1225" t="s">
        <v>2114</v>
      </c>
      <c r="C52" s="1226">
        <f>C50+1</f>
        <v>15</v>
      </c>
      <c r="D52" s="1237" t="s">
        <v>1273</v>
      </c>
    </row>
    <row r="53" spans="1:4" ht="3" customHeight="1" x14ac:dyDescent="0.2">
      <c r="A53" s="1222"/>
      <c r="B53" s="1229"/>
      <c r="C53" s="1226"/>
      <c r="D53" s="1237"/>
    </row>
    <row r="54" spans="1:4" x14ac:dyDescent="0.2">
      <c r="A54" s="1222"/>
      <c r="B54" s="1225" t="s">
        <v>2114</v>
      </c>
      <c r="C54" s="1226">
        <f>C52+1</f>
        <v>16</v>
      </c>
      <c r="D54" s="1237" t="s">
        <v>1272</v>
      </c>
    </row>
    <row r="55" spans="1:4" ht="3" customHeight="1" x14ac:dyDescent="0.2">
      <c r="A55" s="1222"/>
      <c r="B55" s="1229"/>
      <c r="C55" s="1226"/>
      <c r="D55" s="1237"/>
    </row>
    <row r="56" spans="1:4" x14ac:dyDescent="0.2">
      <c r="A56" s="1222"/>
      <c r="B56" s="1225" t="s">
        <v>2114</v>
      </c>
      <c r="C56" s="1226">
        <f>C54+1</f>
        <v>17</v>
      </c>
      <c r="D56" s="1221" t="s">
        <v>1811</v>
      </c>
    </row>
    <row r="57" spans="1:4" ht="10.5" customHeight="1" x14ac:dyDescent="0.2">
      <c r="A57" s="1222"/>
      <c r="D57" s="1237" t="s">
        <v>1812</v>
      </c>
    </row>
    <row r="58" spans="1:4" x14ac:dyDescent="0.2">
      <c r="A58" s="1222"/>
      <c r="C58" s="1244" t="s">
        <v>2114</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2114</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2114</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2114</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2073</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2073</v>
      </c>
      <c r="C91" s="1226">
        <f>C89+1</f>
        <v>27</v>
      </c>
      <c r="D91" s="1237" t="s">
        <v>1822</v>
      </c>
    </row>
    <row r="92" spans="1:4" x14ac:dyDescent="0.2">
      <c r="A92" s="1222"/>
      <c r="B92" s="1250"/>
      <c r="C92" s="1244" t="s">
        <v>2114</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2073</v>
      </c>
      <c r="C108" s="1226">
        <v>33</v>
      </c>
      <c r="D108" s="1221" t="s">
        <v>1826</v>
      </c>
    </row>
    <row r="109" spans="1:4" ht="3" customHeight="1" x14ac:dyDescent="0.2">
      <c r="A109" s="1222"/>
      <c r="B109" s="1229"/>
      <c r="C109" s="1226"/>
      <c r="D109" s="1221"/>
    </row>
    <row r="110" spans="1:4" x14ac:dyDescent="0.2">
      <c r="A110" s="1222"/>
      <c r="B110" s="1225" t="s">
        <v>2073</v>
      </c>
      <c r="C110" s="1226">
        <f>C108+1</f>
        <v>34</v>
      </c>
      <c r="D110" s="1221" t="s">
        <v>1260</v>
      </c>
    </row>
    <row r="111" spans="1:4" ht="3" customHeight="1" x14ac:dyDescent="0.2">
      <c r="A111" s="1222"/>
      <c r="B111" s="1229"/>
      <c r="C111" s="1226"/>
      <c r="D111" s="1221"/>
    </row>
    <row r="112" spans="1:4" x14ac:dyDescent="0.2">
      <c r="A112" s="1222"/>
      <c r="B112" s="1225" t="s">
        <v>2073</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2114</v>
      </c>
      <c r="C115" s="1226">
        <f>C112+1</f>
        <v>36</v>
      </c>
      <c r="D115" s="1237" t="s">
        <v>1257</v>
      </c>
    </row>
    <row r="116" spans="1:4" ht="3" customHeight="1" x14ac:dyDescent="0.2">
      <c r="A116" s="1222"/>
      <c r="B116" s="1229"/>
      <c r="C116" s="1226"/>
      <c r="D116" s="1237"/>
    </row>
    <row r="117" spans="1:4" x14ac:dyDescent="0.2">
      <c r="A117" s="1222"/>
      <c r="B117" s="1225" t="s">
        <v>2114</v>
      </c>
      <c r="C117" s="1226">
        <f>C115+1</f>
        <v>37</v>
      </c>
      <c r="D117" s="1237" t="s">
        <v>1827</v>
      </c>
    </row>
    <row r="118" spans="1:4" ht="3" customHeight="1" x14ac:dyDescent="0.2">
      <c r="A118" s="1222"/>
      <c r="B118" s="1229"/>
      <c r="C118" s="1226"/>
      <c r="D118" s="1237"/>
    </row>
    <row r="119" spans="1:4" x14ac:dyDescent="0.2">
      <c r="A119" s="1222"/>
      <c r="B119" s="1225" t="s">
        <v>2114</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9" t="str">
        <f>'Single Audit Cover'!A7</f>
        <v>Sp Ed Association of Adams Co</v>
      </c>
      <c r="B1" s="2469"/>
      <c r="C1" s="2469"/>
      <c r="D1" s="2469"/>
      <c r="E1" s="2469"/>
    </row>
    <row r="2" spans="1:5" x14ac:dyDescent="0.2">
      <c r="A2" s="2470">
        <f>'Single Audit Cover'!E7</f>
        <v>1001172061</v>
      </c>
      <c r="B2" s="2470"/>
      <c r="C2" s="2470"/>
      <c r="D2" s="2470"/>
      <c r="E2" s="2470"/>
    </row>
    <row r="3" spans="1:5" ht="4.5" customHeight="1" x14ac:dyDescent="0.2"/>
    <row r="4" spans="1:5" x14ac:dyDescent="0.2">
      <c r="A4" s="2469" t="s">
        <v>1307</v>
      </c>
      <c r="B4" s="2469"/>
      <c r="C4" s="2469"/>
      <c r="D4" s="2469"/>
      <c r="E4" s="2469"/>
    </row>
    <row r="5" spans="1:5" x14ac:dyDescent="0.2">
      <c r="A5" s="2472" t="str">
        <f>'Single Audit Cover'!A4</f>
        <v>Year Ending June 30, 2018</v>
      </c>
      <c r="B5" s="2472"/>
      <c r="C5" s="2472"/>
      <c r="D5" s="2472"/>
      <c r="E5" s="2472"/>
    </row>
    <row r="6" spans="1:5" x14ac:dyDescent="0.2">
      <c r="A6" s="2469" t="s">
        <v>1306</v>
      </c>
      <c r="B6" s="2469"/>
      <c r="C6" s="2469"/>
      <c r="D6" s="2469"/>
      <c r="E6" s="2469"/>
    </row>
    <row r="8" spans="1:5" x14ac:dyDescent="0.2">
      <c r="A8" s="1260" t="s">
        <v>1305</v>
      </c>
    </row>
    <row r="10" spans="1:5" x14ac:dyDescent="0.2">
      <c r="A10" s="1261" t="s">
        <v>1304</v>
      </c>
      <c r="B10" s="1262" t="s">
        <v>1303</v>
      </c>
      <c r="C10" s="1262"/>
      <c r="D10" s="1263">
        <f>SUM('Acct Summary 7-8'!C7:K7)</f>
        <v>1726864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-73173</v>
      </c>
    </row>
    <row r="19" spans="1:4" ht="13.5" thickBot="1" x14ac:dyDescent="0.25">
      <c r="A19" s="1265" t="s">
        <v>1297</v>
      </c>
      <c r="D19" s="1266">
        <f>SUM(D10:D17)</f>
        <v>1653691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1" t="s">
        <v>2115</v>
      </c>
      <c r="B24" s="2471"/>
      <c r="D24" s="1268">
        <v>3047</v>
      </c>
    </row>
    <row r="25" spans="1:4" x14ac:dyDescent="0.2">
      <c r="A25" s="2468"/>
      <c r="B25" s="2468"/>
      <c r="D25" s="1268"/>
    </row>
    <row r="26" spans="1:4" x14ac:dyDescent="0.2">
      <c r="A26" s="2468"/>
      <c r="B26" s="2468"/>
      <c r="D26" s="1268"/>
    </row>
    <row r="27" spans="1:4" x14ac:dyDescent="0.2">
      <c r="A27" s="2468"/>
      <c r="B27" s="2468"/>
      <c r="D27" s="1268"/>
    </row>
    <row r="28" spans="1:4" x14ac:dyDescent="0.2">
      <c r="A28" s="2468"/>
      <c r="B28" s="2468"/>
      <c r="D28" s="1268"/>
    </row>
    <row r="29" spans="1:4" x14ac:dyDescent="0.2">
      <c r="A29" s="2468"/>
      <c r="B29" s="2468"/>
      <c r="D29" s="1268"/>
    </row>
    <row r="30" spans="1:4" x14ac:dyDescent="0.2">
      <c r="A30" s="2468"/>
      <c r="B30" s="2468"/>
      <c r="D30" s="1268"/>
    </row>
    <row r="32" spans="1:4" x14ac:dyDescent="0.2">
      <c r="A32" s="1260" t="s">
        <v>1295</v>
      </c>
      <c r="D32" s="1263">
        <f>SUM(D19:D30)</f>
        <v>1656738</v>
      </c>
    </row>
    <row r="33" spans="1:4" x14ac:dyDescent="0.2">
      <c r="D33" s="1269"/>
    </row>
    <row r="34" spans="1:4" x14ac:dyDescent="0.2">
      <c r="A34" s="317" t="s">
        <v>1294</v>
      </c>
    </row>
    <row r="35" spans="1:4" x14ac:dyDescent="0.2">
      <c r="A35" s="317" t="s">
        <v>1293</v>
      </c>
      <c r="B35" s="1258" t="s">
        <v>1292</v>
      </c>
      <c r="D35" s="1270">
        <v>1656738</v>
      </c>
    </row>
    <row r="37" spans="1:4" x14ac:dyDescent="0.2">
      <c r="A37" s="1260" t="s">
        <v>1291</v>
      </c>
    </row>
    <row r="39" spans="1:4" ht="13.35" customHeight="1" x14ac:dyDescent="0.2">
      <c r="A39" s="1267" t="s">
        <v>1290</v>
      </c>
    </row>
    <row r="40" spans="1:4" x14ac:dyDescent="0.2">
      <c r="A40" s="2468"/>
      <c r="B40" s="2468"/>
      <c r="D40" s="1268"/>
    </row>
    <row r="41" spans="1:4" x14ac:dyDescent="0.2">
      <c r="A41" s="2468"/>
      <c r="B41" s="2468"/>
      <c r="D41" s="1271"/>
    </row>
    <row r="42" spans="1:4" x14ac:dyDescent="0.2">
      <c r="A42" s="2468"/>
      <c r="B42" s="2468"/>
      <c r="D42" s="1271"/>
    </row>
    <row r="43" spans="1:4" x14ac:dyDescent="0.2">
      <c r="A43" s="2468"/>
      <c r="B43" s="2468"/>
      <c r="D43" s="1271"/>
    </row>
    <row r="44" spans="1:4" x14ac:dyDescent="0.2">
      <c r="A44" s="2468"/>
      <c r="B44" s="2468"/>
      <c r="D44" s="1271"/>
    </row>
    <row r="45" spans="1:4" x14ac:dyDescent="0.2">
      <c r="A45" s="2468"/>
      <c r="B45" s="2468"/>
      <c r="D45" s="1271"/>
    </row>
    <row r="47" spans="1:4" x14ac:dyDescent="0.2">
      <c r="B47" s="1272" t="s">
        <v>1289</v>
      </c>
      <c r="C47" s="1272"/>
      <c r="D47" s="1273">
        <f>SUM(D35:D45)</f>
        <v>1656738</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6"/>
  <sheetViews>
    <sheetView showGridLines="0" topLeftCell="A22" zoomScale="125" zoomScaleNormal="125" workbookViewId="0">
      <selection sqref="A1:D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Sp Ed Association of Adams Co</v>
      </c>
      <c r="C1" s="2473"/>
      <c r="D1" s="2473"/>
      <c r="E1" s="2473"/>
      <c r="F1" s="2473"/>
      <c r="G1" s="2473"/>
      <c r="H1" s="2473"/>
      <c r="I1" s="2473"/>
      <c r="J1" s="2473"/>
      <c r="K1" s="2473"/>
      <c r="L1" s="2473"/>
      <c r="M1" s="2473"/>
    </row>
    <row r="2" spans="2:14" ht="15" x14ac:dyDescent="0.2">
      <c r="B2" s="2474">
        <f>'Single Audit Cover'!E7</f>
        <v>1001172061</v>
      </c>
      <c r="C2" s="2474"/>
      <c r="D2" s="2474"/>
      <c r="E2" s="2474"/>
      <c r="F2" s="2474"/>
      <c r="G2" s="2474"/>
      <c r="H2" s="2474"/>
      <c r="I2" s="2474"/>
      <c r="J2" s="2474"/>
      <c r="K2" s="2474"/>
      <c r="L2" s="2474"/>
      <c r="M2" s="2474"/>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1" customHeight="1" x14ac:dyDescent="0.2">
      <c r="B11" s="1337" t="s">
        <v>2089</v>
      </c>
      <c r="C11" s="1338"/>
      <c r="D11" s="1339"/>
      <c r="E11" s="1340"/>
      <c r="F11" s="1340"/>
      <c r="G11" s="1340"/>
      <c r="H11" s="1340"/>
      <c r="I11" s="1340"/>
      <c r="J11" s="1340"/>
      <c r="K11" s="1340"/>
      <c r="L11" s="1340"/>
      <c r="M11" s="1340"/>
    </row>
    <row r="12" spans="2:14" ht="21.6" customHeight="1" x14ac:dyDescent="0.2">
      <c r="B12" s="1337" t="s">
        <v>2096</v>
      </c>
      <c r="C12" s="1341">
        <v>84.173000000000002</v>
      </c>
      <c r="D12" s="1342" t="s">
        <v>2092</v>
      </c>
      <c r="E12" s="1343">
        <v>83026</v>
      </c>
      <c r="F12" s="1343">
        <v>34955</v>
      </c>
      <c r="G12" s="1343">
        <v>91502</v>
      </c>
      <c r="H12" s="1343">
        <v>91502</v>
      </c>
      <c r="I12" s="1343">
        <f>117985-G12</f>
        <v>26483</v>
      </c>
      <c r="J12" s="1969">
        <v>26483</v>
      </c>
      <c r="K12" s="1343"/>
      <c r="L12" s="1340">
        <f>+G12+I12+K12</f>
        <v>117985</v>
      </c>
      <c r="M12" s="1343">
        <v>117988</v>
      </c>
    </row>
    <row r="13" spans="2:14" ht="20.100000000000001" customHeight="1" x14ac:dyDescent="0.2">
      <c r="B13" s="1337" t="s">
        <v>2090</v>
      </c>
      <c r="C13" s="1341">
        <v>84.173000000000002</v>
      </c>
      <c r="D13" s="1342" t="s">
        <v>2093</v>
      </c>
      <c r="E13" s="1343"/>
      <c r="F13" s="1343">
        <v>53545</v>
      </c>
      <c r="G13" s="1343"/>
      <c r="H13" s="1343"/>
      <c r="I13" s="1343">
        <v>66212</v>
      </c>
      <c r="J13" s="1969">
        <v>66212</v>
      </c>
      <c r="K13" s="1343">
        <v>37000</v>
      </c>
      <c r="L13" s="1340">
        <f t="shared" ref="L13:L31" si="0">+G13+I13+K13</f>
        <v>103212</v>
      </c>
      <c r="M13" s="1343">
        <v>117988</v>
      </c>
    </row>
    <row r="14" spans="2:14" ht="20.100000000000001" customHeight="1" x14ac:dyDescent="0.2">
      <c r="B14" s="1954" t="s">
        <v>2091</v>
      </c>
      <c r="C14" s="1955"/>
      <c r="D14" s="1956"/>
      <c r="E14" s="1957">
        <f>SUM(E12:E13)</f>
        <v>83026</v>
      </c>
      <c r="F14" s="1957">
        <f t="shared" ref="F14:K14" si="1">SUM(F12:F13)</f>
        <v>88500</v>
      </c>
      <c r="G14" s="1957">
        <f t="shared" si="1"/>
        <v>91502</v>
      </c>
      <c r="H14" s="1957">
        <f t="shared" si="1"/>
        <v>91502</v>
      </c>
      <c r="I14" s="1957">
        <f t="shared" si="1"/>
        <v>92695</v>
      </c>
      <c r="J14" s="1957">
        <f t="shared" si="1"/>
        <v>92695</v>
      </c>
      <c r="K14" s="1957">
        <f t="shared" si="1"/>
        <v>37000</v>
      </c>
      <c r="L14" s="1958">
        <f>+G14+I14+K14</f>
        <v>221197</v>
      </c>
      <c r="M14" s="1957"/>
    </row>
    <row r="15" spans="2:14" ht="9"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2094</v>
      </c>
      <c r="C16" s="1341">
        <v>84.027000000000001</v>
      </c>
      <c r="D16" s="1342" t="s">
        <v>2097</v>
      </c>
      <c r="E16" s="1343">
        <v>1760967</v>
      </c>
      <c r="F16" s="1343">
        <v>589886</v>
      </c>
      <c r="G16" s="1343">
        <v>1903740</v>
      </c>
      <c r="H16" s="1343">
        <v>522357</v>
      </c>
      <c r="I16" s="1343">
        <f>2350853-G16</f>
        <v>447113</v>
      </c>
      <c r="J16" s="1969">
        <f>661874-H16</f>
        <v>139517</v>
      </c>
      <c r="K16" s="1343"/>
      <c r="L16" s="1340">
        <f>+G16+I16+K16</f>
        <v>2350853</v>
      </c>
      <c r="M16" s="1343">
        <v>2662945</v>
      </c>
    </row>
    <row r="17" spans="2:14" ht="22.15" customHeight="1" x14ac:dyDescent="0.2">
      <c r="B17" s="1337" t="s">
        <v>2108</v>
      </c>
      <c r="C17" s="1341">
        <v>84.027000000000001</v>
      </c>
      <c r="D17" s="1342" t="s">
        <v>2098</v>
      </c>
      <c r="E17" s="1343"/>
      <c r="F17" s="1343">
        <v>902184</v>
      </c>
      <c r="G17" s="1343"/>
      <c r="H17" s="1343"/>
      <c r="I17" s="1343">
        <v>1364123</v>
      </c>
      <c r="J17" s="1969">
        <v>1258394</v>
      </c>
      <c r="K17" s="1343">
        <v>815065</v>
      </c>
      <c r="L17" s="1340">
        <f>+G17+I17+K17</f>
        <v>2179188</v>
      </c>
      <c r="M17" s="1343">
        <v>2710241</v>
      </c>
    </row>
    <row r="18" spans="2:14" ht="20.100000000000001" customHeight="1" x14ac:dyDescent="0.2">
      <c r="B18" s="1954" t="s">
        <v>2095</v>
      </c>
      <c r="C18" s="1955"/>
      <c r="D18" s="1956"/>
      <c r="E18" s="1957">
        <f>SUM(E16:E17)</f>
        <v>1760967</v>
      </c>
      <c r="F18" s="1957">
        <f t="shared" ref="F18:K18" si="2">SUM(F16:F17)</f>
        <v>1492070</v>
      </c>
      <c r="G18" s="1957">
        <f t="shared" si="2"/>
        <v>1903740</v>
      </c>
      <c r="H18" s="1957">
        <f t="shared" si="2"/>
        <v>522357</v>
      </c>
      <c r="I18" s="1957">
        <f t="shared" si="2"/>
        <v>1811236</v>
      </c>
      <c r="J18" s="1957">
        <f t="shared" si="2"/>
        <v>1397911</v>
      </c>
      <c r="K18" s="1957">
        <f t="shared" si="2"/>
        <v>815065</v>
      </c>
      <c r="L18" s="1958">
        <f>+G18+I18+K18</f>
        <v>4530041</v>
      </c>
      <c r="M18" s="1957"/>
    </row>
    <row r="19" spans="2:14" ht="9" customHeight="1" x14ac:dyDescent="0.2">
      <c r="B19" s="1337"/>
      <c r="C19" s="1341"/>
      <c r="D19" s="1342"/>
      <c r="E19" s="1343"/>
      <c r="F19" s="1343"/>
      <c r="G19" s="1343"/>
      <c r="H19" s="1343"/>
      <c r="I19" s="1343"/>
      <c r="J19" s="1343"/>
      <c r="K19" s="1343"/>
      <c r="L19" s="1340"/>
      <c r="M19" s="1343"/>
    </row>
    <row r="20" spans="2:14" ht="19.899999999999999" customHeight="1" x14ac:dyDescent="0.2">
      <c r="B20" s="1954" t="s">
        <v>2109</v>
      </c>
      <c r="C20" s="1955"/>
      <c r="D20" s="1956"/>
      <c r="E20" s="1957">
        <f>E14+E18</f>
        <v>1843993</v>
      </c>
      <c r="F20" s="1957">
        <f t="shared" ref="F20:L20" si="3">F14+F18</f>
        <v>1580570</v>
      </c>
      <c r="G20" s="1957">
        <f t="shared" si="3"/>
        <v>1995242</v>
      </c>
      <c r="H20" s="1957">
        <f t="shared" si="3"/>
        <v>613859</v>
      </c>
      <c r="I20" s="1957">
        <f t="shared" si="3"/>
        <v>1903931</v>
      </c>
      <c r="J20" s="1957">
        <f t="shared" si="3"/>
        <v>1490606</v>
      </c>
      <c r="K20" s="1957">
        <f t="shared" si="3"/>
        <v>852065</v>
      </c>
      <c r="L20" s="1957">
        <f t="shared" si="3"/>
        <v>4751238</v>
      </c>
      <c r="M20" s="1343"/>
    </row>
    <row r="21" spans="2:14" ht="9" customHeight="1" x14ac:dyDescent="0.2">
      <c r="B21" s="1337"/>
      <c r="C21" s="1341"/>
      <c r="D21" s="1342"/>
      <c r="E21" s="1343"/>
      <c r="F21" s="1343"/>
      <c r="G21" s="1343"/>
      <c r="H21" s="1343"/>
      <c r="I21" s="1343"/>
      <c r="J21" s="1343"/>
      <c r="K21" s="1343"/>
      <c r="L21" s="1340"/>
      <c r="M21" s="1343"/>
    </row>
    <row r="22" spans="2:14" ht="20.100000000000001" customHeight="1" x14ac:dyDescent="0.2">
      <c r="B22" s="1959" t="s">
        <v>2099</v>
      </c>
      <c r="C22" s="1960"/>
      <c r="D22" s="1961"/>
      <c r="E22" s="1962">
        <f>E14+E18</f>
        <v>1843993</v>
      </c>
      <c r="F22" s="1962">
        <f t="shared" ref="F22:K22" si="4">F14+F18</f>
        <v>1580570</v>
      </c>
      <c r="G22" s="1962">
        <f t="shared" si="4"/>
        <v>1995242</v>
      </c>
      <c r="H22" s="1962">
        <f t="shared" si="4"/>
        <v>613859</v>
      </c>
      <c r="I22" s="1962">
        <f t="shared" si="4"/>
        <v>1903931</v>
      </c>
      <c r="J22" s="1962">
        <f t="shared" si="4"/>
        <v>1490606</v>
      </c>
      <c r="K22" s="1962">
        <f t="shared" si="4"/>
        <v>852065</v>
      </c>
      <c r="L22" s="1963">
        <f t="shared" si="0"/>
        <v>4751238</v>
      </c>
      <c r="M22" s="1962"/>
    </row>
    <row r="23" spans="2:14" ht="9" customHeight="1" x14ac:dyDescent="0.2">
      <c r="B23" s="1337"/>
      <c r="C23" s="1341"/>
      <c r="D23" s="1342"/>
      <c r="E23" s="1343"/>
      <c r="F23" s="1343"/>
      <c r="G23" s="1343"/>
      <c r="H23" s="1343"/>
      <c r="I23" s="1343"/>
      <c r="J23" s="1343"/>
      <c r="K23" s="1343"/>
      <c r="L23" s="1340"/>
      <c r="M23" s="1343"/>
    </row>
    <row r="24" spans="2:14" ht="31.9" customHeight="1" x14ac:dyDescent="0.2">
      <c r="B24" s="1337" t="s">
        <v>2100</v>
      </c>
      <c r="C24" s="1341"/>
      <c r="D24" s="1342"/>
      <c r="E24" s="1343"/>
      <c r="F24" s="1343"/>
      <c r="G24" s="1343"/>
      <c r="H24" s="1343"/>
      <c r="I24" s="1343"/>
      <c r="J24" s="1343"/>
      <c r="K24" s="1343"/>
      <c r="L24" s="1340"/>
      <c r="M24" s="1343"/>
    </row>
    <row r="25" spans="2:14" ht="20.100000000000001" customHeight="1" x14ac:dyDescent="0.2">
      <c r="B25" s="1337" t="s">
        <v>2101</v>
      </c>
      <c r="C25" s="1341">
        <v>93.778000000000006</v>
      </c>
      <c r="D25" s="1342" t="s">
        <v>2103</v>
      </c>
      <c r="E25" s="1343">
        <v>48634</v>
      </c>
      <c r="F25" s="1969">
        <v>22291</v>
      </c>
      <c r="G25" s="1343">
        <v>70925</v>
      </c>
      <c r="H25" s="1343"/>
      <c r="I25" s="1343"/>
      <c r="J25" s="1343"/>
      <c r="K25" s="1343"/>
      <c r="L25" s="1340">
        <f t="shared" si="0"/>
        <v>70925</v>
      </c>
      <c r="M25" s="1343" t="s">
        <v>2105</v>
      </c>
    </row>
    <row r="26" spans="2:14" ht="20.100000000000001" customHeight="1" x14ac:dyDescent="0.2">
      <c r="B26" s="1337" t="s">
        <v>2101</v>
      </c>
      <c r="C26" s="1341">
        <v>93.778000000000006</v>
      </c>
      <c r="D26" s="1342" t="s">
        <v>2104</v>
      </c>
      <c r="E26" s="1343"/>
      <c r="F26" s="1969">
        <v>53877</v>
      </c>
      <c r="G26" s="1343"/>
      <c r="H26" s="1343"/>
      <c r="I26" s="1969">
        <v>53877</v>
      </c>
      <c r="J26" s="1343"/>
      <c r="K26" s="1343"/>
      <c r="L26" s="1340">
        <f t="shared" si="0"/>
        <v>53877</v>
      </c>
      <c r="M26" s="1343" t="s">
        <v>2105</v>
      </c>
    </row>
    <row r="27" spans="2:14" ht="20.100000000000001" customHeight="1" x14ac:dyDescent="0.2">
      <c r="B27" s="1954" t="s">
        <v>2102</v>
      </c>
      <c r="C27" s="1955"/>
      <c r="D27" s="1956"/>
      <c r="E27" s="1957">
        <f>SUM(E25:E26)</f>
        <v>48634</v>
      </c>
      <c r="F27" s="1957">
        <f t="shared" ref="F27:K27" si="5">SUM(F25:F26)</f>
        <v>76168</v>
      </c>
      <c r="G27" s="1957">
        <f t="shared" si="5"/>
        <v>70925</v>
      </c>
      <c r="H27" s="1957">
        <f t="shared" si="5"/>
        <v>0</v>
      </c>
      <c r="I27" s="1957">
        <f t="shared" si="5"/>
        <v>53877</v>
      </c>
      <c r="J27" s="1957">
        <f t="shared" si="5"/>
        <v>0</v>
      </c>
      <c r="K27" s="1957">
        <f t="shared" si="5"/>
        <v>0</v>
      </c>
      <c r="L27" s="1958">
        <f t="shared" si="0"/>
        <v>124802</v>
      </c>
      <c r="M27" s="1957"/>
    </row>
    <row r="28" spans="2:14" ht="9" customHeight="1" x14ac:dyDescent="0.2">
      <c r="B28" s="1337"/>
      <c r="C28" s="1341"/>
      <c r="D28" s="1342"/>
      <c r="E28" s="1343"/>
      <c r="F28" s="1343"/>
      <c r="G28" s="1343"/>
      <c r="H28" s="1343"/>
      <c r="I28" s="1343"/>
      <c r="J28" s="1343"/>
      <c r="K28" s="1343"/>
      <c r="L28" s="1340"/>
      <c r="M28" s="1343"/>
    </row>
    <row r="29" spans="2:14" ht="22.15" customHeight="1" x14ac:dyDescent="0.2">
      <c r="B29" s="1959" t="s">
        <v>2106</v>
      </c>
      <c r="C29" s="1960"/>
      <c r="D29" s="1961"/>
      <c r="E29" s="1962">
        <f>E27</f>
        <v>48634</v>
      </c>
      <c r="F29" s="1962">
        <f t="shared" ref="F29:K29" si="6">F27</f>
        <v>76168</v>
      </c>
      <c r="G29" s="1962">
        <f t="shared" si="6"/>
        <v>70925</v>
      </c>
      <c r="H29" s="1962">
        <f t="shared" si="6"/>
        <v>0</v>
      </c>
      <c r="I29" s="1962">
        <f t="shared" si="6"/>
        <v>53877</v>
      </c>
      <c r="J29" s="1962">
        <f t="shared" si="6"/>
        <v>0</v>
      </c>
      <c r="K29" s="1962">
        <f t="shared" si="6"/>
        <v>0</v>
      </c>
      <c r="L29" s="1963">
        <f t="shared" si="0"/>
        <v>124802</v>
      </c>
      <c r="M29" s="1962"/>
    </row>
    <row r="30" spans="2:14" ht="9" customHeight="1" x14ac:dyDescent="0.2">
      <c r="B30" s="1337"/>
      <c r="C30" s="1341"/>
      <c r="D30" s="1342"/>
      <c r="E30" s="1343"/>
      <c r="F30" s="1343"/>
      <c r="G30" s="1343"/>
      <c r="H30" s="1343"/>
      <c r="I30" s="1343"/>
      <c r="J30" s="1343"/>
      <c r="K30" s="1343"/>
      <c r="L30" s="1340"/>
      <c r="M30" s="1343"/>
    </row>
    <row r="31" spans="2:14" ht="20.100000000000001" customHeight="1" x14ac:dyDescent="0.2">
      <c r="B31" s="1964" t="s">
        <v>2107</v>
      </c>
      <c r="C31" s="1965"/>
      <c r="D31" s="1966"/>
      <c r="E31" s="1967">
        <f>E22+E29</f>
        <v>1892627</v>
      </c>
      <c r="F31" s="1967">
        <f t="shared" ref="F31:K31" si="7">F22+F29</f>
        <v>1656738</v>
      </c>
      <c r="G31" s="1967">
        <f t="shared" si="7"/>
        <v>2066167</v>
      </c>
      <c r="H31" s="1967">
        <f t="shared" si="7"/>
        <v>613859</v>
      </c>
      <c r="I31" s="1967">
        <f t="shared" si="7"/>
        <v>1957808</v>
      </c>
      <c r="J31" s="1967">
        <f t="shared" si="7"/>
        <v>1490606</v>
      </c>
      <c r="K31" s="1967">
        <f t="shared" si="7"/>
        <v>852065</v>
      </c>
      <c r="L31" s="1968">
        <f t="shared" si="0"/>
        <v>4876040</v>
      </c>
      <c r="M31" s="1967"/>
      <c r="N31" s="1344"/>
    </row>
    <row r="32" spans="2:14" ht="6.6" customHeight="1" x14ac:dyDescent="0.2">
      <c r="B32" s="1345"/>
      <c r="C32" s="1346"/>
      <c r="D32" s="1347"/>
      <c r="E32" s="1348"/>
      <c r="F32" s="1348"/>
      <c r="G32" s="1348"/>
      <c r="H32" s="1348"/>
      <c r="I32" s="1348"/>
      <c r="J32" s="1348"/>
      <c r="K32" s="1348"/>
      <c r="L32" s="1348"/>
      <c r="M32" s="1348"/>
      <c r="N32" s="1344"/>
    </row>
    <row r="33" spans="2:14" ht="5.45" customHeight="1" x14ac:dyDescent="0.2">
      <c r="B33" s="1257"/>
      <c r="C33" s="1349"/>
      <c r="D33" s="1350"/>
      <c r="E33" s="1257"/>
      <c r="F33" s="1257"/>
      <c r="G33" s="1250"/>
      <c r="H33" s="1250"/>
      <c r="I33" s="1250"/>
      <c r="J33" s="1250"/>
      <c r="K33" s="1250"/>
      <c r="L33" s="1250"/>
      <c r="M33" s="1257"/>
      <c r="N33" s="1344"/>
    </row>
    <row r="34" spans="2:14" ht="13.5" customHeight="1" x14ac:dyDescent="0.2">
      <c r="B34" s="1282" t="s">
        <v>1837</v>
      </c>
      <c r="C34" s="1349"/>
      <c r="D34" s="1350"/>
      <c r="E34" s="1257"/>
      <c r="F34" s="1257"/>
      <c r="G34" s="1250"/>
      <c r="H34" s="1250"/>
      <c r="I34" s="1250"/>
      <c r="J34" s="1250"/>
      <c r="K34" s="1250"/>
      <c r="L34" s="1250"/>
      <c r="M34" s="1257"/>
      <c r="N34" s="1344"/>
    </row>
    <row r="35" spans="2:14" ht="8.25" customHeight="1" x14ac:dyDescent="0.2">
      <c r="B35" s="1282"/>
      <c r="C35" s="1349"/>
      <c r="D35" s="1350"/>
      <c r="E35" s="1257"/>
      <c r="F35" s="1257"/>
      <c r="G35" s="1250"/>
      <c r="H35" s="1250"/>
      <c r="I35" s="1250"/>
      <c r="J35" s="1250"/>
      <c r="K35" s="1250"/>
      <c r="L35" s="1250"/>
      <c r="M35" s="1257"/>
      <c r="N35" s="1344"/>
    </row>
    <row r="36" spans="2:14" x14ac:dyDescent="0.2">
      <c r="B36" s="1351" t="s">
        <v>1947</v>
      </c>
      <c r="C36" s="1352"/>
      <c r="D36" s="1353"/>
      <c r="E36" s="1354"/>
      <c r="F36" s="1354"/>
      <c r="G36" s="1354"/>
      <c r="H36" s="1354"/>
      <c r="I36" s="317"/>
      <c r="J36" s="317"/>
    </row>
    <row r="37" spans="2:14" x14ac:dyDescent="0.2">
      <c r="B37" s="1277"/>
      <c r="C37" s="1355"/>
      <c r="D37" s="1356"/>
      <c r="E37" s="1278"/>
      <c r="F37" s="1278"/>
      <c r="G37" s="317"/>
      <c r="H37" s="317"/>
      <c r="I37" s="317"/>
      <c r="J37" s="317"/>
    </row>
    <row r="38" spans="2:14" ht="13.5" customHeight="1" x14ac:dyDescent="0.2">
      <c r="B38" s="1276" t="s">
        <v>1308</v>
      </c>
      <c r="G38" s="317"/>
      <c r="H38" s="317"/>
      <c r="I38" s="317"/>
      <c r="J38" s="317"/>
    </row>
    <row r="39" spans="2:14" ht="13.5" customHeight="1" x14ac:dyDescent="0.2">
      <c r="B39" s="1359"/>
      <c r="C39" s="1360"/>
      <c r="D39" s="1361"/>
      <c r="E39" s="1297"/>
      <c r="F39" s="1297"/>
      <c r="G39" s="1297"/>
      <c r="H39" s="1297"/>
      <c r="I39" s="1297"/>
      <c r="J39" s="1297"/>
      <c r="K39" s="1362"/>
      <c r="L39" s="1362"/>
      <c r="M39" s="1297"/>
    </row>
    <row r="40" spans="2:14" ht="9.6" customHeight="1" x14ac:dyDescent="0.2">
      <c r="B40" s="1363"/>
      <c r="G40" s="317"/>
      <c r="H40" s="317"/>
      <c r="I40" s="317"/>
      <c r="J40" s="317"/>
    </row>
    <row r="41" spans="2:14" ht="11.25" customHeight="1" x14ac:dyDescent="0.2">
      <c r="B41" s="1364" t="s">
        <v>1838</v>
      </c>
      <c r="C41" s="1365"/>
      <c r="D41" s="1365"/>
      <c r="E41" s="1365"/>
      <c r="F41" s="1365"/>
      <c r="G41" s="1365"/>
      <c r="H41" s="1365"/>
      <c r="I41" s="1366"/>
      <c r="J41" s="1366"/>
      <c r="K41" s="1366"/>
      <c r="L41" s="1366"/>
      <c r="M41" s="1366"/>
    </row>
    <row r="42" spans="2:14" ht="11.25" customHeight="1" x14ac:dyDescent="0.2">
      <c r="B42" s="1367" t="s">
        <v>1666</v>
      </c>
      <c r="C42" s="1366"/>
      <c r="D42" s="1366"/>
      <c r="E42" s="1366"/>
      <c r="F42" s="1366"/>
      <c r="G42" s="1366"/>
      <c r="H42" s="1366"/>
      <c r="I42" s="1366"/>
      <c r="J42" s="1366"/>
      <c r="K42" s="1366"/>
      <c r="L42" s="1366"/>
      <c r="M42" s="1366"/>
    </row>
    <row r="43" spans="2:14" ht="3.95" customHeight="1" x14ac:dyDescent="0.2">
      <c r="B43" s="1367"/>
      <c r="C43" s="1366"/>
      <c r="D43" s="1366"/>
      <c r="E43" s="1366"/>
      <c r="F43" s="1366"/>
      <c r="G43" s="1366"/>
      <c r="H43" s="1366"/>
      <c r="I43" s="1366"/>
      <c r="J43" s="1366"/>
      <c r="K43" s="1366"/>
      <c r="L43" s="1366"/>
      <c r="M43" s="1366"/>
    </row>
    <row r="44" spans="2:14" ht="11.25" customHeight="1" x14ac:dyDescent="0.2">
      <c r="B44" s="1364" t="s">
        <v>1839</v>
      </c>
      <c r="C44" s="1366"/>
      <c r="D44" s="1366"/>
      <c r="E44" s="1366"/>
      <c r="F44" s="1366"/>
      <c r="G44" s="1366"/>
      <c r="H44" s="1366"/>
      <c r="I44" s="1366"/>
      <c r="J44" s="1366"/>
      <c r="K44" s="1366"/>
      <c r="L44" s="1366"/>
      <c r="M44" s="1366"/>
    </row>
    <row r="45" spans="2:14" ht="11.25" customHeight="1" x14ac:dyDescent="0.2">
      <c r="B45" s="1300" t="s">
        <v>1667</v>
      </c>
      <c r="C45" s="1368"/>
      <c r="D45" s="1369"/>
      <c r="E45" s="1300"/>
      <c r="F45" s="1300"/>
      <c r="G45" s="1300"/>
      <c r="H45" s="1300"/>
      <c r="I45" s="1300"/>
      <c r="J45" s="1300"/>
      <c r="K45" s="1370"/>
      <c r="L45" s="1370"/>
      <c r="M45" s="1300"/>
    </row>
    <row r="46" spans="2:14" ht="3.95" customHeight="1" x14ac:dyDescent="0.2">
      <c r="B46" s="1300"/>
      <c r="C46" s="1368"/>
      <c r="D46" s="1369"/>
      <c r="E46" s="1300"/>
      <c r="F46" s="1300"/>
      <c r="G46" s="1300"/>
      <c r="H46" s="1300"/>
      <c r="I46" s="1300"/>
      <c r="J46" s="1300"/>
      <c r="K46" s="1370"/>
      <c r="L46" s="1370"/>
      <c r="M46" s="1300"/>
    </row>
    <row r="47" spans="2:14" ht="11.25" customHeight="1" x14ac:dyDescent="0.2">
      <c r="B47" s="1371" t="s">
        <v>1840</v>
      </c>
      <c r="C47" s="1368"/>
      <c r="D47" s="1369"/>
      <c r="E47" s="1300"/>
      <c r="F47" s="1300"/>
      <c r="G47" s="1300"/>
      <c r="H47" s="1300"/>
      <c r="I47" s="1300"/>
      <c r="J47" s="1300"/>
      <c r="K47" s="1370"/>
      <c r="L47" s="1370"/>
      <c r="M47" s="1300"/>
    </row>
    <row r="48" spans="2:14" ht="3.95" customHeight="1" x14ac:dyDescent="0.2">
      <c r="B48" s="1371"/>
      <c r="C48" s="1368"/>
      <c r="D48" s="1369"/>
      <c r="E48" s="1300"/>
      <c r="F48" s="1300"/>
      <c r="G48" s="1300"/>
      <c r="H48" s="1300"/>
      <c r="I48" s="1300"/>
      <c r="J48" s="1300"/>
      <c r="K48" s="1370"/>
      <c r="L48" s="1370"/>
      <c r="M48" s="1300"/>
    </row>
    <row r="49" spans="2:13" ht="11.25" customHeight="1" x14ac:dyDescent="0.2">
      <c r="B49" s="1372" t="s">
        <v>1841</v>
      </c>
      <c r="C49" s="1368"/>
      <c r="D49" s="1369"/>
      <c r="E49" s="1300"/>
      <c r="F49" s="1300"/>
      <c r="G49" s="1300"/>
      <c r="H49" s="1300"/>
      <c r="I49" s="1300"/>
      <c r="J49" s="1300"/>
      <c r="K49" s="1370"/>
      <c r="L49" s="1370"/>
      <c r="M49" s="1300"/>
    </row>
    <row r="50" spans="2:13" ht="11.25" customHeight="1" x14ac:dyDescent="0.2">
      <c r="B50" s="1300" t="s">
        <v>1668</v>
      </c>
      <c r="G50" s="317"/>
      <c r="H50" s="317"/>
      <c r="I50" s="317"/>
      <c r="J50" s="317"/>
    </row>
    <row r="51" spans="2:13" ht="11.1" customHeight="1" x14ac:dyDescent="0.2">
      <c r="B51" s="1300"/>
      <c r="G51" s="317"/>
      <c r="H51" s="317"/>
      <c r="I51" s="317"/>
      <c r="J51" s="317"/>
    </row>
    <row r="52" spans="2:13" ht="11.1" customHeight="1" x14ac:dyDescent="0.2">
      <c r="B52" s="1300"/>
      <c r="G52" s="317"/>
      <c r="H52" s="317"/>
      <c r="I52" s="317"/>
      <c r="J52" s="317"/>
    </row>
    <row r="53" spans="2:13" ht="13.5" customHeight="1" x14ac:dyDescent="0.2">
      <c r="M53" s="1373"/>
    </row>
    <row r="54" spans="2:13" ht="13.5" customHeight="1" x14ac:dyDescent="0.2">
      <c r="M54" s="1373"/>
    </row>
    <row r="55" spans="2:13" ht="13.5" customHeight="1" x14ac:dyDescent="0.2">
      <c r="M55" s="1373"/>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34"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D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8" t="str">
        <f>'Single Audit Cover'!A7</f>
        <v>Sp Ed Association of Adams Co</v>
      </c>
      <c r="B1" s="2478"/>
      <c r="C1" s="2478"/>
      <c r="D1" s="2478"/>
      <c r="E1" s="2478"/>
      <c r="F1" s="2478"/>
    </row>
    <row r="2" spans="1:7" ht="13.5" customHeight="1" x14ac:dyDescent="0.2">
      <c r="A2" s="2474">
        <f>'Single Audit Cover'!E7</f>
        <v>1001172061</v>
      </c>
      <c r="B2" s="2474"/>
      <c r="C2" s="2474"/>
      <c r="D2" s="2474"/>
      <c r="E2" s="2474"/>
      <c r="F2" s="2474"/>
      <c r="G2" s="1275"/>
    </row>
    <row r="3" spans="1:7" ht="15.75" customHeight="1" x14ac:dyDescent="0.2">
      <c r="A3" s="2479" t="s">
        <v>1333</v>
      </c>
      <c r="B3" s="2479"/>
      <c r="C3" s="2479"/>
      <c r="D3" s="2479"/>
      <c r="E3" s="2479"/>
      <c r="F3" s="2479"/>
    </row>
    <row r="4" spans="1:7" ht="13.5" customHeight="1" x14ac:dyDescent="0.2">
      <c r="A4" s="2480" t="str">
        <f>'Single Audit Cover'!A4</f>
        <v>Year Ending June 30, 2018</v>
      </c>
      <c r="B4" s="2480"/>
      <c r="C4" s="2480"/>
      <c r="D4" s="2480"/>
      <c r="E4" s="2480"/>
      <c r="F4" s="2480"/>
    </row>
    <row r="5" spans="1:7" ht="8.25" customHeight="1" x14ac:dyDescent="0.2">
      <c r="C5" s="317"/>
      <c r="D5" s="317"/>
    </row>
    <row r="6" spans="1:7" ht="13.5" customHeight="1" x14ac:dyDescent="0.2">
      <c r="A6" s="1276" t="s">
        <v>1831</v>
      </c>
      <c r="C6" s="317"/>
      <c r="D6" s="317"/>
    </row>
    <row r="7" spans="1:7" ht="60.95" customHeight="1" x14ac:dyDescent="0.2">
      <c r="A7" s="2477" t="s">
        <v>2116</v>
      </c>
      <c r="B7" s="2477"/>
      <c r="C7" s="2477"/>
      <c r="D7" s="2477"/>
      <c r="E7" s="2477"/>
      <c r="F7" s="247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22.9" customHeight="1" x14ac:dyDescent="0.2">
      <c r="A13" s="2477" t="s">
        <v>2117</v>
      </c>
      <c r="B13" s="2477"/>
      <c r="C13" s="2477"/>
      <c r="D13" s="2477"/>
      <c r="E13" s="2477"/>
      <c r="F13" s="2477"/>
    </row>
    <row r="14" spans="1:7" ht="7.15" customHeight="1" x14ac:dyDescent="0.2">
      <c r="C14" s="1260"/>
      <c r="D14" s="1260"/>
    </row>
    <row r="15" spans="1:7" ht="13.5" customHeight="1" x14ac:dyDescent="0.2">
      <c r="C15" s="1869" t="s">
        <v>1332</v>
      </c>
      <c r="D15" s="2482" t="s">
        <v>1331</v>
      </c>
      <c r="E15" s="2482"/>
      <c r="F15" s="2482"/>
    </row>
    <row r="16" spans="1:7" ht="13.5" customHeight="1" x14ac:dyDescent="0.2">
      <c r="A16" s="1282"/>
      <c r="B16" s="1276" t="s">
        <v>1330</v>
      </c>
      <c r="C16" s="1869" t="s">
        <v>1329</v>
      </c>
      <c r="D16" s="2483" t="s">
        <v>1670</v>
      </c>
      <c r="E16" s="2483"/>
      <c r="F16" s="2483"/>
    </row>
    <row r="17" spans="1:6" ht="20.45" customHeight="1" x14ac:dyDescent="0.2">
      <c r="A17" s="1283"/>
      <c r="B17" s="1284" t="s">
        <v>2119</v>
      </c>
      <c r="C17" s="1285">
        <v>84.173000000000002</v>
      </c>
      <c r="D17" s="2481">
        <v>6663</v>
      </c>
      <c r="E17" s="2481"/>
      <c r="F17" s="2481"/>
    </row>
    <row r="18" spans="1:6" ht="20.65" customHeight="1" x14ac:dyDescent="0.2">
      <c r="A18" s="1283"/>
      <c r="B18" s="1284" t="s">
        <v>2120</v>
      </c>
      <c r="C18" s="1285">
        <v>84.173000000000002</v>
      </c>
      <c r="D18" s="2481">
        <v>6245</v>
      </c>
      <c r="E18" s="2481"/>
      <c r="F18" s="2481"/>
    </row>
    <row r="19" spans="1:6" ht="20.65" customHeight="1" x14ac:dyDescent="0.2">
      <c r="A19" s="1283"/>
      <c r="B19" s="1284" t="s">
        <v>2121</v>
      </c>
      <c r="C19" s="1285">
        <v>84.173000000000002</v>
      </c>
      <c r="D19" s="2481">
        <v>5485</v>
      </c>
      <c r="E19" s="2481"/>
      <c r="F19" s="2481"/>
    </row>
    <row r="20" spans="1:6" ht="20.65" customHeight="1" x14ac:dyDescent="0.2">
      <c r="A20" s="1283"/>
      <c r="B20" s="1284" t="s">
        <v>2122</v>
      </c>
      <c r="C20" s="1285">
        <v>84.173000000000002</v>
      </c>
      <c r="D20" s="2481">
        <v>7283</v>
      </c>
      <c r="E20" s="2481"/>
      <c r="F20" s="2481"/>
    </row>
    <row r="21" spans="1:6" ht="20.65" customHeight="1" x14ac:dyDescent="0.2">
      <c r="A21" s="1283"/>
      <c r="B21" s="1284" t="s">
        <v>2123</v>
      </c>
      <c r="C21" s="1285">
        <v>84.173000000000002</v>
      </c>
      <c r="D21" s="2481">
        <v>95486</v>
      </c>
      <c r="E21" s="2481"/>
      <c r="F21" s="2481"/>
    </row>
    <row r="22" spans="1:6" ht="20.65" customHeight="1" x14ac:dyDescent="0.2">
      <c r="A22" s="1283"/>
      <c r="B22" s="1284" t="s">
        <v>2124</v>
      </c>
      <c r="C22" s="1285">
        <v>84.027000000000001</v>
      </c>
      <c r="D22" s="2481">
        <v>101045</v>
      </c>
      <c r="E22" s="2481"/>
      <c r="F22" s="2481"/>
    </row>
    <row r="23" spans="1:6" ht="20.65" customHeight="1" x14ac:dyDescent="0.2">
      <c r="A23" s="1283"/>
      <c r="B23" s="1284" t="s">
        <v>2125</v>
      </c>
      <c r="C23" s="1285">
        <v>84.027000000000001</v>
      </c>
      <c r="D23" s="2481">
        <v>100677</v>
      </c>
      <c r="E23" s="2481"/>
      <c r="F23" s="2481"/>
    </row>
    <row r="24" spans="1:6" ht="20.65" customHeight="1" x14ac:dyDescent="0.2">
      <c r="A24" s="1283"/>
      <c r="B24" s="1284" t="s">
        <v>2126</v>
      </c>
      <c r="C24" s="1285">
        <v>84.027000000000001</v>
      </c>
      <c r="D24" s="2481">
        <v>167567</v>
      </c>
      <c r="E24" s="2481"/>
      <c r="F24" s="2481"/>
    </row>
    <row r="25" spans="1:6" ht="20.65" customHeight="1" x14ac:dyDescent="0.2">
      <c r="A25" s="1283"/>
      <c r="B25" s="1284" t="s">
        <v>2127</v>
      </c>
      <c r="C25" s="1285">
        <v>84.027000000000001</v>
      </c>
      <c r="D25" s="2481">
        <v>148221</v>
      </c>
      <c r="E25" s="2481"/>
      <c r="F25" s="2481"/>
    </row>
    <row r="26" spans="1:6" ht="20.65" customHeight="1" x14ac:dyDescent="0.2">
      <c r="A26" s="1283"/>
      <c r="B26" s="1284" t="s">
        <v>2128</v>
      </c>
      <c r="C26" s="1285">
        <v>84.027000000000001</v>
      </c>
      <c r="D26" s="2481">
        <v>948555</v>
      </c>
      <c r="E26" s="2481"/>
      <c r="F26" s="2481"/>
    </row>
    <row r="27" spans="1:6" ht="20.65" customHeight="1" x14ac:dyDescent="0.2">
      <c r="A27" s="1283"/>
      <c r="B27" s="1284"/>
      <c r="C27" s="1285"/>
      <c r="D27" s="2481"/>
      <c r="E27" s="2481"/>
      <c r="F27" s="2481"/>
    </row>
    <row r="28" spans="1:6" ht="20.65" customHeight="1" x14ac:dyDescent="0.2">
      <c r="A28" s="1283"/>
      <c r="B28" s="1284"/>
      <c r="C28" s="1285"/>
      <c r="D28" s="2481"/>
      <c r="E28" s="2481"/>
      <c r="F28" s="2481"/>
    </row>
    <row r="29" spans="1:6" ht="20.65" customHeight="1" x14ac:dyDescent="0.2">
      <c r="A29" s="1283"/>
      <c r="B29" s="1284"/>
      <c r="C29" s="1285"/>
      <c r="D29" s="2481"/>
      <c r="E29" s="2481"/>
      <c r="F29" s="248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85" t="s">
        <v>2118</v>
      </c>
      <c r="B32" s="2485"/>
      <c r="C32" s="2485"/>
      <c r="D32" s="2485"/>
      <c r="E32" s="2485"/>
      <c r="F32" s="2485"/>
    </row>
    <row r="33" spans="1:6" ht="13.5" customHeight="1" x14ac:dyDescent="0.2">
      <c r="A33" s="328" t="s">
        <v>1509</v>
      </c>
      <c r="B33" s="328"/>
      <c r="C33" s="1288">
        <v>0</v>
      </c>
      <c r="D33" s="1926"/>
      <c r="E33" s="1286"/>
    </row>
    <row r="34" spans="1:6" ht="13.5" customHeight="1" x14ac:dyDescent="0.2">
      <c r="A34" s="328" t="s">
        <v>1945</v>
      </c>
      <c r="B34" s="328"/>
      <c r="C34" s="1289">
        <v>0</v>
      </c>
      <c r="D34" s="1926" t="s">
        <v>1671</v>
      </c>
      <c r="E34" s="2486">
        <f>+C33+C34</f>
        <v>0</v>
      </c>
      <c r="F34" s="2487"/>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v>0</v>
      </c>
      <c r="D38" s="1926"/>
      <c r="E38" s="1286"/>
    </row>
    <row r="39" spans="1:6" ht="14.25" customHeight="1" x14ac:dyDescent="0.2">
      <c r="A39" s="328"/>
      <c r="B39" s="328" t="s">
        <v>1511</v>
      </c>
      <c r="C39" s="1292">
        <v>0</v>
      </c>
      <c r="D39" s="1926"/>
      <c r="E39" s="1286"/>
    </row>
    <row r="40" spans="1:6" ht="14.25" customHeight="1" x14ac:dyDescent="0.2">
      <c r="A40" s="328"/>
      <c r="B40" s="328" t="s">
        <v>1512</v>
      </c>
      <c r="C40" s="1292">
        <v>0</v>
      </c>
      <c r="D40" s="1926"/>
      <c r="E40" s="1286"/>
    </row>
    <row r="41" spans="1:6" ht="14.25" customHeight="1" x14ac:dyDescent="0.2">
      <c r="A41" s="328"/>
      <c r="B41" s="328" t="s">
        <v>1513</v>
      </c>
      <c r="C41" s="1292">
        <v>0</v>
      </c>
      <c r="D41" s="1926"/>
      <c r="E41" s="1286"/>
    </row>
    <row r="42" spans="1:6" ht="14.25" customHeight="1" x14ac:dyDescent="0.2">
      <c r="A42" s="328" t="s">
        <v>1514</v>
      </c>
      <c r="B42" s="328"/>
      <c r="C42" s="1924">
        <v>0</v>
      </c>
      <c r="D42" s="1926"/>
      <c r="E42" s="1286"/>
    </row>
    <row r="43" spans="1:6" ht="14.25" customHeight="1" x14ac:dyDescent="0.2">
      <c r="A43" s="328" t="s">
        <v>1515</v>
      </c>
      <c r="B43" s="328"/>
      <c r="C43" s="1293" t="s">
        <v>401</v>
      </c>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1672</v>
      </c>
      <c r="C49" s="2488"/>
      <c r="D49" s="2488"/>
      <c r="E49" s="1399"/>
    </row>
    <row r="50" spans="1:5" s="1300" customFormat="1" ht="3.75" customHeight="1" x14ac:dyDescent="0.2">
      <c r="A50" s="1299"/>
      <c r="B50" s="1868"/>
      <c r="C50" s="1868"/>
      <c r="D50" s="1868"/>
      <c r="E50" s="1399"/>
    </row>
    <row r="51" spans="1:5" s="1300" customFormat="1" ht="20.25" customHeight="1" x14ac:dyDescent="0.2">
      <c r="A51" s="1301">
        <v>6</v>
      </c>
      <c r="B51" s="2484" t="s">
        <v>1632</v>
      </c>
      <c r="C51" s="2484"/>
      <c r="D51" s="2484"/>
    </row>
    <row r="52" spans="1:5" ht="14.25" customHeight="1" x14ac:dyDescent="0.2">
      <c r="A52" s="1301"/>
      <c r="B52" s="2484"/>
      <c r="C52" s="2484"/>
      <c r="D52" s="248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4" t="s">
        <v>1230</v>
      </c>
      <c r="B2" s="2094"/>
      <c r="C2" s="2094"/>
      <c r="D2" s="2094"/>
      <c r="E2" s="2094"/>
      <c r="F2" s="2094"/>
      <c r="G2" s="2094"/>
      <c r="H2" s="2094"/>
      <c r="I2" s="2094"/>
      <c r="J2" s="209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8" t="s">
        <v>1731</v>
      </c>
      <c r="B35" s="2109"/>
      <c r="C35" s="2109"/>
      <c r="D35" s="2109"/>
      <c r="E35" s="2110"/>
      <c r="F35" s="2110"/>
      <c r="G35" s="2110"/>
      <c r="H35" s="2110"/>
      <c r="I35" s="211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8" t="s">
        <v>331</v>
      </c>
      <c r="B47" s="2111"/>
      <c r="C47" s="2111"/>
      <c r="D47" s="2111"/>
      <c r="E47" s="2112"/>
      <c r="F47" s="2112"/>
      <c r="G47" s="2112"/>
      <c r="H47" s="2112"/>
      <c r="I47" s="211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5"/>
      <c r="C57" s="2116"/>
      <c r="D57" s="2116"/>
      <c r="E57" s="2116"/>
      <c r="F57" s="2116"/>
      <c r="G57" s="2116"/>
      <c r="H57" s="2116"/>
      <c r="I57" s="2116"/>
      <c r="J57" s="2117"/>
    </row>
    <row r="58" spans="1:10" s="181" customFormat="1" x14ac:dyDescent="0.2">
      <c r="A58" s="253"/>
      <c r="B58" s="2118"/>
      <c r="C58" s="2119"/>
      <c r="D58" s="2119"/>
      <c r="E58" s="2119"/>
      <c r="F58" s="2119"/>
      <c r="G58" s="2119"/>
      <c r="H58" s="2119"/>
      <c r="I58" s="2119"/>
      <c r="J58" s="2120"/>
    </row>
    <row r="59" spans="1:10" s="181" customFormat="1" x14ac:dyDescent="0.2">
      <c r="A59" s="253"/>
      <c r="B59" s="2118"/>
      <c r="C59" s="2119"/>
      <c r="D59" s="2119"/>
      <c r="E59" s="2119"/>
      <c r="F59" s="2119"/>
      <c r="G59" s="2119"/>
      <c r="H59" s="2119"/>
      <c r="I59" s="2119"/>
      <c r="J59" s="2120"/>
    </row>
    <row r="60" spans="1:10" s="181" customFormat="1" x14ac:dyDescent="0.2">
      <c r="A60" s="253"/>
      <c r="B60" s="2118"/>
      <c r="C60" s="2119"/>
      <c r="D60" s="2119"/>
      <c r="E60" s="2119"/>
      <c r="F60" s="2119"/>
      <c r="G60" s="2119"/>
      <c r="H60" s="2119"/>
      <c r="I60" s="2119"/>
      <c r="J60" s="2120"/>
    </row>
    <row r="61" spans="1:10" s="181" customFormat="1" x14ac:dyDescent="0.2">
      <c r="A61" s="253"/>
      <c r="B61" s="2118"/>
      <c r="C61" s="2119"/>
      <c r="D61" s="2119"/>
      <c r="E61" s="2119"/>
      <c r="F61" s="2119"/>
      <c r="G61" s="2119"/>
      <c r="H61" s="2119"/>
      <c r="I61" s="2119"/>
      <c r="J61" s="2120"/>
    </row>
    <row r="62" spans="1:10" s="181" customFormat="1" x14ac:dyDescent="0.2">
      <c r="A62" s="253"/>
      <c r="B62" s="2118"/>
      <c r="C62" s="2119"/>
      <c r="D62" s="2119"/>
      <c r="E62" s="2119"/>
      <c r="F62" s="2119"/>
      <c r="G62" s="2119"/>
      <c r="H62" s="2119"/>
      <c r="I62" s="2119"/>
      <c r="J62" s="2120"/>
    </row>
    <row r="63" spans="1:10" s="181" customFormat="1" x14ac:dyDescent="0.2">
      <c r="A63" s="253"/>
      <c r="B63" s="2118"/>
      <c r="C63" s="2119"/>
      <c r="D63" s="2119"/>
      <c r="E63" s="2119"/>
      <c r="F63" s="2119"/>
      <c r="G63" s="2119"/>
      <c r="H63" s="2119"/>
      <c r="I63" s="2119"/>
      <c r="J63" s="2120"/>
    </row>
    <row r="64" spans="1:10" s="181" customFormat="1" x14ac:dyDescent="0.2">
      <c r="A64" s="253"/>
      <c r="B64" s="2118"/>
      <c r="C64" s="2119"/>
      <c r="D64" s="2119"/>
      <c r="E64" s="2119"/>
      <c r="F64" s="2119"/>
      <c r="G64" s="2119"/>
      <c r="H64" s="2119"/>
      <c r="I64" s="2119"/>
      <c r="J64" s="2120"/>
    </row>
    <row r="65" spans="1:10" s="181" customFormat="1" x14ac:dyDescent="0.2">
      <c r="A65" s="253"/>
      <c r="B65" s="2118"/>
      <c r="C65" s="2119"/>
      <c r="D65" s="2119"/>
      <c r="E65" s="2119"/>
      <c r="F65" s="2119"/>
      <c r="G65" s="2119"/>
      <c r="H65" s="2119"/>
      <c r="I65" s="2119"/>
      <c r="J65" s="2120"/>
    </row>
    <row r="66" spans="1:10" s="181" customFormat="1" x14ac:dyDescent="0.2">
      <c r="A66" s="253"/>
      <c r="B66" s="2118"/>
      <c r="C66" s="2119"/>
      <c r="D66" s="2119"/>
      <c r="E66" s="2119"/>
      <c r="F66" s="2119"/>
      <c r="G66" s="2119"/>
      <c r="H66" s="2119"/>
      <c r="I66" s="2119"/>
      <c r="J66" s="2120"/>
    </row>
    <row r="67" spans="1:10" s="181" customFormat="1" ht="9" customHeight="1" x14ac:dyDescent="0.2">
      <c r="A67" s="254"/>
      <c r="B67" s="2121"/>
      <c r="C67" s="2122"/>
      <c r="D67" s="2122"/>
      <c r="E67" s="2122"/>
      <c r="F67" s="2122"/>
      <c r="G67" s="2122"/>
      <c r="H67" s="2122"/>
      <c r="I67" s="2122"/>
      <c r="J67" s="21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8" t="s">
        <v>1390</v>
      </c>
      <c r="B70" s="2111"/>
      <c r="C70" s="2111"/>
      <c r="D70" s="2111"/>
      <c r="E70" s="2112"/>
      <c r="F70" s="2112"/>
      <c r="G70" s="2112"/>
      <c r="H70" s="2112"/>
      <c r="I70" s="211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3" t="s">
        <v>1387</v>
      </c>
      <c r="B83" s="2113"/>
      <c r="C83" s="2113"/>
      <c r="D83" s="211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5"/>
      <c r="C102" s="2096"/>
      <c r="D102" s="2096"/>
      <c r="E102" s="2096"/>
      <c r="F102" s="2096"/>
      <c r="G102" s="2096"/>
      <c r="H102" s="2096"/>
      <c r="I102" s="2097"/>
    </row>
    <row r="103" spans="1:9" s="181" customFormat="1" ht="11.25" customHeight="1" x14ac:dyDescent="0.2">
      <c r="A103" s="316"/>
      <c r="B103" s="2098"/>
      <c r="C103" s="2099"/>
      <c r="D103" s="2099"/>
      <c r="E103" s="2099"/>
      <c r="F103" s="2099"/>
      <c r="G103" s="2099"/>
      <c r="H103" s="2099"/>
      <c r="I103" s="2100"/>
    </row>
    <row r="104" spans="1:9" s="181" customFormat="1" ht="11.25" customHeight="1" x14ac:dyDescent="0.2">
      <c r="A104" s="316"/>
      <c r="B104" s="2098"/>
      <c r="C104" s="2099"/>
      <c r="D104" s="2099"/>
      <c r="E104" s="2099"/>
      <c r="F104" s="2099"/>
      <c r="G104" s="2099"/>
      <c r="H104" s="2099"/>
      <c r="I104" s="2100"/>
    </row>
    <row r="105" spans="1:9" s="181" customFormat="1" x14ac:dyDescent="0.2">
      <c r="A105" s="316"/>
      <c r="B105" s="2098"/>
      <c r="C105" s="2099"/>
      <c r="D105" s="2099"/>
      <c r="E105" s="2099"/>
      <c r="F105" s="2099"/>
      <c r="G105" s="2099"/>
      <c r="H105" s="2099"/>
      <c r="I105" s="2100"/>
    </row>
    <row r="106" spans="1:9" s="181" customFormat="1" ht="11.25" customHeight="1" x14ac:dyDescent="0.2">
      <c r="A106" s="316"/>
      <c r="B106" s="2098"/>
      <c r="C106" s="2099"/>
      <c r="D106" s="2099"/>
      <c r="E106" s="2099"/>
      <c r="F106" s="2099"/>
      <c r="G106" s="2099"/>
      <c r="H106" s="2099"/>
      <c r="I106" s="2100"/>
    </row>
    <row r="107" spans="1:9" s="181" customFormat="1" ht="11.25" customHeight="1" x14ac:dyDescent="0.2">
      <c r="A107" s="316"/>
      <c r="B107" s="2098"/>
      <c r="C107" s="2099"/>
      <c r="D107" s="2099"/>
      <c r="E107" s="2099"/>
      <c r="F107" s="2099"/>
      <c r="G107" s="2099"/>
      <c r="H107" s="2099"/>
      <c r="I107" s="2100"/>
    </row>
    <row r="108" spans="1:9" s="181" customFormat="1" ht="11.25" customHeight="1" x14ac:dyDescent="0.2">
      <c r="A108" s="316"/>
      <c r="B108" s="2098"/>
      <c r="C108" s="2099"/>
      <c r="D108" s="2099"/>
      <c r="E108" s="2099"/>
      <c r="F108" s="2099"/>
      <c r="G108" s="2099"/>
      <c r="H108" s="2099"/>
      <c r="I108" s="2100"/>
    </row>
    <row r="109" spans="1:9" s="181" customFormat="1" ht="11.25" customHeight="1" x14ac:dyDescent="0.2">
      <c r="A109" s="316"/>
      <c r="B109" s="2098"/>
      <c r="C109" s="2099"/>
      <c r="D109" s="2099"/>
      <c r="E109" s="2099"/>
      <c r="F109" s="2099"/>
      <c r="G109" s="2099"/>
      <c r="H109" s="2099"/>
      <c r="I109" s="2100"/>
    </row>
    <row r="110" spans="1:9" s="181" customFormat="1" ht="11.25" customHeight="1" x14ac:dyDescent="0.2">
      <c r="A110" s="316"/>
      <c r="B110" s="2098"/>
      <c r="C110" s="2099"/>
      <c r="D110" s="2099"/>
      <c r="E110" s="2099"/>
      <c r="F110" s="2099"/>
      <c r="G110" s="2099"/>
      <c r="H110" s="2099"/>
      <c r="I110" s="2100"/>
    </row>
    <row r="111" spans="1:9" s="181" customFormat="1" ht="11.25" customHeight="1" x14ac:dyDescent="0.2">
      <c r="A111" s="316"/>
      <c r="B111" s="2098"/>
      <c r="C111" s="2099"/>
      <c r="D111" s="2099"/>
      <c r="E111" s="2099"/>
      <c r="F111" s="2099"/>
      <c r="G111" s="2099"/>
      <c r="H111" s="2099"/>
      <c r="I111" s="2100"/>
    </row>
    <row r="112" spans="1:9" s="181" customFormat="1" ht="11.25" customHeight="1" x14ac:dyDescent="0.2">
      <c r="A112" s="316"/>
      <c r="B112" s="2101"/>
      <c r="C112" s="2102"/>
      <c r="D112" s="2102"/>
      <c r="E112" s="2102"/>
      <c r="F112" s="2102"/>
      <c r="G112" s="2102"/>
      <c r="H112" s="2102"/>
      <c r="I112" s="21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4" t="s">
        <v>2080</v>
      </c>
      <c r="D114" s="210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5" t="s">
        <v>1397</v>
      </c>
      <c r="D117" s="2106"/>
      <c r="E117" s="2107"/>
      <c r="F117" s="2107"/>
      <c r="G117" s="2107"/>
      <c r="H117" s="2107"/>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sqref="A1:D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3" t="str">
        <f>'Single Audit Cover'!A7</f>
        <v>Sp Ed Association of Adams Co</v>
      </c>
      <c r="C1" s="2494"/>
      <c r="D1" s="2494"/>
      <c r="E1" s="2494"/>
      <c r="F1" s="2494"/>
      <c r="G1" s="2494"/>
      <c r="H1" s="2494"/>
      <c r="I1" s="2494"/>
      <c r="J1" s="1422"/>
    </row>
    <row r="2" spans="2:10" s="317" customFormat="1" ht="12.75" customHeight="1" x14ac:dyDescent="0.2">
      <c r="B2" s="2495">
        <f>'Single Audit Cover'!E7</f>
        <v>1001172061</v>
      </c>
      <c r="C2" s="2496"/>
      <c r="D2" s="2496"/>
      <c r="E2" s="2496"/>
      <c r="F2" s="2496"/>
      <c r="G2" s="2496"/>
      <c r="H2" s="2496"/>
      <c r="I2" s="2496"/>
      <c r="J2" s="1422"/>
    </row>
    <row r="3" spans="2:10" s="317" customFormat="1" ht="12.75" customHeight="1" x14ac:dyDescent="0.2">
      <c r="B3" s="2497" t="s">
        <v>1347</v>
      </c>
      <c r="C3" s="2498"/>
      <c r="D3" s="2498"/>
      <c r="E3" s="2498"/>
      <c r="F3" s="2498"/>
      <c r="G3" s="2498"/>
      <c r="H3" s="2498"/>
      <c r="I3" s="2498"/>
      <c r="J3" s="1423"/>
    </row>
    <row r="4" spans="2:10" s="317" customFormat="1" ht="12.75" customHeight="1" x14ac:dyDescent="0.2">
      <c r="B4" s="2497" t="str">
        <f>'Single Audit Cover'!A4</f>
        <v>Year Ending June 30, 2018</v>
      </c>
      <c r="C4" s="2498"/>
      <c r="D4" s="2498"/>
      <c r="E4" s="2498"/>
      <c r="F4" s="2498"/>
      <c r="G4" s="2498"/>
      <c r="H4" s="2498"/>
      <c r="I4" s="249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7" t="s">
        <v>1346</v>
      </c>
      <c r="C7" s="2498"/>
      <c r="D7" s="2498"/>
      <c r="E7" s="2498"/>
      <c r="F7" s="2498"/>
      <c r="G7" s="2498"/>
      <c r="H7" s="2498"/>
      <c r="I7" s="249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9" t="s">
        <v>1226</v>
      </c>
      <c r="D11" s="249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2073</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2073</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t="s">
        <v>2073</v>
      </c>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2073</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0" t="s">
        <v>2129</v>
      </c>
      <c r="E29" s="2500"/>
      <c r="F29" s="2500"/>
      <c r="G29" s="2500"/>
      <c r="H29" s="2500"/>
      <c r="I29" s="250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2073</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01" t="s">
        <v>1851</v>
      </c>
      <c r="D37" s="2502"/>
      <c r="E37" s="2502"/>
      <c r="F37" s="2503"/>
      <c r="G37" s="2501" t="s">
        <v>1674</v>
      </c>
      <c r="H37" s="2502"/>
      <c r="I37" s="2503"/>
    </row>
    <row r="38" spans="2:9" ht="16.5" customHeight="1" x14ac:dyDescent="0.2">
      <c r="B38" s="1444" t="s">
        <v>2130</v>
      </c>
      <c r="C38" s="2489" t="s">
        <v>2131</v>
      </c>
      <c r="D38" s="2490"/>
      <c r="E38" s="2490"/>
      <c r="F38" s="2491"/>
      <c r="G38" s="2504">
        <f>' SEFA'!I20</f>
        <v>1903931</v>
      </c>
      <c r="H38" s="2505"/>
      <c r="I38" s="2506"/>
    </row>
    <row r="39" spans="2:9" ht="16.5" customHeight="1" x14ac:dyDescent="0.2">
      <c r="B39" s="1444"/>
      <c r="C39" s="2489"/>
      <c r="D39" s="2490"/>
      <c r="E39" s="2490"/>
      <c r="F39" s="2491"/>
      <c r="G39" s="2492"/>
      <c r="H39" s="2492"/>
      <c r="I39" s="2492"/>
    </row>
    <row r="40" spans="2:9" ht="16.5" customHeight="1" x14ac:dyDescent="0.2">
      <c r="B40" s="1444"/>
      <c r="C40" s="2489"/>
      <c r="D40" s="2490"/>
      <c r="E40" s="2490"/>
      <c r="F40" s="2491"/>
      <c r="G40" s="2492"/>
      <c r="H40" s="2492"/>
      <c r="I40" s="2492"/>
    </row>
    <row r="41" spans="2:9" ht="16.5" customHeight="1" x14ac:dyDescent="0.2">
      <c r="B41" s="1444"/>
      <c r="C41" s="2489"/>
      <c r="D41" s="2490"/>
      <c r="E41" s="2490"/>
      <c r="F41" s="2491"/>
      <c r="G41" s="2492"/>
      <c r="H41" s="2492"/>
      <c r="I41" s="2492"/>
    </row>
    <row r="42" spans="2:9" ht="16.5" customHeight="1" x14ac:dyDescent="0.2">
      <c r="B42" s="1444"/>
      <c r="C42" s="2489"/>
      <c r="D42" s="2490"/>
      <c r="E42" s="2490"/>
      <c r="F42" s="2491"/>
      <c r="G42" s="2492"/>
      <c r="H42" s="2492"/>
      <c r="I42" s="2492"/>
    </row>
    <row r="43" spans="2:9" ht="16.5" customHeight="1" x14ac:dyDescent="0.2">
      <c r="B43" s="1444"/>
      <c r="C43" s="2507" t="s">
        <v>1675</v>
      </c>
      <c r="D43" s="2508"/>
      <c r="E43" s="2508"/>
      <c r="F43" s="2509"/>
      <c r="G43" s="2510">
        <f>SUM(G38:I42)</f>
        <v>1903931</v>
      </c>
      <c r="H43" s="2510"/>
      <c r="I43" s="2510"/>
    </row>
    <row r="44" spans="2:9" ht="12.75" customHeight="1" x14ac:dyDescent="0.2"/>
    <row r="45" spans="2:9" ht="12.75" customHeight="1" x14ac:dyDescent="0.2">
      <c r="B45" s="1435" t="s">
        <v>1948</v>
      </c>
      <c r="D45" s="2511">
        <f>' SEFA'!I31</f>
        <v>1957808</v>
      </c>
      <c r="E45" s="2512"/>
    </row>
    <row r="46" spans="2:9" ht="5.25" customHeight="1" x14ac:dyDescent="0.2">
      <c r="B46" s="1445"/>
      <c r="D46" s="1446"/>
      <c r="E46" s="1447"/>
    </row>
    <row r="47" spans="2:9" ht="12.75" customHeight="1" x14ac:dyDescent="0.2">
      <c r="B47" s="1300" t="s">
        <v>1676</v>
      </c>
      <c r="C47" s="1300"/>
      <c r="D47" s="1448">
        <f>+G43/D45</f>
        <v>0.97248095829621695</v>
      </c>
      <c r="E47" s="1449"/>
      <c r="F47" s="1450"/>
      <c r="I47" s="1451"/>
    </row>
    <row r="48" spans="2:9" ht="9.9499999999999993" customHeight="1" x14ac:dyDescent="0.2"/>
    <row r="49" spans="1:9" x14ac:dyDescent="0.2">
      <c r="B49" s="1368" t="s">
        <v>1335</v>
      </c>
      <c r="C49" s="1282"/>
      <c r="D49" s="1282"/>
      <c r="E49" s="2513">
        <v>750000</v>
      </c>
      <c r="F49" s="2513"/>
      <c r="G49" s="2513"/>
      <c r="H49" s="322"/>
    </row>
    <row r="51" spans="1:9" ht="13.5" customHeight="1" x14ac:dyDescent="0.2">
      <c r="B51" s="1368" t="s">
        <v>1334</v>
      </c>
      <c r="C51" s="1282"/>
      <c r="E51" s="1438"/>
      <c r="F51" s="1300" t="s">
        <v>940</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3" t="str">
        <f>'Single Audit Cover'!A7</f>
        <v>Sp Ed Association of Adams Co</v>
      </c>
      <c r="C1" s="2493"/>
      <c r="D1" s="2493"/>
      <c r="E1" s="2493"/>
      <c r="F1" s="2493"/>
      <c r="G1" s="2493"/>
      <c r="H1" s="2493"/>
      <c r="I1" s="2493"/>
      <c r="J1" s="2493"/>
      <c r="K1" s="2493"/>
      <c r="L1" s="1374"/>
      <c r="M1" s="1374"/>
    </row>
    <row r="2" spans="1:13" ht="12" customHeight="1" x14ac:dyDescent="0.2">
      <c r="B2" s="2495">
        <f>'Single Audit Cover'!E7</f>
        <v>1001172061</v>
      </c>
      <c r="C2" s="2495"/>
      <c r="D2" s="2495"/>
      <c r="E2" s="2495"/>
      <c r="F2" s="2495"/>
      <c r="G2" s="2495"/>
      <c r="H2" s="2495"/>
      <c r="I2" s="2495"/>
      <c r="J2" s="2495"/>
      <c r="K2" s="2495"/>
      <c r="L2" s="1375"/>
      <c r="M2" s="1376"/>
    </row>
    <row r="3" spans="1:13" ht="10.35" customHeight="1" x14ac:dyDescent="0.2">
      <c r="B3" s="2515" t="s">
        <v>1347</v>
      </c>
      <c r="C3" s="2515"/>
      <c r="D3" s="2515"/>
      <c r="E3" s="2515"/>
      <c r="F3" s="2515"/>
      <c r="G3" s="2515"/>
      <c r="H3" s="2515"/>
      <c r="I3" s="2515"/>
      <c r="J3" s="2515"/>
      <c r="K3" s="2515"/>
      <c r="L3" s="1377"/>
      <c r="M3" s="1377"/>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6" t="s">
        <v>1363</v>
      </c>
      <c r="C7" s="2516"/>
      <c r="D7" s="2517"/>
      <c r="E7" s="2517"/>
      <c r="F7" s="2517"/>
      <c r="G7" s="2517"/>
      <c r="H7" s="2517"/>
      <c r="I7" s="2517"/>
      <c r="J7" s="2517"/>
      <c r="K7" s="251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1</v>
      </c>
      <c r="E10" s="322"/>
      <c r="F10" s="1387" t="s">
        <v>1362</v>
      </c>
      <c r="G10" s="1388" t="s">
        <v>2073</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4" t="s">
        <v>2164</v>
      </c>
      <c r="C14" s="2514"/>
      <c r="D14" s="2514"/>
      <c r="E14" s="2514"/>
      <c r="F14" s="2514"/>
      <c r="G14" s="2514"/>
      <c r="H14" s="2514"/>
      <c r="I14" s="2514"/>
      <c r="J14" s="2514"/>
      <c r="K14" s="251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4" t="s">
        <v>2166</v>
      </c>
      <c r="C17" s="2514"/>
      <c r="D17" s="2514"/>
      <c r="E17" s="2514"/>
      <c r="F17" s="2514"/>
      <c r="G17" s="2514"/>
      <c r="H17" s="2514"/>
      <c r="I17" s="2514"/>
      <c r="J17" s="2514"/>
      <c r="K17" s="2514"/>
      <c r="L17" s="1381"/>
    </row>
    <row r="18" spans="2:12" ht="4.5" customHeight="1" x14ac:dyDescent="0.2">
      <c r="B18" s="1398"/>
      <c r="C18" s="2514"/>
      <c r="D18" s="2514"/>
      <c r="E18" s="2514"/>
      <c r="F18" s="2514"/>
      <c r="G18" s="2514"/>
      <c r="H18" s="2514"/>
      <c r="I18" s="2514"/>
      <c r="J18" s="2514"/>
      <c r="K18" s="2514"/>
      <c r="L18" s="2514"/>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4" t="s">
        <v>2165</v>
      </c>
      <c r="C20" s="2514"/>
      <c r="D20" s="2514"/>
      <c r="E20" s="2514"/>
      <c r="F20" s="2514"/>
      <c r="G20" s="2514"/>
      <c r="H20" s="2514"/>
      <c r="I20" s="2514"/>
      <c r="J20" s="2514"/>
      <c r="K20" s="251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55.9" customHeight="1" x14ac:dyDescent="0.2">
      <c r="B23" s="2514" t="s">
        <v>2167</v>
      </c>
      <c r="C23" s="2514"/>
      <c r="D23" s="2514"/>
      <c r="E23" s="2514"/>
      <c r="F23" s="2514"/>
      <c r="G23" s="2514"/>
      <c r="H23" s="2514"/>
      <c r="I23" s="2514"/>
      <c r="J23" s="2514"/>
      <c r="K23" s="251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4" t="s">
        <v>2170</v>
      </c>
      <c r="C26" s="2514"/>
      <c r="D26" s="2514"/>
      <c r="E26" s="2514"/>
      <c r="F26" s="2514"/>
      <c r="G26" s="2514"/>
      <c r="H26" s="2514"/>
      <c r="I26" s="2514"/>
      <c r="J26" s="2514"/>
      <c r="K26" s="251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5.15" customHeight="1" x14ac:dyDescent="0.2">
      <c r="B29" s="2514" t="s">
        <v>2168</v>
      </c>
      <c r="C29" s="2514"/>
      <c r="D29" s="2514"/>
      <c r="E29" s="2514"/>
      <c r="F29" s="2514"/>
      <c r="G29" s="2514"/>
      <c r="H29" s="2514"/>
      <c r="I29" s="2514"/>
      <c r="J29" s="2514"/>
      <c r="K29" s="251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69" customHeight="1" x14ac:dyDescent="0.2">
      <c r="B32" s="2514" t="s">
        <v>2169</v>
      </c>
      <c r="C32" s="2514"/>
      <c r="D32" s="2514"/>
      <c r="E32" s="2514"/>
      <c r="F32" s="2514"/>
      <c r="G32" s="2514"/>
      <c r="H32" s="2514"/>
      <c r="I32" s="2514"/>
      <c r="J32" s="2514"/>
      <c r="K32" s="251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3">
    <mergeCell ref="B32:K32"/>
    <mergeCell ref="B1:K1"/>
    <mergeCell ref="B2:K2"/>
    <mergeCell ref="B3:K3"/>
    <mergeCell ref="B4:K4"/>
    <mergeCell ref="B7:K7"/>
    <mergeCell ref="B14:K14"/>
    <mergeCell ref="B17:K17"/>
    <mergeCell ref="B20:K20"/>
    <mergeCell ref="B23:K23"/>
    <mergeCell ref="B26:K26"/>
    <mergeCell ref="B29:K29"/>
    <mergeCell ref="C18:L18"/>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3" t="str">
        <f>'Single Audit Cover'!A7</f>
        <v>Sp Ed Association of Adams Co</v>
      </c>
      <c r="C1" s="2493"/>
      <c r="D1" s="2493"/>
      <c r="E1" s="2493"/>
      <c r="F1" s="2493"/>
      <c r="G1" s="2493"/>
      <c r="H1" s="2493"/>
      <c r="I1" s="2493"/>
      <c r="J1" s="2493"/>
      <c r="K1" s="2493"/>
      <c r="L1" s="1374"/>
      <c r="M1" s="1374"/>
    </row>
    <row r="2" spans="1:13" ht="12" customHeight="1" x14ac:dyDescent="0.2">
      <c r="B2" s="2495">
        <f>'Single Audit Cover'!E7</f>
        <v>1001172061</v>
      </c>
      <c r="C2" s="2495"/>
      <c r="D2" s="2495"/>
      <c r="E2" s="2495"/>
      <c r="F2" s="2495"/>
      <c r="G2" s="2495"/>
      <c r="H2" s="2495"/>
      <c r="I2" s="2495"/>
      <c r="J2" s="2495"/>
      <c r="K2" s="2495"/>
      <c r="L2" s="1375"/>
      <c r="M2" s="1376"/>
    </row>
    <row r="3" spans="1:13" ht="10.35" customHeight="1" x14ac:dyDescent="0.2">
      <c r="B3" s="2515" t="s">
        <v>1347</v>
      </c>
      <c r="C3" s="2515"/>
      <c r="D3" s="2515"/>
      <c r="E3" s="2515"/>
      <c r="F3" s="2515"/>
      <c r="G3" s="2515"/>
      <c r="H3" s="2515"/>
      <c r="I3" s="2515"/>
      <c r="J3" s="2515"/>
      <c r="K3" s="2515"/>
      <c r="L3" s="1970"/>
      <c r="M3" s="1970"/>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6" t="s">
        <v>1363</v>
      </c>
      <c r="C7" s="2516"/>
      <c r="D7" s="2517"/>
      <c r="E7" s="2517"/>
      <c r="F7" s="2517"/>
      <c r="G7" s="2517"/>
      <c r="H7" s="2517"/>
      <c r="I7" s="2517"/>
      <c r="J7" s="2517"/>
      <c r="K7" s="251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2</v>
      </c>
      <c r="E10" s="322"/>
      <c r="F10" s="1387" t="s">
        <v>1362</v>
      </c>
      <c r="G10" s="1388" t="s">
        <v>2073</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4" t="s">
        <v>2132</v>
      </c>
      <c r="C14" s="2514"/>
      <c r="D14" s="2514"/>
      <c r="E14" s="2514"/>
      <c r="F14" s="2514"/>
      <c r="G14" s="2514"/>
      <c r="H14" s="2514"/>
      <c r="I14" s="2514"/>
      <c r="J14" s="2514"/>
      <c r="K14" s="251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4" t="s">
        <v>2133</v>
      </c>
      <c r="C17" s="2514"/>
      <c r="D17" s="2514"/>
      <c r="E17" s="2514"/>
      <c r="F17" s="2514"/>
      <c r="G17" s="2514"/>
      <c r="H17" s="2514"/>
      <c r="I17" s="2514"/>
      <c r="J17" s="2514"/>
      <c r="K17" s="251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4" t="s">
        <v>2134</v>
      </c>
      <c r="C20" s="2514"/>
      <c r="D20" s="2514"/>
      <c r="E20" s="2514"/>
      <c r="F20" s="2514"/>
      <c r="G20" s="2514"/>
      <c r="H20" s="2514"/>
      <c r="I20" s="2514"/>
      <c r="J20" s="2514"/>
      <c r="K20" s="251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4" t="s">
        <v>2135</v>
      </c>
      <c r="C23" s="2514"/>
      <c r="D23" s="2514"/>
      <c r="E23" s="2514"/>
      <c r="F23" s="2514"/>
      <c r="G23" s="2514"/>
      <c r="H23" s="2514"/>
      <c r="I23" s="2514"/>
      <c r="J23" s="2514"/>
      <c r="K23" s="251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4" t="s">
        <v>2136</v>
      </c>
      <c r="C26" s="2514"/>
      <c r="D26" s="2514"/>
      <c r="E26" s="2514"/>
      <c r="F26" s="2514"/>
      <c r="G26" s="2514"/>
      <c r="H26" s="2514"/>
      <c r="I26" s="2514"/>
      <c r="J26" s="2514"/>
      <c r="K26" s="251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4" t="s">
        <v>2137</v>
      </c>
      <c r="C29" s="2514"/>
      <c r="D29" s="2514"/>
      <c r="E29" s="2514"/>
      <c r="F29" s="2514"/>
      <c r="G29" s="2514"/>
      <c r="H29" s="2514"/>
      <c r="I29" s="2514"/>
      <c r="J29" s="2514"/>
      <c r="K29" s="251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4" t="s">
        <v>2138</v>
      </c>
      <c r="C32" s="2514"/>
      <c r="D32" s="2514"/>
      <c r="E32" s="2514"/>
      <c r="F32" s="2514"/>
      <c r="G32" s="2514"/>
      <c r="H32" s="2514"/>
      <c r="I32" s="2514"/>
      <c r="J32" s="2514"/>
      <c r="K32" s="251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sqref="A1:D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8" t="str">
        <f>'Single Audit Cover'!A7</f>
        <v>Sp Ed Association of Adams Co</v>
      </c>
      <c r="C1" s="2518"/>
      <c r="D1" s="2518"/>
      <c r="E1" s="2518"/>
      <c r="F1" s="2518"/>
      <c r="G1" s="2518"/>
      <c r="H1" s="2518"/>
      <c r="I1" s="2518"/>
      <c r="J1" s="2518"/>
      <c r="K1" s="2518"/>
      <c r="L1" s="1465"/>
    </row>
    <row r="2" spans="1:12" ht="12.75" customHeight="1" x14ac:dyDescent="0.2">
      <c r="B2" s="2519">
        <f>'Single Audit Cover'!E7</f>
        <v>1001172061</v>
      </c>
      <c r="C2" s="2519"/>
      <c r="D2" s="2519"/>
      <c r="E2" s="2519"/>
      <c r="F2" s="2519"/>
      <c r="G2" s="2519"/>
      <c r="H2" s="2519"/>
      <c r="I2" s="2519"/>
      <c r="J2" s="2519"/>
      <c r="K2" s="2519"/>
      <c r="L2" s="1466"/>
    </row>
    <row r="3" spans="1:12" ht="12.75" customHeight="1" x14ac:dyDescent="0.2">
      <c r="B3" s="2515" t="s">
        <v>1347</v>
      </c>
      <c r="C3" s="2515"/>
      <c r="D3" s="2515"/>
      <c r="E3" s="2515"/>
      <c r="F3" s="2515"/>
      <c r="G3" s="2515"/>
      <c r="H3" s="2515"/>
      <c r="I3" s="2515"/>
      <c r="J3" s="2515"/>
      <c r="K3" s="2515"/>
      <c r="L3" s="1377"/>
    </row>
    <row r="4" spans="1:12" ht="12.75" customHeight="1" x14ac:dyDescent="0.2">
      <c r="B4" s="2515" t="str">
        <f>'Single Audit Cover'!A4</f>
        <v>Year Ending June 30, 2018</v>
      </c>
      <c r="C4" s="2515"/>
      <c r="D4" s="2515"/>
      <c r="E4" s="2515"/>
      <c r="F4" s="2515"/>
      <c r="G4" s="2515"/>
      <c r="H4" s="2515"/>
      <c r="I4" s="2515"/>
      <c r="J4" s="2515"/>
      <c r="K4" s="2515"/>
      <c r="L4" s="1377"/>
    </row>
    <row r="5" spans="1:12" ht="5.25" customHeight="1" x14ac:dyDescent="0.2">
      <c r="B5" s="1260" t="s">
        <v>1231</v>
      </c>
      <c r="C5" s="1260"/>
      <c r="L5" s="322"/>
    </row>
    <row r="6" spans="1:12" ht="30.75" customHeight="1" x14ac:dyDescent="0.2">
      <c r="A6" s="322"/>
      <c r="B6" s="2520" t="s">
        <v>1375</v>
      </c>
      <c r="C6" s="2520"/>
      <c r="D6" s="2520"/>
      <c r="E6" s="2520"/>
      <c r="F6" s="2520"/>
      <c r="G6" s="2520"/>
      <c r="H6" s="2520"/>
      <c r="I6" s="2520"/>
      <c r="J6" s="2520"/>
      <c r="K6" s="252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v>3</v>
      </c>
      <c r="E8" s="322"/>
      <c r="F8" s="1384" t="s">
        <v>1362</v>
      </c>
      <c r="G8" s="1469" t="s">
        <v>2073</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0" t="s">
        <v>2139</v>
      </c>
      <c r="G12" s="2500"/>
      <c r="H12" s="2500"/>
      <c r="I12" s="2500"/>
      <c r="J12" s="2500"/>
      <c r="K12" s="250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22" t="s">
        <v>2140</v>
      </c>
      <c r="E14" s="2522"/>
      <c r="F14" s="2522"/>
      <c r="H14" s="1475" t="s">
        <v>1370</v>
      </c>
      <c r="I14" s="2523" t="s">
        <v>2130</v>
      </c>
      <c r="J14" s="2523"/>
      <c r="K14" s="252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23" t="s">
        <v>2141</v>
      </c>
      <c r="E16" s="2523"/>
      <c r="F16" s="2523"/>
      <c r="G16" s="2523"/>
      <c r="H16" s="2523"/>
      <c r="I16" s="2523"/>
      <c r="J16" s="2523"/>
      <c r="K16" s="2523"/>
      <c r="L16" s="322"/>
    </row>
    <row r="17" spans="2:12" ht="13.5" customHeight="1" x14ac:dyDescent="0.2">
      <c r="B17" s="1387" t="s">
        <v>1368</v>
      </c>
      <c r="C17" s="1387"/>
      <c r="D17" s="2524" t="s">
        <v>2142</v>
      </c>
      <c r="E17" s="2524"/>
      <c r="F17" s="2524"/>
      <c r="G17" s="2524"/>
      <c r="H17" s="2524"/>
      <c r="I17" s="2524"/>
      <c r="J17" s="2524"/>
      <c r="K17" s="252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21" t="s">
        <v>2143</v>
      </c>
      <c r="C20" s="2521"/>
      <c r="D20" s="2521"/>
      <c r="E20" s="2521"/>
      <c r="F20" s="2521"/>
      <c r="G20" s="2521"/>
      <c r="H20" s="2521"/>
      <c r="I20" s="2521"/>
      <c r="J20" s="2521"/>
      <c r="K20" s="252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21" t="s">
        <v>2143</v>
      </c>
      <c r="C23" s="2521"/>
      <c r="D23" s="2521"/>
      <c r="E23" s="2521"/>
      <c r="F23" s="2521"/>
      <c r="G23" s="2521"/>
      <c r="H23" s="2521"/>
      <c r="I23" s="2521"/>
      <c r="J23" s="2521"/>
      <c r="K23" s="252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21" t="s">
        <v>2110</v>
      </c>
      <c r="C26" s="2521"/>
      <c r="D26" s="2521"/>
      <c r="E26" s="2521"/>
      <c r="F26" s="2521"/>
      <c r="G26" s="2521"/>
      <c r="H26" s="2521"/>
      <c r="I26" s="2521"/>
      <c r="J26" s="2521"/>
      <c r="K26" s="252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21" t="s">
        <v>2143</v>
      </c>
      <c r="C29" s="2521"/>
      <c r="D29" s="2521"/>
      <c r="E29" s="2521"/>
      <c r="F29" s="2521"/>
      <c r="G29" s="2521"/>
      <c r="H29" s="2521"/>
      <c r="I29" s="2521"/>
      <c r="J29" s="2521"/>
      <c r="K29" s="252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21" t="s">
        <v>2143</v>
      </c>
      <c r="C32" s="2521"/>
      <c r="D32" s="2521"/>
      <c r="E32" s="2521"/>
      <c r="F32" s="2521"/>
      <c r="G32" s="2521"/>
      <c r="H32" s="2521"/>
      <c r="I32" s="2521"/>
      <c r="J32" s="2521"/>
      <c r="K32" s="252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21" t="s">
        <v>2143</v>
      </c>
      <c r="C35" s="2521"/>
      <c r="D35" s="2521"/>
      <c r="E35" s="2521"/>
      <c r="F35" s="2521"/>
      <c r="G35" s="2521"/>
      <c r="H35" s="2521"/>
      <c r="I35" s="2521"/>
      <c r="J35" s="2521"/>
      <c r="K35" s="252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21" t="s">
        <v>2143</v>
      </c>
      <c r="C38" s="2521"/>
      <c r="D38" s="2521"/>
      <c r="E38" s="2521"/>
      <c r="F38" s="2521"/>
      <c r="G38" s="2521"/>
      <c r="H38" s="2521"/>
      <c r="I38" s="2521"/>
      <c r="J38" s="2521"/>
      <c r="K38" s="252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21" t="s">
        <v>2143</v>
      </c>
      <c r="C41" s="2521"/>
      <c r="D41" s="2521"/>
      <c r="E41" s="2521"/>
      <c r="F41" s="2521"/>
      <c r="G41" s="2521"/>
      <c r="H41" s="2521"/>
      <c r="I41" s="2521"/>
      <c r="J41" s="2521"/>
      <c r="K41" s="252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2"/>
  <sheetViews>
    <sheetView showGridLines="0" zoomScale="110" zoomScaleNormal="110" workbookViewId="0">
      <selection sqref="A1:D1"/>
    </sheetView>
  </sheetViews>
  <sheetFormatPr defaultColWidth="9.140625" defaultRowHeight="12.75" x14ac:dyDescent="0.2"/>
  <cols>
    <col min="1" max="1" width="1.5703125" style="317" customWidth="1"/>
    <col min="2" max="2" width="14.7109375" style="317" customWidth="1"/>
    <col min="3" max="3" width="40.7109375" style="317" customWidth="1"/>
    <col min="4" max="4" width="3.71093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493" t="str">
        <f>'Single Audit Cover'!A7</f>
        <v>Sp Ed Association of Adams Co</v>
      </c>
      <c r="C1" s="2493"/>
      <c r="D1" s="2493"/>
      <c r="E1" s="2493"/>
      <c r="F1" s="1491"/>
    </row>
    <row r="2" spans="2:6" s="1282" customFormat="1" ht="12.75" customHeight="1" x14ac:dyDescent="0.2">
      <c r="B2" s="2495">
        <f>'Single Audit Cover'!E7</f>
        <v>1001172061</v>
      </c>
      <c r="C2" s="2495"/>
      <c r="D2" s="2495"/>
      <c r="E2" s="2495"/>
      <c r="F2" s="1492"/>
    </row>
    <row r="3" spans="2:6" ht="12.75" customHeight="1" x14ac:dyDescent="0.2">
      <c r="B3" s="2515" t="s">
        <v>1866</v>
      </c>
      <c r="C3" s="2515"/>
      <c r="D3" s="2515"/>
      <c r="E3" s="2515"/>
      <c r="F3" s="1274"/>
    </row>
    <row r="4" spans="2:6" s="1282" customFormat="1" ht="12.75" customHeight="1" x14ac:dyDescent="0.2">
      <c r="B4" s="2525" t="str">
        <f>'Single Audit Cover'!A4</f>
        <v>Year Ending June 30, 2018</v>
      </c>
      <c r="C4" s="2525"/>
      <c r="D4" s="2525"/>
      <c r="E4" s="2525"/>
      <c r="F4" s="1493"/>
    </row>
    <row r="5" spans="2:6" s="1282" customFormat="1" ht="21.6" customHeight="1" x14ac:dyDescent="0.2">
      <c r="B5" s="1494"/>
      <c r="C5" s="328"/>
      <c r="D5" s="328"/>
      <c r="E5" s="328"/>
      <c r="F5" s="328"/>
    </row>
    <row r="6" spans="2:6" s="1282" customFormat="1" ht="13.5" customHeight="1" x14ac:dyDescent="0.2">
      <c r="B6" s="1495" t="s">
        <v>1382</v>
      </c>
      <c r="C6" s="1495" t="s">
        <v>1381</v>
      </c>
      <c r="D6" s="1495"/>
      <c r="E6" s="1495" t="s">
        <v>1867</v>
      </c>
    </row>
    <row r="7" spans="2:6" ht="13.5" customHeight="1" x14ac:dyDescent="0.2">
      <c r="B7" s="1496"/>
      <c r="C7" s="324"/>
      <c r="D7" s="324"/>
      <c r="E7" s="324"/>
      <c r="F7" s="324"/>
    </row>
    <row r="8" spans="2:6" ht="55.9" customHeight="1" x14ac:dyDescent="0.2">
      <c r="B8" s="1979" t="s">
        <v>2144</v>
      </c>
      <c r="C8" s="1976" t="s">
        <v>2153</v>
      </c>
      <c r="D8" s="1976"/>
      <c r="E8" s="1977" t="s">
        <v>2154</v>
      </c>
      <c r="F8" s="324"/>
    </row>
    <row r="9" spans="2:6" ht="13.5" customHeight="1" x14ac:dyDescent="0.2">
      <c r="B9" s="1979"/>
      <c r="C9" s="1975"/>
      <c r="D9" s="1975"/>
      <c r="E9" s="1978"/>
      <c r="F9" s="323"/>
    </row>
    <row r="10" spans="2:6" ht="14.45" customHeight="1" x14ac:dyDescent="0.2">
      <c r="B10" s="1979" t="s">
        <v>2145</v>
      </c>
      <c r="C10" s="1975" t="s">
        <v>2155</v>
      </c>
      <c r="D10" s="1975"/>
      <c r="E10" s="1978" t="s">
        <v>2156</v>
      </c>
      <c r="F10" s="323"/>
    </row>
    <row r="11" spans="2:6" ht="13.5" customHeight="1" x14ac:dyDescent="0.2">
      <c r="B11" s="1979"/>
      <c r="C11" s="1975"/>
      <c r="D11" s="1975"/>
      <c r="E11" s="1978"/>
      <c r="F11" s="323"/>
    </row>
    <row r="12" spans="2:6" ht="40.9" customHeight="1" x14ac:dyDescent="0.2">
      <c r="B12" s="1979" t="s">
        <v>2146</v>
      </c>
      <c r="C12" s="1975" t="s">
        <v>2157</v>
      </c>
      <c r="D12" s="1975"/>
      <c r="E12" s="1978" t="s">
        <v>2154</v>
      </c>
      <c r="F12" s="323"/>
    </row>
    <row r="13" spans="2:6" ht="13.5" customHeight="1" x14ac:dyDescent="0.2">
      <c r="B13" s="1979"/>
      <c r="C13" s="1975"/>
      <c r="D13" s="1975"/>
      <c r="E13" s="1978"/>
      <c r="F13" s="323"/>
    </row>
    <row r="14" spans="2:6" ht="40.9" customHeight="1" x14ac:dyDescent="0.2">
      <c r="B14" s="1979" t="s">
        <v>2147</v>
      </c>
      <c r="C14" s="1975" t="s">
        <v>2158</v>
      </c>
      <c r="D14" s="1975"/>
      <c r="E14" s="1978" t="s">
        <v>2154</v>
      </c>
      <c r="F14" s="323"/>
    </row>
    <row r="15" spans="2:6" ht="13.5" customHeight="1" x14ac:dyDescent="0.2">
      <c r="B15" s="1979"/>
      <c r="C15" s="1975"/>
      <c r="D15" s="1975"/>
      <c r="E15" s="1978"/>
      <c r="F15" s="323"/>
    </row>
    <row r="16" spans="2:6" ht="40.15" customHeight="1" x14ac:dyDescent="0.2">
      <c r="B16" s="1979" t="s">
        <v>2148</v>
      </c>
      <c r="C16" s="1975" t="s">
        <v>2159</v>
      </c>
      <c r="D16" s="1975"/>
      <c r="E16" s="1978" t="s">
        <v>2154</v>
      </c>
      <c r="F16" s="323"/>
    </row>
    <row r="17" spans="2:6" ht="13.5" customHeight="1" x14ac:dyDescent="0.2">
      <c r="B17" s="1979"/>
      <c r="C17" s="1975"/>
      <c r="D17" s="1975"/>
      <c r="E17" s="1978"/>
      <c r="F17" s="323"/>
    </row>
    <row r="18" spans="2:6" ht="31.15" customHeight="1" x14ac:dyDescent="0.2">
      <c r="B18" s="1979" t="s">
        <v>2149</v>
      </c>
      <c r="C18" s="1975" t="s">
        <v>2160</v>
      </c>
      <c r="D18" s="1975"/>
      <c r="E18" s="1978" t="s">
        <v>2154</v>
      </c>
      <c r="F18" s="323"/>
    </row>
    <row r="19" spans="2:6" ht="13.5" customHeight="1" x14ac:dyDescent="0.2">
      <c r="B19" s="1979"/>
      <c r="C19" s="1975"/>
      <c r="D19" s="1975"/>
      <c r="E19" s="1978"/>
      <c r="F19" s="323"/>
    </row>
    <row r="20" spans="2:6" ht="28.9" customHeight="1" x14ac:dyDescent="0.2">
      <c r="B20" s="1979" t="s">
        <v>2150</v>
      </c>
      <c r="C20" s="1975" t="s">
        <v>2161</v>
      </c>
      <c r="D20" s="1975"/>
      <c r="E20" s="1978" t="s">
        <v>2154</v>
      </c>
      <c r="F20" s="323"/>
    </row>
    <row r="21" spans="2:6" ht="13.5" customHeight="1" x14ac:dyDescent="0.2">
      <c r="B21" s="1979"/>
      <c r="C21" s="1975"/>
      <c r="D21" s="1975"/>
      <c r="E21" s="1978"/>
      <c r="F21" s="323"/>
    </row>
    <row r="22" spans="2:6" ht="41.45" customHeight="1" x14ac:dyDescent="0.2">
      <c r="B22" s="1979" t="s">
        <v>2152</v>
      </c>
      <c r="C22" s="1975" t="s">
        <v>2162</v>
      </c>
      <c r="D22" s="1975"/>
      <c r="E22" s="1978" t="s">
        <v>2154</v>
      </c>
      <c r="F22" s="323"/>
    </row>
    <row r="23" spans="2:6" ht="13.5" customHeight="1" x14ac:dyDescent="0.2">
      <c r="B23" s="1979"/>
      <c r="C23" s="1975"/>
      <c r="D23" s="1975"/>
      <c r="E23" s="1978"/>
      <c r="F23" s="323"/>
    </row>
    <row r="24" spans="2:6" ht="40.9" customHeight="1" x14ac:dyDescent="0.2">
      <c r="B24" s="1979" t="s">
        <v>2151</v>
      </c>
      <c r="C24" s="1975" t="s">
        <v>2163</v>
      </c>
      <c r="D24" s="1975"/>
      <c r="E24" s="1978" t="s">
        <v>2154</v>
      </c>
      <c r="F24" s="323"/>
    </row>
    <row r="25" spans="2:6" ht="13.5" customHeight="1" x14ac:dyDescent="0.2">
      <c r="B25" s="1496"/>
      <c r="C25" s="323"/>
      <c r="D25" s="323"/>
      <c r="E25" s="323"/>
      <c r="F25" s="323"/>
    </row>
    <row r="26" spans="2:6" ht="13.5" customHeight="1" x14ac:dyDescent="0.2">
      <c r="B26" s="1496"/>
      <c r="C26" s="323"/>
      <c r="D26" s="323"/>
      <c r="E26" s="323"/>
      <c r="F26" s="323"/>
    </row>
    <row r="27" spans="2:6" ht="13.5" customHeight="1" x14ac:dyDescent="0.2">
      <c r="B27" s="1496"/>
      <c r="C27" s="323"/>
      <c r="D27" s="323"/>
      <c r="E27" s="323"/>
      <c r="F27" s="323"/>
    </row>
    <row r="28" spans="2:6" ht="13.5" customHeight="1" x14ac:dyDescent="0.2">
      <c r="B28" s="1498"/>
      <c r="C28" s="323"/>
      <c r="D28" s="323"/>
      <c r="E28" s="323"/>
      <c r="F28" s="323"/>
    </row>
    <row r="29" spans="2:6" ht="13.5" customHeight="1" x14ac:dyDescent="0.2">
      <c r="B29" s="1497"/>
      <c r="C29" s="323"/>
      <c r="D29" s="323"/>
      <c r="E29" s="323"/>
      <c r="F29" s="323"/>
    </row>
    <row r="30" spans="2:6" ht="13.5" customHeight="1" x14ac:dyDescent="0.2">
      <c r="B30" s="1499"/>
      <c r="C30" s="323"/>
      <c r="D30" s="323"/>
      <c r="E30" s="323"/>
      <c r="F30" s="323"/>
    </row>
    <row r="31" spans="2:6" ht="13.5" customHeight="1" x14ac:dyDescent="0.2">
      <c r="B31" s="1500"/>
      <c r="C31" s="323"/>
      <c r="D31" s="323"/>
      <c r="E31" s="323"/>
      <c r="F31" s="323"/>
    </row>
    <row r="32" spans="2:6" ht="12.75" customHeight="1" x14ac:dyDescent="0.2">
      <c r="B32" s="1501"/>
      <c r="C32" s="1502"/>
      <c r="D32" s="1502"/>
      <c r="E32" s="1502"/>
      <c r="F32" s="323"/>
    </row>
    <row r="33" spans="2:6" ht="12.2" customHeight="1" x14ac:dyDescent="0.2">
      <c r="B33" s="1257" t="s">
        <v>1380</v>
      </c>
      <c r="C33" s="322"/>
      <c r="D33" s="322"/>
    </row>
    <row r="34" spans="2:6" ht="12.2" customHeight="1" x14ac:dyDescent="0.2">
      <c r="B34" s="1503" t="s">
        <v>1868</v>
      </c>
    </row>
    <row r="35" spans="2:6" ht="12.2" customHeight="1" x14ac:dyDescent="0.2">
      <c r="B35" s="1503" t="s">
        <v>1869</v>
      </c>
    </row>
    <row r="36" spans="2:6" ht="12.2" customHeight="1" x14ac:dyDescent="0.2">
      <c r="B36" s="1504" t="s">
        <v>1379</v>
      </c>
    </row>
    <row r="37" spans="2:6" ht="12.2" customHeight="1" x14ac:dyDescent="0.2">
      <c r="B37" s="1504" t="s">
        <v>1378</v>
      </c>
    </row>
    <row r="38" spans="2:6" ht="12.2" customHeight="1" x14ac:dyDescent="0.2">
      <c r="B38" s="1504" t="s">
        <v>1377</v>
      </c>
    </row>
    <row r="39" spans="2:6" ht="12.2" customHeight="1" x14ac:dyDescent="0.2">
      <c r="B39" s="1504" t="s">
        <v>1376</v>
      </c>
    </row>
    <row r="42" spans="2:6" ht="12.75" customHeight="1" x14ac:dyDescent="0.2"/>
    <row r="43" spans="2:6" ht="12.75" customHeight="1" x14ac:dyDescent="0.2">
      <c r="B43" s="1267"/>
    </row>
    <row r="44" spans="2:6" ht="12.75" customHeight="1" x14ac:dyDescent="0.2"/>
    <row r="45" spans="2:6" ht="12.75" customHeight="1" x14ac:dyDescent="0.2">
      <c r="B45" s="322"/>
      <c r="C45" s="322"/>
      <c r="D45" s="322"/>
      <c r="E45" s="322"/>
      <c r="F45" s="322"/>
    </row>
    <row r="46" spans="2:6" ht="12.75" customHeight="1" x14ac:dyDescent="0.2">
      <c r="B46" s="322"/>
      <c r="C46" s="322"/>
      <c r="D46" s="322"/>
      <c r="E46" s="322"/>
      <c r="F46" s="322"/>
    </row>
    <row r="47" spans="2:6" ht="12.75" customHeight="1" x14ac:dyDescent="0.2">
      <c r="B47" s="322"/>
      <c r="C47" s="322"/>
      <c r="D47" s="322"/>
      <c r="E47" s="322"/>
      <c r="F47" s="322"/>
    </row>
    <row r="48" spans="2:6" ht="12.75" customHeight="1" x14ac:dyDescent="0.2">
      <c r="B48" s="322"/>
      <c r="C48" s="322"/>
      <c r="D48" s="322"/>
      <c r="E48" s="322"/>
      <c r="F48" s="322"/>
    </row>
    <row r="49" spans="2:6" ht="12.75" customHeight="1" x14ac:dyDescent="0.2">
      <c r="B49" s="322"/>
      <c r="C49" s="322"/>
      <c r="D49" s="322"/>
      <c r="E49" s="322"/>
      <c r="F49" s="322"/>
    </row>
    <row r="50" spans="2:6" ht="12.75" customHeight="1" x14ac:dyDescent="0.2">
      <c r="B50" s="322"/>
      <c r="C50" s="322"/>
      <c r="D50" s="322"/>
      <c r="E50" s="322"/>
      <c r="F50" s="322"/>
    </row>
    <row r="51" spans="2:6" ht="12.75" customHeight="1" x14ac:dyDescent="0.2">
      <c r="B51" s="322"/>
      <c r="C51" s="322"/>
      <c r="D51" s="322"/>
      <c r="E51" s="322"/>
      <c r="F51" s="322"/>
    </row>
    <row r="52" spans="2:6" ht="12.75" customHeight="1" x14ac:dyDescent="0.2">
      <c r="B52" s="322"/>
      <c r="C52" s="322"/>
      <c r="D52" s="322"/>
      <c r="E52" s="322"/>
      <c r="F52" s="322"/>
    </row>
    <row r="56" spans="2:6" x14ac:dyDescent="0.2">
      <c r="B56" s="1419"/>
    </row>
    <row r="57" spans="2:6" x14ac:dyDescent="0.2">
      <c r="B57" s="1300"/>
    </row>
    <row r="58" spans="2:6" x14ac:dyDescent="0.2">
      <c r="B58" s="1300"/>
    </row>
    <row r="59" spans="2:6" x14ac:dyDescent="0.2">
      <c r="B59" s="1420"/>
    </row>
    <row r="60" spans="2:6" x14ac:dyDescent="0.2">
      <c r="B60" s="1420"/>
    </row>
    <row r="61" spans="2:6" x14ac:dyDescent="0.2">
      <c r="B61" s="1420"/>
    </row>
    <row r="62" spans="2:6" x14ac:dyDescent="0.2">
      <c r="B62" s="1300"/>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4" t="s">
        <v>404</v>
      </c>
      <c r="B1" s="2124"/>
      <c r="C1" s="2124"/>
      <c r="D1" s="2124"/>
      <c r="E1" s="2124"/>
      <c r="F1" s="2124"/>
      <c r="G1" s="2124"/>
      <c r="H1" s="2124"/>
      <c r="I1" s="2124"/>
      <c r="J1" s="2124"/>
      <c r="K1" s="2124"/>
      <c r="L1" s="2124"/>
      <c r="M1" s="212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2091714</v>
      </c>
      <c r="E16" s="356"/>
      <c r="F16" s="1753">
        <f>SUM('Acct Summary 7-8'!C17,'Acct Summary 7-8'!D17,'Acct Summary 7-8'!F17)</f>
        <v>2006686</v>
      </c>
      <c r="G16" s="356"/>
      <c r="H16" s="1753">
        <f>SUM(D16-F16)</f>
        <v>85028</v>
      </c>
      <c r="I16" s="222"/>
      <c r="J16" s="1753">
        <f>SUM('Acct Summary 7-8'!C81,'Acct Summary 7-8'!D81,'Acct Summary 7-8'!F81,'Acct Summary 7-8'!I81)</f>
        <v>366852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5"/>
      <c r="C54" s="2126"/>
      <c r="D54" s="2126"/>
      <c r="E54" s="2126"/>
      <c r="F54" s="2126"/>
      <c r="G54" s="2126"/>
      <c r="H54" s="2126"/>
      <c r="I54" s="2126"/>
      <c r="J54" s="2126"/>
      <c r="K54" s="2126"/>
      <c r="L54" s="2127"/>
      <c r="M54" s="380"/>
    </row>
    <row r="55" spans="1:13" ht="12.75" customHeight="1" x14ac:dyDescent="0.2">
      <c r="B55" s="2128"/>
      <c r="C55" s="2129"/>
      <c r="D55" s="2129"/>
      <c r="E55" s="2129"/>
      <c r="F55" s="2129"/>
      <c r="G55" s="2129"/>
      <c r="H55" s="2129"/>
      <c r="I55" s="2129"/>
      <c r="J55" s="2129"/>
      <c r="K55" s="2129"/>
      <c r="L55" s="2130"/>
      <c r="M55" s="380"/>
    </row>
    <row r="56" spans="1:13" ht="12.75" customHeight="1" x14ac:dyDescent="0.2">
      <c r="B56" s="2128"/>
      <c r="C56" s="2129"/>
      <c r="D56" s="2129"/>
      <c r="E56" s="2129"/>
      <c r="F56" s="2129"/>
      <c r="G56" s="2129"/>
      <c r="H56" s="2129"/>
      <c r="I56" s="2129"/>
      <c r="J56" s="2129"/>
      <c r="K56" s="2129"/>
      <c r="L56" s="2130"/>
      <c r="M56" s="222"/>
    </row>
    <row r="57" spans="1:13" ht="12.75" customHeight="1" x14ac:dyDescent="0.2">
      <c r="B57" s="2128"/>
      <c r="C57" s="2129"/>
      <c r="D57" s="2129"/>
      <c r="E57" s="2129"/>
      <c r="F57" s="2129"/>
      <c r="G57" s="2129"/>
      <c r="H57" s="2129"/>
      <c r="I57" s="2129"/>
      <c r="J57" s="2129"/>
      <c r="K57" s="2129"/>
      <c r="L57" s="2130"/>
      <c r="M57" s="222"/>
    </row>
    <row r="58" spans="1:13" x14ac:dyDescent="0.2">
      <c r="B58" s="2131"/>
      <c r="C58" s="2132"/>
      <c r="D58" s="2132"/>
      <c r="E58" s="2132"/>
      <c r="F58" s="2132"/>
      <c r="G58" s="2132"/>
      <c r="H58" s="2132"/>
      <c r="I58" s="2132"/>
      <c r="J58" s="2132"/>
      <c r="K58" s="2132"/>
      <c r="L58" s="21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6"/>
      <c r="D61" s="21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9"/>
      <c r="B1" s="2140"/>
      <c r="C1" s="2140"/>
      <c r="D1" s="384"/>
      <c r="E1" s="384"/>
      <c r="F1" s="384"/>
      <c r="G1" s="384"/>
      <c r="H1" s="384"/>
      <c r="I1" s="384"/>
      <c r="J1" s="384"/>
      <c r="K1" s="384"/>
      <c r="L1" s="384"/>
      <c r="M1" s="384"/>
      <c r="N1" s="384"/>
      <c r="O1" s="2139"/>
      <c r="P1" s="2140"/>
      <c r="Q1" s="2140"/>
    </row>
    <row r="2" spans="1:18" ht="15" x14ac:dyDescent="0.2">
      <c r="A2" s="2143" t="s">
        <v>577</v>
      </c>
      <c r="B2" s="2143"/>
      <c r="C2" s="2143"/>
      <c r="D2" s="2143"/>
      <c r="E2" s="2143"/>
      <c r="F2" s="2143"/>
      <c r="G2" s="2143"/>
      <c r="H2" s="2143"/>
      <c r="I2" s="2143"/>
      <c r="J2" s="2143"/>
      <c r="K2" s="2143"/>
      <c r="L2" s="2143"/>
      <c r="M2" s="2143"/>
      <c r="N2" s="2143"/>
      <c r="O2" s="2143"/>
      <c r="P2" s="2143"/>
      <c r="Q2" s="2143"/>
      <c r="R2" s="2143"/>
    </row>
    <row r="3" spans="1:18" ht="12.75" x14ac:dyDescent="0.2">
      <c r="A3" s="2144" t="s">
        <v>1480</v>
      </c>
      <c r="B3" s="2144"/>
      <c r="C3" s="2144"/>
      <c r="D3" s="2144"/>
      <c r="E3" s="2144"/>
      <c r="F3" s="2144"/>
      <c r="G3" s="2144"/>
      <c r="H3" s="2144"/>
      <c r="I3" s="2144"/>
      <c r="J3" s="2144"/>
      <c r="K3" s="2144"/>
      <c r="L3" s="2144"/>
      <c r="M3" s="2144"/>
      <c r="N3" s="2144"/>
      <c r="O3" s="2144"/>
      <c r="P3" s="2144"/>
      <c r="Q3" s="2144"/>
      <c r="R3" s="2144"/>
    </row>
    <row r="4" spans="1:18" x14ac:dyDescent="0.2">
      <c r="A4" s="2145" t="s">
        <v>1635</v>
      </c>
      <c r="B4" s="2145"/>
      <c r="C4" s="2145"/>
      <c r="D4" s="2145"/>
      <c r="E4" s="2145"/>
      <c r="F4" s="2145"/>
      <c r="G4" s="2145"/>
      <c r="H4" s="2145"/>
      <c r="I4" s="2145"/>
      <c r="J4" s="2145"/>
      <c r="K4" s="2145"/>
      <c r="L4" s="2145"/>
      <c r="M4" s="2145"/>
      <c r="N4" s="2145"/>
      <c r="O4" s="2145"/>
      <c r="P4" s="2145"/>
      <c r="Q4" s="2145"/>
      <c r="R4" s="21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 Ed Association of Adams Co</v>
      </c>
      <c r="E7" s="391"/>
      <c r="G7" s="252"/>
      <c r="H7" s="387"/>
      <c r="I7" s="387"/>
      <c r="J7" s="387"/>
      <c r="K7" s="387"/>
      <c r="L7" s="329"/>
      <c r="M7" s="329"/>
      <c r="N7" s="329"/>
      <c r="O7" s="329"/>
      <c r="P7" s="329"/>
    </row>
    <row r="8" spans="1:18" ht="12.75" x14ac:dyDescent="0.2">
      <c r="A8" s="329"/>
      <c r="B8" s="329"/>
      <c r="C8" s="389" t="s">
        <v>1187</v>
      </c>
      <c r="D8" s="392">
        <f>COVER!A13</f>
        <v>1001172061</v>
      </c>
      <c r="E8" s="393"/>
      <c r="G8" s="329"/>
      <c r="H8" s="329"/>
      <c r="I8" s="329"/>
      <c r="J8" s="329"/>
      <c r="K8" s="329"/>
      <c r="L8" s="329"/>
      <c r="M8" s="329"/>
      <c r="N8" s="329"/>
      <c r="O8" s="329"/>
      <c r="P8" s="329"/>
    </row>
    <row r="9" spans="1:18" ht="12.75" x14ac:dyDescent="0.2">
      <c r="A9" s="329"/>
      <c r="B9" s="329"/>
      <c r="C9" s="389" t="s">
        <v>737</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366852</v>
      </c>
      <c r="I12" s="404"/>
      <c r="J12" s="404"/>
      <c r="K12" s="405">
        <f>TRUNC((H12/H13*100000),5)/100000</f>
        <v>0.17538344150000001</v>
      </c>
      <c r="L12" s="406"/>
      <c r="M12" s="360" t="s">
        <v>1206</v>
      </c>
      <c r="N12" s="360"/>
      <c r="O12" s="407">
        <v>0.35</v>
      </c>
      <c r="P12" s="218"/>
      <c r="Q12" s="218"/>
    </row>
    <row r="13" spans="1:18" s="408" customFormat="1" ht="12.75" x14ac:dyDescent="0.2">
      <c r="A13" s="218"/>
      <c r="B13" s="401"/>
      <c r="C13" s="2141" t="s">
        <v>1391</v>
      </c>
      <c r="D13" s="2142"/>
      <c r="E13" s="218"/>
      <c r="F13" s="409" t="s">
        <v>826</v>
      </c>
      <c r="G13" s="402"/>
      <c r="H13" s="403">
        <f>SUM('Acct Summary 7-8'!C8+'Acct Summary 7-8'!D8+'Acct Summary 7-8'!F8+'Acct Summary 7-8'!I8)+H14</f>
        <v>2091714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2006686</v>
      </c>
      <c r="I17" s="404"/>
      <c r="J17" s="416"/>
      <c r="K17" s="405">
        <f>TRUNC((H17/H18*100000),5)/100000</f>
        <v>0.95935008319999993</v>
      </c>
      <c r="L17" s="406"/>
      <c r="M17" s="417" t="s">
        <v>1233</v>
      </c>
      <c r="O17" s="418" t="str">
        <f>IF(AND(O16="2", J20 &gt; 2),"1",IF(AND(O16 = "1", J20 &gt; 2),"2",IF(AND(O16="1", J20 &gt;1),"1","0")))</f>
        <v>0</v>
      </c>
      <c r="P17" s="218"/>
    </row>
    <row r="18" spans="1:18" s="408" customFormat="1" ht="11.25" x14ac:dyDescent="0.2">
      <c r="A18" s="218"/>
      <c r="B18" s="401"/>
      <c r="C18" s="2141" t="s">
        <v>1384</v>
      </c>
      <c r="D18" s="2142"/>
      <c r="E18" s="218"/>
      <c r="F18" s="419" t="s">
        <v>827</v>
      </c>
      <c r="G18" s="402"/>
      <c r="H18" s="403">
        <f>SUM('Acct Summary 7-8'!C8+'Acct Summary 7-8'!D8+'Acct Summary 7-8'!F8+'Acct Summary 7-8'!I8)+H19</f>
        <v>2091714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38" t="s">
        <v>1479</v>
      </c>
      <c r="D24" s="2138"/>
      <c r="E24" s="218"/>
      <c r="F24" s="218" t="s">
        <v>465</v>
      </c>
      <c r="G24" s="402"/>
      <c r="H24" s="403">
        <f>SUM('Assets-Liab 5-6'!C4+'Assets-Liab 5-6'!D4+'Assets-Liab 5-6'!F4+'Assets-Liab 5-6'!I4+'Assets-Liab 5-6'!C5+'Assets-Liab 5-6'!D5+'Assets-Liab 5-6'!F5+'Assets-Liab 5-6'!I5)</f>
        <v>366852</v>
      </c>
      <c r="I24" s="422"/>
      <c r="J24" s="422"/>
      <c r="K24" s="423">
        <f>TRUNC(((H24/H25*100000)/100000),2)</f>
        <v>65.81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5574.1277799999998</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33" activePane="bottomLeft" state="frozen"/>
      <selection activeCell="A47" sqref="A47"/>
      <selection pane="bottomLeft" activeCell="M42" sqref="M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8" t="s">
        <v>1030</v>
      </c>
      <c r="B3" s="2149"/>
      <c r="C3" s="1579"/>
      <c r="D3" s="1580"/>
      <c r="E3" s="1580"/>
      <c r="F3" s="1580"/>
      <c r="G3" s="1580"/>
      <c r="H3" s="1580"/>
      <c r="I3" s="1580"/>
      <c r="J3" s="1580"/>
      <c r="K3" s="1580"/>
      <c r="L3" s="1580"/>
      <c r="M3" s="1581"/>
      <c r="N3" s="1582"/>
    </row>
    <row r="4" spans="1:14" ht="13.5" customHeight="1" x14ac:dyDescent="0.2">
      <c r="A4" s="463" t="s">
        <v>1750</v>
      </c>
      <c r="B4" s="464"/>
      <c r="C4" s="465">
        <v>366852</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366852</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50" t="s">
        <v>149</v>
      </c>
      <c r="B14" s="2151"/>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26565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26565</v>
      </c>
      <c r="N23" s="1708">
        <f>SUM(N21:N22)</f>
        <v>0</v>
      </c>
    </row>
    <row r="24" spans="1:14" ht="18" customHeight="1" thickTop="1" x14ac:dyDescent="0.2">
      <c r="A24" s="2152" t="s">
        <v>619</v>
      </c>
      <c r="B24" s="2153"/>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80"/>
    </row>
    <row r="35" spans="1:14" ht="18" customHeight="1" thickTop="1" x14ac:dyDescent="0.2">
      <c r="A35" s="2154" t="s">
        <v>550</v>
      </c>
      <c r="B35" s="2155"/>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6" t="s">
        <v>674</v>
      </c>
      <c r="B37" s="1761"/>
      <c r="C37" s="477"/>
      <c r="D37" s="477"/>
      <c r="E37" s="477"/>
      <c r="F37" s="477"/>
      <c r="G37" s="477"/>
      <c r="H37" s="477"/>
      <c r="I37" s="477"/>
      <c r="J37" s="477"/>
      <c r="K37" s="477"/>
      <c r="L37" s="480"/>
      <c r="M37" s="468"/>
      <c r="N37" s="1708">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C4</f>
        <v>366852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M19</f>
        <v>26565</v>
      </c>
      <c r="N40" s="497"/>
    </row>
    <row r="41" spans="1:14" ht="13.5" customHeight="1" thickBot="1" x14ac:dyDescent="0.25">
      <c r="A41" s="1756" t="s">
        <v>676</v>
      </c>
      <c r="B41" s="1726"/>
      <c r="C41" s="1708">
        <f>(SUM(C34,C37,C38,C39))</f>
        <v>366852</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26565</v>
      </c>
      <c r="N41" s="1708">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5" activePane="bottomLeft" state="frozenSplit"/>
      <selection activeCell="A47" sqref="A47"/>
      <selection pane="bottomLeft" activeCell="C85" sqref="C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6" t="s">
        <v>1237</v>
      </c>
      <c r="B3" s="2177"/>
      <c r="C3" s="1593"/>
      <c r="D3" s="1594"/>
      <c r="E3" s="1594"/>
      <c r="F3" s="1594"/>
      <c r="G3" s="1594"/>
      <c r="H3" s="1594"/>
      <c r="I3" s="1594"/>
      <c r="J3" s="1594"/>
      <c r="K3" s="1595"/>
      <c r="L3" s="506"/>
    </row>
    <row r="4" spans="1:13" ht="15.75" customHeight="1" x14ac:dyDescent="0.2">
      <c r="A4" s="1952" t="s">
        <v>1579</v>
      </c>
      <c r="B4" s="1953">
        <v>1000</v>
      </c>
      <c r="C4" s="1762">
        <f>'Revenues 9-14'!C109</f>
        <v>175850</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189000</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1726864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2091714</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6" t="s">
        <v>1235</v>
      </c>
      <c r="B10" s="1729"/>
      <c r="C10" s="1708">
        <f>SUM(C8:C9)</f>
        <v>2091714</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8"/>
    </row>
    <row r="11" spans="1:13" s="519" customFormat="1" ht="16.7" customHeight="1" thickTop="1" x14ac:dyDescent="0.2">
      <c r="A11" s="2150" t="s">
        <v>1238</v>
      </c>
      <c r="B11" s="2151"/>
      <c r="C11" s="1590"/>
      <c r="D11" s="1591"/>
      <c r="E11" s="1591"/>
      <c r="F11" s="1591"/>
      <c r="G11" s="1591"/>
      <c r="H11" s="1591"/>
      <c r="I11" s="1591"/>
      <c r="J11" s="1591"/>
      <c r="K11" s="1592"/>
      <c r="L11" s="518"/>
    </row>
    <row r="12" spans="1:13" ht="15.75" customHeight="1" x14ac:dyDescent="0.2">
      <c r="A12" s="1596" t="s">
        <v>476</v>
      </c>
      <c r="B12" s="1598">
        <v>1000</v>
      </c>
      <c r="C12" s="1762">
        <f>'Expenditures 15-22'!K33</f>
        <v>21081</v>
      </c>
      <c r="D12" s="520" t="s">
        <v>1231</v>
      </c>
      <c r="E12" s="468" t="s">
        <v>1231</v>
      </c>
      <c r="F12" s="468" t="s">
        <v>1231</v>
      </c>
      <c r="G12" s="1762">
        <f>'Expenditures 15-22'!K229</f>
        <v>0</v>
      </c>
      <c r="H12" s="521"/>
      <c r="I12" s="468" t="s">
        <v>1231</v>
      </c>
      <c r="J12" s="468" t="s">
        <v>1231</v>
      </c>
      <c r="K12" s="521" t="s">
        <v>1231</v>
      </c>
      <c r="L12" s="347"/>
    </row>
    <row r="13" spans="1:13" ht="15.75" customHeight="1" x14ac:dyDescent="0.2">
      <c r="A13" s="1596" t="s">
        <v>477</v>
      </c>
      <c r="B13" s="1598">
        <v>2000</v>
      </c>
      <c r="C13" s="1763">
        <f>'Expenditures 15-22'!K74</f>
        <v>398378</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6" t="s">
        <v>109</v>
      </c>
      <c r="B15" s="1598">
        <v>4000</v>
      </c>
      <c r="C15" s="1763">
        <f>'Expenditures 15-22'!K102</f>
        <v>1587227</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2006686</v>
      </c>
      <c r="D17" s="1708">
        <f t="shared" si="2"/>
        <v>0</v>
      </c>
      <c r="E17" s="1708">
        <f t="shared" si="2"/>
        <v>0</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2006686</v>
      </c>
      <c r="D19" s="1708">
        <f t="shared" si="4"/>
        <v>0</v>
      </c>
      <c r="E19" s="1708">
        <f t="shared" si="4"/>
        <v>0</v>
      </c>
      <c r="F19" s="1708">
        <f t="shared" si="4"/>
        <v>0</v>
      </c>
      <c r="G19" s="1708">
        <f t="shared" si="4"/>
        <v>0</v>
      </c>
      <c r="H19" s="1708">
        <f t="shared" si="4"/>
        <v>0</v>
      </c>
      <c r="I19" s="468"/>
      <c r="J19" s="1708">
        <f>SUM(J17:J18)</f>
        <v>0</v>
      </c>
      <c r="K19" s="1708">
        <f>SUM(K17:K18)</f>
        <v>0</v>
      </c>
      <c r="L19" s="347"/>
    </row>
    <row r="20" spans="1:12" ht="16.5" thickTop="1" thickBot="1" x14ac:dyDescent="0.25">
      <c r="A20" s="2166" t="s">
        <v>1754</v>
      </c>
      <c r="B20" s="2167"/>
      <c r="C20" s="1766">
        <f>C8-C17</f>
        <v>85028</v>
      </c>
      <c r="D20" s="1766">
        <f t="shared" ref="D20:K20" si="5">D8-D17</f>
        <v>0</v>
      </c>
      <c r="E20" s="1766">
        <f t="shared" si="5"/>
        <v>0</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78" t="s">
        <v>616</v>
      </c>
      <c r="B21" s="2179"/>
      <c r="C21" s="1590"/>
      <c r="D21" s="1591"/>
      <c r="E21" s="1591"/>
      <c r="F21" s="1591"/>
      <c r="G21" s="1591"/>
      <c r="H21" s="1591"/>
      <c r="I21" s="1591"/>
      <c r="J21" s="1591"/>
      <c r="K21" s="1592"/>
      <c r="L21" s="524"/>
    </row>
    <row r="22" spans="1:12" ht="15.75" customHeight="1" collapsed="1" x14ac:dyDescent="0.2">
      <c r="A22" s="2174" t="s">
        <v>617</v>
      </c>
      <c r="B22" s="2175"/>
      <c r="C22" s="477"/>
      <c r="D22" s="477"/>
      <c r="E22" s="477"/>
      <c r="F22" s="477"/>
      <c r="G22" s="477"/>
      <c r="H22" s="477"/>
      <c r="I22" s="477"/>
      <c r="J22" s="477"/>
      <c r="K22" s="477"/>
      <c r="L22" s="347"/>
    </row>
    <row r="23" spans="1:12" s="485" customFormat="1" ht="15.75" customHeight="1" x14ac:dyDescent="0.2">
      <c r="A23" s="2170" t="s">
        <v>311</v>
      </c>
      <c r="B23" s="2171"/>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1893</v>
      </c>
      <c r="B30" s="527">
        <v>7160</v>
      </c>
      <c r="C30" s="477"/>
      <c r="D30" s="467"/>
      <c r="E30" s="477"/>
      <c r="F30" s="477"/>
      <c r="G30" s="477"/>
      <c r="H30" s="477"/>
      <c r="I30" s="477"/>
      <c r="J30" s="477"/>
      <c r="K30" s="477"/>
      <c r="L30" s="524"/>
    </row>
    <row r="31" spans="1:12" s="485" customFormat="1" ht="26.25" x14ac:dyDescent="0.2">
      <c r="A31" s="1509" t="s">
        <v>1897</v>
      </c>
      <c r="B31" s="527">
        <v>7170</v>
      </c>
      <c r="C31" s="477"/>
      <c r="D31" s="477"/>
      <c r="E31" s="474"/>
      <c r="F31" s="477"/>
      <c r="G31" s="477"/>
      <c r="H31" s="477"/>
      <c r="I31" s="477"/>
      <c r="J31" s="477"/>
      <c r="K31" s="477"/>
      <c r="L31" s="524"/>
    </row>
    <row r="32" spans="1:12" s="485" customFormat="1" ht="15.75" customHeight="1" x14ac:dyDescent="0.2">
      <c r="A32" s="2172" t="s">
        <v>1038</v>
      </c>
      <c r="B32" s="2173"/>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80" t="s">
        <v>392</v>
      </c>
      <c r="B44" s="2181"/>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74" t="s">
        <v>110</v>
      </c>
      <c r="B45" s="2175"/>
      <c r="C45" s="528"/>
      <c r="D45" s="528"/>
      <c r="E45" s="528"/>
      <c r="F45" s="528"/>
      <c r="G45" s="528"/>
      <c r="H45" s="528"/>
      <c r="I45" s="528"/>
      <c r="J45" s="528"/>
      <c r="K45" s="528"/>
      <c r="L45" s="347"/>
    </row>
    <row r="46" spans="1:12" s="485" customFormat="1" ht="15.75" customHeight="1" x14ac:dyDescent="0.2">
      <c r="A46" s="2182" t="s">
        <v>111</v>
      </c>
      <c r="B46" s="2183"/>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0</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1896</v>
      </c>
      <c r="B52" s="483">
        <v>8160</v>
      </c>
      <c r="C52" s="477"/>
      <c r="D52" s="477"/>
      <c r="E52" s="477"/>
      <c r="F52" s="477"/>
      <c r="G52" s="477"/>
      <c r="H52" s="477"/>
      <c r="I52" s="477"/>
      <c r="J52" s="477"/>
      <c r="K52" s="1763">
        <f>D30</f>
        <v>0</v>
      </c>
      <c r="L52" s="524"/>
    </row>
    <row r="53" spans="1:12" s="485" customFormat="1" ht="26.25" x14ac:dyDescent="0.2">
      <c r="A53" s="1510" t="s">
        <v>1895</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56" t="s">
        <v>460</v>
      </c>
      <c r="B76" s="2157"/>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58" t="s">
        <v>1239</v>
      </c>
      <c r="B77" s="2159"/>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62" t="s">
        <v>618</v>
      </c>
      <c r="B78" s="2163"/>
      <c r="C78" s="1722">
        <f t="shared" ref="C78:K78" si="9">C20+C77</f>
        <v>85028</v>
      </c>
      <c r="D78" s="1722">
        <f t="shared" si="9"/>
        <v>0</v>
      </c>
      <c r="E78" s="1722">
        <f t="shared" si="9"/>
        <v>0</v>
      </c>
      <c r="F78" s="1722">
        <f t="shared" si="9"/>
        <v>0</v>
      </c>
      <c r="G78" s="1722">
        <f t="shared" si="9"/>
        <v>0</v>
      </c>
      <c r="H78" s="1722">
        <f t="shared" si="9"/>
        <v>0</v>
      </c>
      <c r="I78" s="1722">
        <f t="shared" si="9"/>
        <v>0</v>
      </c>
      <c r="J78" s="1722">
        <f t="shared" si="9"/>
        <v>0</v>
      </c>
      <c r="K78" s="1722">
        <f t="shared" si="9"/>
        <v>0</v>
      </c>
      <c r="L78" s="533"/>
    </row>
    <row r="79" spans="1:12" ht="13.5" thickTop="1" x14ac:dyDescent="0.2">
      <c r="A79" s="1514" t="s">
        <v>2069</v>
      </c>
      <c r="B79" s="534"/>
      <c r="C79" s="478">
        <v>281824</v>
      </c>
      <c r="D79" s="535"/>
      <c r="E79" s="535"/>
      <c r="F79" s="535"/>
      <c r="G79" s="535"/>
      <c r="H79" s="535"/>
      <c r="I79" s="535"/>
      <c r="J79" s="535"/>
      <c r="K79" s="535"/>
      <c r="L79" s="347"/>
    </row>
    <row r="80" spans="1:12" x14ac:dyDescent="0.2">
      <c r="A80" s="2168" t="s">
        <v>1894</v>
      </c>
      <c r="B80" s="2169"/>
      <c r="C80" s="467"/>
      <c r="D80" s="467"/>
      <c r="E80" s="467"/>
      <c r="F80" s="467"/>
      <c r="G80" s="467"/>
      <c r="H80" s="467"/>
      <c r="I80" s="467"/>
      <c r="J80" s="467"/>
      <c r="K80" s="467"/>
      <c r="L80" s="347"/>
    </row>
    <row r="81" spans="1:12" ht="13.5" thickBot="1" x14ac:dyDescent="0.25">
      <c r="A81" s="2160" t="s">
        <v>2070</v>
      </c>
      <c r="B81" s="2161"/>
      <c r="C81" s="1708">
        <f>(SUM(C78:C80))</f>
        <v>366852</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6" t="s">
        <v>361</v>
      </c>
      <c r="B82" s="537"/>
      <c r="C82" s="538">
        <f>(C81-C79)</f>
        <v>85028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0.23177739251796364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4" t="s">
        <v>1901</v>
      </c>
      <c r="B1" s="452"/>
      <c r="C1" s="453" t="s">
        <v>445</v>
      </c>
      <c r="D1" s="453" t="s">
        <v>446</v>
      </c>
      <c r="E1" s="453" t="s">
        <v>447</v>
      </c>
      <c r="F1" s="453" t="s">
        <v>448</v>
      </c>
      <c r="G1" s="453" t="s">
        <v>449</v>
      </c>
      <c r="H1" s="453" t="s">
        <v>450</v>
      </c>
      <c r="I1" s="453" t="s">
        <v>451</v>
      </c>
      <c r="J1" s="453" t="s">
        <v>452</v>
      </c>
      <c r="K1" s="453" t="s">
        <v>780</v>
      </c>
    </row>
    <row r="2" spans="1:12" ht="36" x14ac:dyDescent="0.2">
      <c r="A2" s="216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2522</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2522</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v>79043</v>
      </c>
      <c r="D98" s="466"/>
      <c r="E98" s="512"/>
      <c r="F98" s="466"/>
      <c r="G98" s="512"/>
      <c r="H98" s="512"/>
      <c r="I98" s="510"/>
      <c r="J98" s="512"/>
      <c r="K98" s="512"/>
    </row>
    <row r="99" spans="1:12" ht="12.75" customHeight="1" x14ac:dyDescent="0.2">
      <c r="A99" s="463" t="s">
        <v>875</v>
      </c>
      <c r="B99" s="470">
        <v>1950</v>
      </c>
      <c r="C99" s="489">
        <v>82412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11873</v>
      </c>
      <c r="D107" s="466"/>
      <c r="E107" s="466"/>
      <c r="F107" s="466"/>
      <c r="G107" s="466"/>
      <c r="H107" s="466"/>
      <c r="I107" s="466"/>
      <c r="J107" s="467"/>
      <c r="K107" s="466"/>
    </row>
    <row r="108" spans="1:12" ht="12.75" customHeight="1" thickBot="1" x14ac:dyDescent="0.25">
      <c r="A108" s="1728" t="s">
        <v>508</v>
      </c>
      <c r="B108" s="1732"/>
      <c r="C108" s="1727">
        <f>SUM(C95:C107)</f>
        <v>173328</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175850</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126000</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6" t="s">
        <v>1900</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126000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63000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63000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0</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c r="D171" s="580"/>
      <c r="E171" s="580"/>
      <c r="F171" s="580"/>
      <c r="G171" s="581"/>
      <c r="H171" s="582"/>
      <c r="I171" s="581"/>
      <c r="J171" s="581"/>
      <c r="K171" s="582"/>
    </row>
    <row r="172" spans="1:11" ht="12.75" customHeight="1" thickTop="1" thickBot="1" x14ac:dyDescent="0.25">
      <c r="A172" s="2184" t="s">
        <v>418</v>
      </c>
      <c r="B172" s="2185"/>
      <c r="C172" s="1742">
        <f t="shared" ref="C172:K172" si="6">SUM(C131,C140,C144,C145:C149,C154,C155:C170,C171)</f>
        <v>63000</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189000</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86" t="s">
        <v>1572</v>
      </c>
      <c r="B175" s="218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0" t="s">
        <v>1764</v>
      </c>
      <c r="B178" s="2191"/>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94" t="s">
        <v>1763</v>
      </c>
      <c r="B179" s="219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2" t="s">
        <v>818</v>
      </c>
      <c r="B184" s="2193"/>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88" t="s">
        <v>1902</v>
      </c>
      <c r="B185" s="2189"/>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88500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1492070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1580570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73121</v>
      </c>
      <c r="D270" s="576"/>
      <c r="E270" s="468"/>
      <c r="F270" s="576"/>
      <c r="G270" s="576"/>
      <c r="H270" s="468"/>
      <c r="I270" s="468"/>
      <c r="J270" s="468"/>
      <c r="K270" s="468"/>
    </row>
    <row r="271" spans="1:11" ht="12.75" customHeight="1" thickTop="1" thickBot="1" x14ac:dyDescent="0.25">
      <c r="A271" s="463" t="s">
        <v>395</v>
      </c>
      <c r="B271" s="470">
        <v>4992</v>
      </c>
      <c r="C271" s="575">
        <v>73173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1726864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1726864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2091714</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7"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4" t="s">
        <v>315</v>
      </c>
      <c r="B3" s="2205"/>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c r="D5" s="466"/>
      <c r="E5" s="466"/>
      <c r="F5" s="466"/>
      <c r="G5" s="466"/>
      <c r="H5" s="466"/>
      <c r="I5" s="467"/>
      <c r="J5" s="467"/>
      <c r="K5" s="1691">
        <f>SUM(C5:J5)</f>
        <v>0</v>
      </c>
      <c r="L5" s="466"/>
    </row>
    <row r="6" spans="1:14" x14ac:dyDescent="0.2">
      <c r="A6" s="1524" t="s">
        <v>1508</v>
      </c>
      <c r="B6" s="615" t="s">
        <v>1506</v>
      </c>
      <c r="C6" s="477"/>
      <c r="D6" s="477"/>
      <c r="E6" s="466"/>
      <c r="F6" s="477"/>
      <c r="G6" s="477"/>
      <c r="H6" s="477"/>
      <c r="I6" s="477"/>
      <c r="J6" s="477"/>
      <c r="K6" s="1691">
        <f>SUM(C6,E6)</f>
        <v>0</v>
      </c>
      <c r="L6" s="466"/>
    </row>
    <row r="7" spans="1:14" x14ac:dyDescent="0.2">
      <c r="A7" s="1524" t="s">
        <v>165</v>
      </c>
      <c r="B7" s="615" t="s">
        <v>1024</v>
      </c>
      <c r="C7" s="467"/>
      <c r="D7" s="467"/>
      <c r="E7" s="467"/>
      <c r="F7" s="467"/>
      <c r="G7" s="467"/>
      <c r="H7" s="467"/>
      <c r="I7" s="467"/>
      <c r="J7" s="467"/>
      <c r="K7" s="1691">
        <f t="shared" ref="K7:K32" si="0">SUM(C7:J7)</f>
        <v>0</v>
      </c>
      <c r="L7" s="466"/>
    </row>
    <row r="8" spans="1:14" x14ac:dyDescent="0.2">
      <c r="A8" s="1524" t="s">
        <v>166</v>
      </c>
      <c r="B8" s="615">
        <v>1200</v>
      </c>
      <c r="C8" s="466">
        <v>17126</v>
      </c>
      <c r="D8" s="466">
        <v>211</v>
      </c>
      <c r="E8" s="466">
        <v>3744</v>
      </c>
      <c r="F8" s="466"/>
      <c r="G8" s="466"/>
      <c r="H8" s="466"/>
      <c r="I8" s="467"/>
      <c r="J8" s="467"/>
      <c r="K8" s="1691">
        <f t="shared" si="0"/>
        <v>21081</v>
      </c>
      <c r="L8" s="466">
        <v>22500</v>
      </c>
    </row>
    <row r="9" spans="1:14" x14ac:dyDescent="0.2">
      <c r="A9" s="1524" t="s">
        <v>745</v>
      </c>
      <c r="B9" s="615" t="s">
        <v>1025</v>
      </c>
      <c r="C9" s="467"/>
      <c r="D9" s="467"/>
      <c r="E9" s="467"/>
      <c r="F9" s="467"/>
      <c r="G9" s="467"/>
      <c r="H9" s="467"/>
      <c r="I9" s="467"/>
      <c r="J9" s="467"/>
      <c r="K9" s="1691">
        <f t="shared" si="0"/>
        <v>0</v>
      </c>
      <c r="L9" s="466"/>
    </row>
    <row r="10" spans="1:14" x14ac:dyDescent="0.2">
      <c r="A10" s="1524" t="s">
        <v>746</v>
      </c>
      <c r="B10" s="615">
        <v>1250</v>
      </c>
      <c r="C10" s="466"/>
      <c r="D10" s="466"/>
      <c r="E10" s="466"/>
      <c r="F10" s="466"/>
      <c r="G10" s="466"/>
      <c r="H10" s="466"/>
      <c r="I10" s="467"/>
      <c r="J10" s="467"/>
      <c r="K10" s="1691">
        <f t="shared" si="0"/>
        <v>0</v>
      </c>
      <c r="L10" s="466"/>
    </row>
    <row r="11" spans="1:14" x14ac:dyDescent="0.2">
      <c r="A11" s="1524" t="s">
        <v>1192</v>
      </c>
      <c r="B11" s="615" t="s">
        <v>163</v>
      </c>
      <c r="C11" s="467"/>
      <c r="D11" s="467"/>
      <c r="E11" s="467"/>
      <c r="F11" s="467"/>
      <c r="G11" s="467"/>
      <c r="H11" s="467"/>
      <c r="I11" s="467"/>
      <c r="J11" s="467"/>
      <c r="K11" s="1691">
        <f t="shared" si="0"/>
        <v>0</v>
      </c>
      <c r="L11" s="466"/>
    </row>
    <row r="12" spans="1:14" x14ac:dyDescent="0.2">
      <c r="A12" s="1524" t="s">
        <v>1019</v>
      </c>
      <c r="B12" s="615">
        <v>1300</v>
      </c>
      <c r="C12" s="466"/>
      <c r="D12" s="466"/>
      <c r="E12" s="466"/>
      <c r="F12" s="466"/>
      <c r="G12" s="466"/>
      <c r="H12" s="466"/>
      <c r="I12" s="467"/>
      <c r="J12" s="467"/>
      <c r="K12" s="1691">
        <f t="shared" si="0"/>
        <v>0</v>
      </c>
      <c r="L12" s="466"/>
    </row>
    <row r="13" spans="1:14" x14ac:dyDescent="0.2">
      <c r="A13" s="1524" t="s">
        <v>747</v>
      </c>
      <c r="B13" s="615">
        <v>1400</v>
      </c>
      <c r="C13" s="466"/>
      <c r="D13" s="466"/>
      <c r="E13" s="466"/>
      <c r="F13" s="466"/>
      <c r="G13" s="466"/>
      <c r="H13" s="466"/>
      <c r="I13" s="467"/>
      <c r="J13" s="467"/>
      <c r="K13" s="1691">
        <f t="shared" si="0"/>
        <v>0</v>
      </c>
      <c r="L13" s="466"/>
    </row>
    <row r="14" spans="1:14" x14ac:dyDescent="0.2">
      <c r="A14" s="1524" t="s">
        <v>1020</v>
      </c>
      <c r="B14" s="615">
        <v>1500</v>
      </c>
      <c r="C14" s="466"/>
      <c r="D14" s="466"/>
      <c r="E14" s="466"/>
      <c r="F14" s="466"/>
      <c r="G14" s="466"/>
      <c r="H14" s="466"/>
      <c r="I14" s="467"/>
      <c r="J14" s="467"/>
      <c r="K14" s="1691">
        <f t="shared" si="0"/>
        <v>0</v>
      </c>
      <c r="L14" s="466"/>
    </row>
    <row r="15" spans="1:14" x14ac:dyDescent="0.2">
      <c r="A15" s="1524" t="s">
        <v>1021</v>
      </c>
      <c r="B15" s="615">
        <v>1600</v>
      </c>
      <c r="C15" s="466"/>
      <c r="D15" s="466"/>
      <c r="E15" s="466"/>
      <c r="F15" s="466"/>
      <c r="G15" s="466"/>
      <c r="H15" s="466"/>
      <c r="I15" s="467"/>
      <c r="J15" s="467"/>
      <c r="K15" s="1691">
        <f t="shared" si="0"/>
        <v>0</v>
      </c>
      <c r="L15" s="466"/>
    </row>
    <row r="16" spans="1:14" x14ac:dyDescent="0.2">
      <c r="A16" s="1524" t="s">
        <v>1044</v>
      </c>
      <c r="B16" s="615" t="s">
        <v>444</v>
      </c>
      <c r="C16" s="466"/>
      <c r="D16" s="466"/>
      <c r="E16" s="466"/>
      <c r="F16" s="466"/>
      <c r="G16" s="466"/>
      <c r="H16" s="466"/>
      <c r="I16" s="467"/>
      <c r="J16" s="467"/>
      <c r="K16" s="1691">
        <f t="shared" si="0"/>
        <v>0</v>
      </c>
      <c r="L16" s="466"/>
    </row>
    <row r="17" spans="1:12" x14ac:dyDescent="0.2">
      <c r="A17" s="1524" t="s">
        <v>748</v>
      </c>
      <c r="B17" s="615" t="s">
        <v>164</v>
      </c>
      <c r="C17" s="467"/>
      <c r="D17" s="467"/>
      <c r="E17" s="467"/>
      <c r="F17" s="467"/>
      <c r="G17" s="467"/>
      <c r="H17" s="467"/>
      <c r="I17" s="467"/>
      <c r="J17" s="467"/>
      <c r="K17" s="1691">
        <f t="shared" si="0"/>
        <v>0</v>
      </c>
      <c r="L17" s="466"/>
    </row>
    <row r="18" spans="1:12" x14ac:dyDescent="0.2">
      <c r="A18" s="1524" t="s">
        <v>1148</v>
      </c>
      <c r="B18" s="615">
        <v>1800</v>
      </c>
      <c r="C18" s="466"/>
      <c r="D18" s="466"/>
      <c r="E18" s="466"/>
      <c r="F18" s="466"/>
      <c r="G18" s="466"/>
      <c r="H18" s="466"/>
      <c r="I18" s="467"/>
      <c r="J18" s="467"/>
      <c r="K18" s="1691">
        <f t="shared" si="0"/>
        <v>0</v>
      </c>
      <c r="L18" s="466"/>
    </row>
    <row r="19" spans="1:12" x14ac:dyDescent="0.2">
      <c r="A19" s="1524" t="s">
        <v>136</v>
      </c>
      <c r="B19" s="615">
        <v>1900</v>
      </c>
      <c r="C19" s="466"/>
      <c r="D19" s="466"/>
      <c r="E19" s="466"/>
      <c r="F19" s="466"/>
      <c r="G19" s="466"/>
      <c r="H19" s="466"/>
      <c r="I19" s="467"/>
      <c r="J19" s="467"/>
      <c r="K19" s="1691">
        <f t="shared" si="0"/>
        <v>0</v>
      </c>
      <c r="L19" s="466"/>
    </row>
    <row r="20" spans="1:12" x14ac:dyDescent="0.2">
      <c r="A20" s="1525" t="s">
        <v>762</v>
      </c>
      <c r="B20" s="603" t="s">
        <v>749</v>
      </c>
      <c r="C20" s="477"/>
      <c r="D20" s="477"/>
      <c r="E20" s="477"/>
      <c r="F20" s="477"/>
      <c r="G20" s="477"/>
      <c r="H20" s="474"/>
      <c r="I20" s="617"/>
      <c r="J20" s="475"/>
      <c r="K20" s="1691">
        <f t="shared" si="0"/>
        <v>0</v>
      </c>
      <c r="L20" s="471"/>
    </row>
    <row r="21" spans="1:12" x14ac:dyDescent="0.2">
      <c r="A21" s="1525" t="s">
        <v>763</v>
      </c>
      <c r="B21" s="603" t="s">
        <v>750</v>
      </c>
      <c r="C21" s="477"/>
      <c r="D21" s="477"/>
      <c r="E21" s="477"/>
      <c r="F21" s="477"/>
      <c r="G21" s="477"/>
      <c r="H21" s="474"/>
      <c r="I21" s="617"/>
      <c r="J21" s="477"/>
      <c r="K21" s="1691">
        <f t="shared" si="0"/>
        <v>0</v>
      </c>
      <c r="L21" s="471"/>
    </row>
    <row r="22" spans="1:12" x14ac:dyDescent="0.2">
      <c r="A22" s="1525" t="s">
        <v>764</v>
      </c>
      <c r="B22" s="603" t="s">
        <v>751</v>
      </c>
      <c r="C22" s="477"/>
      <c r="D22" s="477"/>
      <c r="E22" s="477"/>
      <c r="F22" s="477"/>
      <c r="G22" s="477"/>
      <c r="H22" s="474"/>
      <c r="I22" s="617"/>
      <c r="J22" s="477"/>
      <c r="K22" s="1691">
        <f t="shared" si="0"/>
        <v>0</v>
      </c>
      <c r="L22" s="471"/>
    </row>
    <row r="23" spans="1:12" x14ac:dyDescent="0.2">
      <c r="A23" s="1525" t="s">
        <v>765</v>
      </c>
      <c r="B23" s="603" t="s">
        <v>752</v>
      </c>
      <c r="C23" s="477"/>
      <c r="D23" s="477"/>
      <c r="E23" s="477"/>
      <c r="F23" s="477"/>
      <c r="G23" s="477"/>
      <c r="H23" s="474"/>
      <c r="I23" s="617"/>
      <c r="J23" s="477"/>
      <c r="K23" s="1691">
        <f t="shared" si="0"/>
        <v>0</v>
      </c>
      <c r="L23" s="471"/>
    </row>
    <row r="24" spans="1:12" ht="12.75" customHeight="1" x14ac:dyDescent="0.2">
      <c r="A24" s="1525" t="s">
        <v>766</v>
      </c>
      <c r="B24" s="603" t="s">
        <v>753</v>
      </c>
      <c r="C24" s="477"/>
      <c r="D24" s="477"/>
      <c r="E24" s="477"/>
      <c r="F24" s="477"/>
      <c r="G24" s="477"/>
      <c r="H24" s="474"/>
      <c r="I24" s="617"/>
      <c r="J24" s="477"/>
      <c r="K24" s="1691">
        <f t="shared" si="0"/>
        <v>0</v>
      </c>
      <c r="L24" s="471"/>
    </row>
    <row r="25" spans="1:12" ht="12.75" customHeight="1" x14ac:dyDescent="0.2">
      <c r="A25" s="1525" t="s">
        <v>835</v>
      </c>
      <c r="B25" s="603" t="s">
        <v>754</v>
      </c>
      <c r="C25" s="477"/>
      <c r="D25" s="477"/>
      <c r="E25" s="477"/>
      <c r="F25" s="477"/>
      <c r="G25" s="477"/>
      <c r="H25" s="474"/>
      <c r="I25" s="617"/>
      <c r="J25" s="477"/>
      <c r="K25" s="1691">
        <f t="shared" si="0"/>
        <v>0</v>
      </c>
      <c r="L25" s="471"/>
    </row>
    <row r="26" spans="1:12" x14ac:dyDescent="0.2">
      <c r="A26" s="1525" t="s">
        <v>643</v>
      </c>
      <c r="B26" s="603" t="s">
        <v>755</v>
      </c>
      <c r="C26" s="477"/>
      <c r="D26" s="477"/>
      <c r="E26" s="477"/>
      <c r="F26" s="477"/>
      <c r="G26" s="477"/>
      <c r="H26" s="474"/>
      <c r="I26" s="617"/>
      <c r="J26" s="477"/>
      <c r="K26" s="1691">
        <f t="shared" si="0"/>
        <v>0</v>
      </c>
      <c r="L26" s="471"/>
    </row>
    <row r="27" spans="1:12" x14ac:dyDescent="0.2">
      <c r="A27" s="1525" t="s">
        <v>644</v>
      </c>
      <c r="B27" s="603" t="s">
        <v>756</v>
      </c>
      <c r="C27" s="477"/>
      <c r="D27" s="477"/>
      <c r="E27" s="477"/>
      <c r="F27" s="477"/>
      <c r="G27" s="477"/>
      <c r="H27" s="474"/>
      <c r="I27" s="617"/>
      <c r="J27" s="477"/>
      <c r="K27" s="1691">
        <f t="shared" si="0"/>
        <v>0</v>
      </c>
      <c r="L27" s="471"/>
    </row>
    <row r="28" spans="1:12" x14ac:dyDescent="0.2">
      <c r="A28" s="1525" t="s">
        <v>152</v>
      </c>
      <c r="B28" s="603" t="s">
        <v>757</v>
      </c>
      <c r="C28" s="477"/>
      <c r="D28" s="477"/>
      <c r="E28" s="477"/>
      <c r="F28" s="477"/>
      <c r="G28" s="477"/>
      <c r="H28" s="474"/>
      <c r="I28" s="617"/>
      <c r="J28" s="477"/>
      <c r="K28" s="1691">
        <f t="shared" si="0"/>
        <v>0</v>
      </c>
      <c r="L28" s="471"/>
    </row>
    <row r="29" spans="1:12" x14ac:dyDescent="0.2">
      <c r="A29" s="1525" t="s">
        <v>153</v>
      </c>
      <c r="B29" s="603" t="s">
        <v>758</v>
      </c>
      <c r="C29" s="477"/>
      <c r="D29" s="477"/>
      <c r="E29" s="477"/>
      <c r="F29" s="477"/>
      <c r="G29" s="477"/>
      <c r="H29" s="474"/>
      <c r="I29" s="617"/>
      <c r="J29" s="477"/>
      <c r="K29" s="1691">
        <f t="shared" si="0"/>
        <v>0</v>
      </c>
      <c r="L29" s="471"/>
    </row>
    <row r="30" spans="1:12" x14ac:dyDescent="0.2">
      <c r="A30" s="1525" t="s">
        <v>154</v>
      </c>
      <c r="B30" s="603" t="s">
        <v>759</v>
      </c>
      <c r="C30" s="477"/>
      <c r="D30" s="477"/>
      <c r="E30" s="477"/>
      <c r="F30" s="477"/>
      <c r="G30" s="477"/>
      <c r="H30" s="474"/>
      <c r="I30" s="617"/>
      <c r="J30" s="477"/>
      <c r="K30" s="1691">
        <f t="shared" si="0"/>
        <v>0</v>
      </c>
      <c r="L30" s="471"/>
    </row>
    <row r="31" spans="1:12" x14ac:dyDescent="0.2">
      <c r="A31" s="1525" t="s">
        <v>155</v>
      </c>
      <c r="B31" s="603" t="s">
        <v>760</v>
      </c>
      <c r="C31" s="477"/>
      <c r="D31" s="477"/>
      <c r="E31" s="477"/>
      <c r="F31" s="477"/>
      <c r="G31" s="477"/>
      <c r="H31" s="474"/>
      <c r="I31" s="617"/>
      <c r="J31" s="477"/>
      <c r="K31" s="1691">
        <f t="shared" si="0"/>
        <v>0</v>
      </c>
      <c r="L31" s="471"/>
    </row>
    <row r="32" spans="1:12" x14ac:dyDescent="0.2">
      <c r="A32" s="1526"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17126</v>
      </c>
      <c r="D33" s="1690">
        <f t="shared" ref="D33:L33" si="1">SUM(D5:D32)</f>
        <v>211</v>
      </c>
      <c r="E33" s="1690">
        <f t="shared" si="1"/>
        <v>3744</v>
      </c>
      <c r="F33" s="1690">
        <f t="shared" si="1"/>
        <v>0</v>
      </c>
      <c r="G33" s="1690">
        <f t="shared" si="1"/>
        <v>0</v>
      </c>
      <c r="H33" s="1690">
        <f t="shared" si="1"/>
        <v>0</v>
      </c>
      <c r="I33" s="1690">
        <f t="shared" si="1"/>
        <v>0</v>
      </c>
      <c r="J33" s="1690">
        <f t="shared" si="1"/>
        <v>0</v>
      </c>
      <c r="K33" s="1690">
        <f t="shared" si="1"/>
        <v>21081</v>
      </c>
      <c r="L33" s="1690">
        <f t="shared" si="1"/>
        <v>22500</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68294</v>
      </c>
      <c r="D36" s="481">
        <v>814</v>
      </c>
      <c r="E36" s="481">
        <v>262</v>
      </c>
      <c r="F36" s="481"/>
      <c r="G36" s="481"/>
      <c r="H36" s="481"/>
      <c r="I36" s="467"/>
      <c r="J36" s="467"/>
      <c r="K36" s="1691">
        <f t="shared" ref="K36:K41" si="2">SUM(C36:J36)</f>
        <v>69370</v>
      </c>
      <c r="L36" s="466">
        <v>71600</v>
      </c>
    </row>
    <row r="37" spans="1:14" x14ac:dyDescent="0.2">
      <c r="A37" s="1524" t="s">
        <v>1151</v>
      </c>
      <c r="B37" s="615">
        <v>2120</v>
      </c>
      <c r="C37" s="466"/>
      <c r="D37" s="466"/>
      <c r="E37" s="466"/>
      <c r="F37" s="466"/>
      <c r="G37" s="466"/>
      <c r="H37" s="466"/>
      <c r="I37" s="467"/>
      <c r="J37" s="467"/>
      <c r="K37" s="1691">
        <f t="shared" si="2"/>
        <v>0</v>
      </c>
      <c r="L37" s="466"/>
    </row>
    <row r="38" spans="1:14" x14ac:dyDescent="0.2">
      <c r="A38" s="1524" t="s">
        <v>207</v>
      </c>
      <c r="B38" s="615">
        <v>2130</v>
      </c>
      <c r="C38" s="466">
        <v>24769</v>
      </c>
      <c r="D38" s="466">
        <v>5343</v>
      </c>
      <c r="E38" s="466">
        <v>80</v>
      </c>
      <c r="F38" s="466"/>
      <c r="G38" s="466"/>
      <c r="H38" s="466"/>
      <c r="I38" s="467"/>
      <c r="J38" s="467"/>
      <c r="K38" s="1691">
        <f t="shared" si="2"/>
        <v>30192</v>
      </c>
      <c r="L38" s="466">
        <v>62200</v>
      </c>
    </row>
    <row r="39" spans="1:14" x14ac:dyDescent="0.2">
      <c r="A39" s="1524" t="s">
        <v>208</v>
      </c>
      <c r="B39" s="615">
        <v>2140</v>
      </c>
      <c r="C39" s="466">
        <v>47956</v>
      </c>
      <c r="D39" s="466">
        <v>11348</v>
      </c>
      <c r="E39" s="466">
        <v>28</v>
      </c>
      <c r="F39" s="466"/>
      <c r="G39" s="466"/>
      <c r="H39" s="466"/>
      <c r="I39" s="467"/>
      <c r="J39" s="467"/>
      <c r="K39" s="1691">
        <f t="shared" si="2"/>
        <v>59332</v>
      </c>
      <c r="L39" s="466">
        <v>52700</v>
      </c>
    </row>
    <row r="40" spans="1:14" x14ac:dyDescent="0.2">
      <c r="A40" s="1524" t="s">
        <v>209</v>
      </c>
      <c r="B40" s="615">
        <v>2150</v>
      </c>
      <c r="C40" s="466"/>
      <c r="D40" s="466"/>
      <c r="E40" s="466">
        <v>17047</v>
      </c>
      <c r="F40" s="466"/>
      <c r="G40" s="466"/>
      <c r="H40" s="466"/>
      <c r="I40" s="467"/>
      <c r="J40" s="467"/>
      <c r="K40" s="1691">
        <f t="shared" si="2"/>
        <v>17047</v>
      </c>
      <c r="L40" s="466">
        <v>18000</v>
      </c>
    </row>
    <row r="41" spans="1:14" x14ac:dyDescent="0.2">
      <c r="A41" s="1524"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141019</v>
      </c>
      <c r="D42" s="1690">
        <f t="shared" ref="D42:L42" si="3">SUM(D36:D41)</f>
        <v>17505</v>
      </c>
      <c r="E42" s="1690">
        <f t="shared" si="3"/>
        <v>17417</v>
      </c>
      <c r="F42" s="1690">
        <f t="shared" si="3"/>
        <v>0</v>
      </c>
      <c r="G42" s="1690">
        <f t="shared" si="3"/>
        <v>0</v>
      </c>
      <c r="H42" s="1690">
        <f t="shared" si="3"/>
        <v>0</v>
      </c>
      <c r="I42" s="1690">
        <f t="shared" si="3"/>
        <v>0</v>
      </c>
      <c r="J42" s="1690">
        <f t="shared" si="3"/>
        <v>0</v>
      </c>
      <c r="K42" s="1690">
        <f t="shared" si="3"/>
        <v>175941</v>
      </c>
      <c r="L42" s="1690">
        <f t="shared" si="3"/>
        <v>204500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c r="D44" s="481"/>
      <c r="E44" s="481"/>
      <c r="F44" s="481"/>
      <c r="G44" s="481"/>
      <c r="H44" s="481">
        <v>1125</v>
      </c>
      <c r="I44" s="467"/>
      <c r="J44" s="467"/>
      <c r="K44" s="1692">
        <f>SUM(C44:J44)</f>
        <v>1125</v>
      </c>
      <c r="L44" s="481">
        <v>9000</v>
      </c>
    </row>
    <row r="45" spans="1:14" x14ac:dyDescent="0.2">
      <c r="A45" s="1524" t="s">
        <v>869</v>
      </c>
      <c r="B45" s="615">
        <v>2220</v>
      </c>
      <c r="C45" s="466"/>
      <c r="D45" s="466"/>
      <c r="E45" s="466"/>
      <c r="F45" s="466"/>
      <c r="G45" s="466"/>
      <c r="H45" s="466"/>
      <c r="I45" s="467"/>
      <c r="J45" s="467"/>
      <c r="K45" s="1692">
        <f>SUM(C45:J45)</f>
        <v>0</v>
      </c>
      <c r="L45" s="466"/>
    </row>
    <row r="46" spans="1:14" x14ac:dyDescent="0.2">
      <c r="A46" s="1524" t="s">
        <v>870</v>
      </c>
      <c r="B46" s="615">
        <v>2230</v>
      </c>
      <c r="C46" s="466"/>
      <c r="D46" s="466"/>
      <c r="E46" s="466"/>
      <c r="F46" s="466"/>
      <c r="G46" s="466"/>
      <c r="H46" s="466"/>
      <c r="I46" s="467"/>
      <c r="J46" s="467"/>
      <c r="K46" s="1692">
        <f>SUM(C46:J46)</f>
        <v>0</v>
      </c>
      <c r="L46" s="466"/>
    </row>
    <row r="47" spans="1:14" ht="12.75" customHeight="1" thickBot="1" x14ac:dyDescent="0.25">
      <c r="A47" s="1688" t="s">
        <v>582</v>
      </c>
      <c r="B47" s="1689" t="s">
        <v>32</v>
      </c>
      <c r="C47" s="1690">
        <f>SUM(C44:C46)</f>
        <v>0</v>
      </c>
      <c r="D47" s="1690">
        <f t="shared" ref="D47:K47" si="4">SUM(D44:D46)</f>
        <v>0</v>
      </c>
      <c r="E47" s="1690">
        <f t="shared" si="4"/>
        <v>0</v>
      </c>
      <c r="F47" s="1690">
        <f t="shared" si="4"/>
        <v>0</v>
      </c>
      <c r="G47" s="1690">
        <f t="shared" si="4"/>
        <v>0</v>
      </c>
      <c r="H47" s="1690">
        <f t="shared" si="4"/>
        <v>1125</v>
      </c>
      <c r="I47" s="1690">
        <f t="shared" si="4"/>
        <v>0</v>
      </c>
      <c r="J47" s="1690">
        <f t="shared" si="4"/>
        <v>0</v>
      </c>
      <c r="K47" s="1690">
        <f t="shared" si="4"/>
        <v>1125</v>
      </c>
      <c r="L47" s="1690">
        <f>SUM(L44:L46)</f>
        <v>9000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c r="D49" s="481"/>
      <c r="E49" s="481"/>
      <c r="F49" s="481"/>
      <c r="G49" s="481"/>
      <c r="H49" s="481"/>
      <c r="I49" s="467"/>
      <c r="J49" s="467"/>
      <c r="K49" s="1692">
        <f>SUM(C49:J49)</f>
        <v>0</v>
      </c>
      <c r="L49" s="481"/>
    </row>
    <row r="50" spans="1:14" x14ac:dyDescent="0.2">
      <c r="A50" s="1524" t="s">
        <v>872</v>
      </c>
      <c r="B50" s="615">
        <v>2320</v>
      </c>
      <c r="C50" s="466"/>
      <c r="D50" s="466"/>
      <c r="E50" s="466"/>
      <c r="F50" s="466"/>
      <c r="G50" s="466"/>
      <c r="H50" s="466"/>
      <c r="I50" s="467"/>
      <c r="J50" s="467"/>
      <c r="K50" s="1692">
        <f>SUM(C50:J50)</f>
        <v>0</v>
      </c>
      <c r="L50" s="466"/>
    </row>
    <row r="51" spans="1:14" x14ac:dyDescent="0.2">
      <c r="A51" s="1524" t="s">
        <v>44</v>
      </c>
      <c r="B51" s="615">
        <v>2330</v>
      </c>
      <c r="C51" s="466">
        <v>67042</v>
      </c>
      <c r="D51" s="466">
        <v>24224</v>
      </c>
      <c r="E51" s="466">
        <v>9769</v>
      </c>
      <c r="F51" s="466">
        <v>806</v>
      </c>
      <c r="G51" s="466"/>
      <c r="H51" s="466"/>
      <c r="I51" s="467"/>
      <c r="J51" s="467"/>
      <c r="K51" s="1692">
        <f>SUM(C51:J51)</f>
        <v>101841</v>
      </c>
      <c r="L51" s="466">
        <v>122493</v>
      </c>
    </row>
    <row r="52" spans="1:14" ht="22.5" x14ac:dyDescent="0.2">
      <c r="A52" s="1525"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67042</v>
      </c>
      <c r="D53" s="1690">
        <f t="shared" ref="D53:L53" si="5">SUM(D49:D52)</f>
        <v>24224</v>
      </c>
      <c r="E53" s="1690">
        <f t="shared" si="5"/>
        <v>9769</v>
      </c>
      <c r="F53" s="1690">
        <f t="shared" si="5"/>
        <v>806</v>
      </c>
      <c r="G53" s="1690">
        <f t="shared" si="5"/>
        <v>0</v>
      </c>
      <c r="H53" s="1690">
        <f t="shared" si="5"/>
        <v>0</v>
      </c>
      <c r="I53" s="1690">
        <f t="shared" si="5"/>
        <v>0</v>
      </c>
      <c r="J53" s="1690">
        <f t="shared" si="5"/>
        <v>0</v>
      </c>
      <c r="K53" s="1690">
        <f t="shared" si="5"/>
        <v>101841</v>
      </c>
      <c r="L53" s="1690">
        <f t="shared" si="5"/>
        <v>122493</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95771</v>
      </c>
      <c r="D55" s="481">
        <v>8820</v>
      </c>
      <c r="E55" s="481"/>
      <c r="F55" s="481"/>
      <c r="G55" s="481"/>
      <c r="H55" s="481"/>
      <c r="I55" s="467"/>
      <c r="J55" s="467"/>
      <c r="K55" s="1692">
        <f>SUM(C55:J55)</f>
        <v>104591</v>
      </c>
      <c r="L55" s="481">
        <v>109000</v>
      </c>
    </row>
    <row r="56" spans="1:14" ht="12.75" customHeight="1" x14ac:dyDescent="0.2">
      <c r="A56" s="1528"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95771</v>
      </c>
      <c r="D57" s="1694">
        <f t="shared" ref="D57:K57" si="6">SUM(D55:D56)</f>
        <v>8820</v>
      </c>
      <c r="E57" s="1694">
        <f t="shared" si="6"/>
        <v>0</v>
      </c>
      <c r="F57" s="1694">
        <f t="shared" si="6"/>
        <v>0</v>
      </c>
      <c r="G57" s="1694">
        <f t="shared" si="6"/>
        <v>0</v>
      </c>
      <c r="H57" s="1694">
        <f t="shared" si="6"/>
        <v>0</v>
      </c>
      <c r="I57" s="1694">
        <f t="shared" si="6"/>
        <v>0</v>
      </c>
      <c r="J57" s="1694">
        <f t="shared" si="6"/>
        <v>0</v>
      </c>
      <c r="K57" s="1694">
        <f t="shared" si="6"/>
        <v>104591</v>
      </c>
      <c r="L57" s="1690">
        <f>SUM(L55:L56)</f>
        <v>109000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4" t="s">
        <v>483</v>
      </c>
      <c r="B60" s="615">
        <v>2520</v>
      </c>
      <c r="C60" s="466"/>
      <c r="D60" s="466"/>
      <c r="E60" s="466"/>
      <c r="F60" s="466"/>
      <c r="G60" s="466"/>
      <c r="H60" s="466"/>
      <c r="I60" s="467"/>
      <c r="J60" s="467"/>
      <c r="K60" s="1692">
        <f t="shared" si="7"/>
        <v>0</v>
      </c>
      <c r="L60" s="466"/>
      <c r="M60" s="610"/>
      <c r="N60" s="610"/>
    </row>
    <row r="61" spans="1:14" s="343" customFormat="1" x14ac:dyDescent="0.2">
      <c r="A61" s="1524" t="s">
        <v>206</v>
      </c>
      <c r="B61" s="615">
        <v>2540</v>
      </c>
      <c r="C61" s="466"/>
      <c r="D61" s="466"/>
      <c r="E61" s="466"/>
      <c r="F61" s="466"/>
      <c r="G61" s="466"/>
      <c r="H61" s="466"/>
      <c r="I61" s="467"/>
      <c r="J61" s="467"/>
      <c r="K61" s="1692">
        <f t="shared" si="7"/>
        <v>0</v>
      </c>
      <c r="L61" s="466"/>
      <c r="M61" s="610"/>
      <c r="N61" s="610"/>
    </row>
    <row r="62" spans="1:14" s="343" customFormat="1" x14ac:dyDescent="0.2">
      <c r="A62" s="1524" t="s">
        <v>1010</v>
      </c>
      <c r="B62" s="615">
        <v>2550</v>
      </c>
      <c r="C62" s="466"/>
      <c r="D62" s="466"/>
      <c r="E62" s="466"/>
      <c r="F62" s="466"/>
      <c r="G62" s="466"/>
      <c r="H62" s="466"/>
      <c r="I62" s="467"/>
      <c r="J62" s="467"/>
      <c r="K62" s="1692">
        <f t="shared" si="7"/>
        <v>0</v>
      </c>
      <c r="L62" s="466"/>
      <c r="M62" s="610"/>
      <c r="N62" s="610"/>
    </row>
    <row r="63" spans="1:14" s="610" customFormat="1" x14ac:dyDescent="0.2">
      <c r="A63" s="1524" t="s">
        <v>102</v>
      </c>
      <c r="B63" s="615">
        <v>2560</v>
      </c>
      <c r="C63" s="466"/>
      <c r="D63" s="466"/>
      <c r="E63" s="466"/>
      <c r="F63" s="466"/>
      <c r="G63" s="466"/>
      <c r="H63" s="466"/>
      <c r="I63" s="467"/>
      <c r="J63" s="467"/>
      <c r="K63" s="1692">
        <f t="shared" si="7"/>
        <v>0</v>
      </c>
      <c r="L63" s="466"/>
    </row>
    <row r="64" spans="1:14" s="610" customFormat="1" x14ac:dyDescent="0.2">
      <c r="A64" s="1529"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0</v>
      </c>
      <c r="D65" s="1690">
        <f t="shared" ref="D65:L65" si="8">SUM(D59:D64)</f>
        <v>0</v>
      </c>
      <c r="E65" s="1690">
        <f t="shared" si="8"/>
        <v>0</v>
      </c>
      <c r="F65" s="1690">
        <f t="shared" si="8"/>
        <v>0</v>
      </c>
      <c r="G65" s="1690">
        <f t="shared" si="8"/>
        <v>0</v>
      </c>
      <c r="H65" s="1690">
        <f t="shared" si="8"/>
        <v>0</v>
      </c>
      <c r="I65" s="1690">
        <f t="shared" si="8"/>
        <v>0</v>
      </c>
      <c r="J65" s="1690">
        <f t="shared" si="8"/>
        <v>0</v>
      </c>
      <c r="K65" s="1690">
        <f t="shared" si="8"/>
        <v>0</v>
      </c>
      <c r="L65" s="1690">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c r="M67" s="610"/>
      <c r="N67" s="610"/>
    </row>
    <row r="68" spans="1:14" s="343" customFormat="1" x14ac:dyDescent="0.2">
      <c r="A68" s="1524" t="s">
        <v>628</v>
      </c>
      <c r="B68" s="615">
        <v>2620</v>
      </c>
      <c r="C68" s="466"/>
      <c r="D68" s="466"/>
      <c r="E68" s="466"/>
      <c r="F68" s="466"/>
      <c r="G68" s="466"/>
      <c r="H68" s="466"/>
      <c r="I68" s="467"/>
      <c r="J68" s="467"/>
      <c r="K68" s="1692">
        <f>SUM(C68:J68)</f>
        <v>0</v>
      </c>
      <c r="L68" s="466"/>
      <c r="M68" s="610"/>
      <c r="N68" s="610"/>
    </row>
    <row r="69" spans="1:14" s="343" customFormat="1" x14ac:dyDescent="0.2">
      <c r="A69" s="1524" t="s">
        <v>1121</v>
      </c>
      <c r="B69" s="615">
        <v>2630</v>
      </c>
      <c r="C69" s="466"/>
      <c r="D69" s="466"/>
      <c r="E69" s="466"/>
      <c r="F69" s="466"/>
      <c r="G69" s="466"/>
      <c r="H69" s="466"/>
      <c r="I69" s="467"/>
      <c r="J69" s="467"/>
      <c r="K69" s="1692">
        <f>SUM(C69:J69)</f>
        <v>0</v>
      </c>
      <c r="L69" s="466"/>
      <c r="M69" s="610"/>
      <c r="N69" s="610"/>
    </row>
    <row r="70" spans="1:14" s="343" customFormat="1" x14ac:dyDescent="0.2">
      <c r="A70" s="1524" t="s">
        <v>423</v>
      </c>
      <c r="B70" s="615">
        <v>2640</v>
      </c>
      <c r="C70" s="466"/>
      <c r="D70" s="466"/>
      <c r="E70" s="466"/>
      <c r="F70" s="466"/>
      <c r="G70" s="466"/>
      <c r="H70" s="466"/>
      <c r="I70" s="467"/>
      <c r="J70" s="467"/>
      <c r="K70" s="1692">
        <f>SUM(C70:J70)</f>
        <v>0</v>
      </c>
      <c r="L70" s="466"/>
      <c r="M70" s="610"/>
      <c r="N70" s="610"/>
    </row>
    <row r="71" spans="1:14" s="343" customFormat="1" x14ac:dyDescent="0.2">
      <c r="A71" s="1524" t="s">
        <v>424</v>
      </c>
      <c r="B71" s="615">
        <v>2660</v>
      </c>
      <c r="C71" s="466"/>
      <c r="D71" s="466"/>
      <c r="E71" s="466">
        <v>14880</v>
      </c>
      <c r="F71" s="466"/>
      <c r="G71" s="466"/>
      <c r="H71" s="466"/>
      <c r="I71" s="467"/>
      <c r="J71" s="467"/>
      <c r="K71" s="1692">
        <f>SUM(C71:J71)</f>
        <v>14880</v>
      </c>
      <c r="L71" s="466">
        <v>14880</v>
      </c>
      <c r="M71" s="610"/>
      <c r="N71" s="610"/>
    </row>
    <row r="72" spans="1:14" s="343" customFormat="1" ht="12.75" customHeight="1" thickBot="1" x14ac:dyDescent="0.25">
      <c r="A72" s="1688" t="s">
        <v>37</v>
      </c>
      <c r="B72" s="1695" t="s">
        <v>36</v>
      </c>
      <c r="C72" s="1690">
        <f>SUM(C67:C71)</f>
        <v>0</v>
      </c>
      <c r="D72" s="1690">
        <f t="shared" ref="D72:K72" si="9">SUM(D67:D71)</f>
        <v>0</v>
      </c>
      <c r="E72" s="1690">
        <f t="shared" si="9"/>
        <v>14880</v>
      </c>
      <c r="F72" s="1690">
        <f t="shared" si="9"/>
        <v>0</v>
      </c>
      <c r="G72" s="1690">
        <f t="shared" si="9"/>
        <v>0</v>
      </c>
      <c r="H72" s="1690">
        <f t="shared" si="9"/>
        <v>0</v>
      </c>
      <c r="I72" s="1690">
        <f t="shared" si="9"/>
        <v>0</v>
      </c>
      <c r="J72" s="1690">
        <f t="shared" si="9"/>
        <v>0</v>
      </c>
      <c r="K72" s="1690">
        <f t="shared" si="9"/>
        <v>14880</v>
      </c>
      <c r="L72" s="1690">
        <f>SUM(L67:L71)</f>
        <v>14880</v>
      </c>
      <c r="M72" s="610"/>
      <c r="N72" s="610"/>
    </row>
    <row r="73" spans="1:14" s="343" customFormat="1" ht="14.25" thickTop="1" thickBot="1" x14ac:dyDescent="0.25">
      <c r="A73" s="1530"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303832</v>
      </c>
      <c r="D74" s="1697">
        <f t="shared" ref="D74:K74" si="10">SUM(D42,D47,D53,D57,D65,D72,D73)</f>
        <v>50549</v>
      </c>
      <c r="E74" s="1697">
        <f t="shared" si="10"/>
        <v>42066</v>
      </c>
      <c r="F74" s="1697">
        <f t="shared" si="10"/>
        <v>806</v>
      </c>
      <c r="G74" s="1697">
        <f t="shared" si="10"/>
        <v>0</v>
      </c>
      <c r="H74" s="1697">
        <f t="shared" si="10"/>
        <v>1125</v>
      </c>
      <c r="I74" s="1697">
        <f t="shared" si="10"/>
        <v>0</v>
      </c>
      <c r="J74" s="1697">
        <f t="shared" si="10"/>
        <v>0</v>
      </c>
      <c r="K74" s="1697">
        <f t="shared" si="10"/>
        <v>398378</v>
      </c>
      <c r="L74" s="1697">
        <f>SUM(L42,L47,L53,L57,L65,L72,L73)</f>
        <v>459873</v>
      </c>
    </row>
    <row r="75" spans="1:14" s="259" customFormat="1" ht="15.75" customHeight="1" thickTop="1" thickBot="1" x14ac:dyDescent="0.25">
      <c r="A75" s="1630" t="s">
        <v>49</v>
      </c>
      <c r="B75" s="1631" t="s">
        <v>596</v>
      </c>
      <c r="C75" s="573"/>
      <c r="D75" s="573"/>
      <c r="E75" s="573"/>
      <c r="F75" s="573"/>
      <c r="G75" s="573"/>
      <c r="H75" s="573"/>
      <c r="I75" s="531"/>
      <c r="J75" s="531"/>
      <c r="K75" s="1690">
        <f>SUM(C75:J75)</f>
        <v>0</v>
      </c>
      <c r="L75" s="576"/>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1">
        <f t="shared" ref="K78:K83" si="11">SUM(C78:J78)</f>
        <v>0</v>
      </c>
      <c r="L78" s="481"/>
    </row>
    <row r="79" spans="1:14" x14ac:dyDescent="0.2">
      <c r="A79" s="1524" t="s">
        <v>322</v>
      </c>
      <c r="B79" s="615">
        <v>4120</v>
      </c>
      <c r="C79" s="617"/>
      <c r="D79" s="617"/>
      <c r="E79" s="466"/>
      <c r="F79" s="617"/>
      <c r="G79" s="617"/>
      <c r="H79" s="466">
        <v>1587227</v>
      </c>
      <c r="I79" s="477"/>
      <c r="J79" s="477"/>
      <c r="K79" s="1691">
        <f t="shared" si="11"/>
        <v>1587227</v>
      </c>
      <c r="L79" s="466">
        <v>1500000</v>
      </c>
    </row>
    <row r="80" spans="1:14" x14ac:dyDescent="0.2">
      <c r="A80" s="1524" t="s">
        <v>323</v>
      </c>
      <c r="B80" s="615">
        <v>4130</v>
      </c>
      <c r="C80" s="617"/>
      <c r="D80" s="617"/>
      <c r="E80" s="466"/>
      <c r="F80" s="617"/>
      <c r="G80" s="617"/>
      <c r="H80" s="466"/>
      <c r="I80" s="477"/>
      <c r="J80" s="477"/>
      <c r="K80" s="1691">
        <f t="shared" si="11"/>
        <v>0</v>
      </c>
      <c r="L80" s="466"/>
    </row>
    <row r="81" spans="1:12" x14ac:dyDescent="0.2">
      <c r="A81" s="1524" t="s">
        <v>721</v>
      </c>
      <c r="B81" s="615">
        <v>4140</v>
      </c>
      <c r="C81" s="617"/>
      <c r="D81" s="617"/>
      <c r="E81" s="466"/>
      <c r="F81" s="617"/>
      <c r="G81" s="617"/>
      <c r="H81" s="466"/>
      <c r="I81" s="477"/>
      <c r="J81" s="477"/>
      <c r="K81" s="1691">
        <f t="shared" si="11"/>
        <v>0</v>
      </c>
      <c r="L81" s="466"/>
    </row>
    <row r="82" spans="1:12" x14ac:dyDescent="0.2">
      <c r="A82" s="1524" t="s">
        <v>88</v>
      </c>
      <c r="B82" s="615">
        <v>4170</v>
      </c>
      <c r="C82" s="617"/>
      <c r="D82" s="617"/>
      <c r="E82" s="466"/>
      <c r="F82" s="617"/>
      <c r="G82" s="617"/>
      <c r="H82" s="466"/>
      <c r="I82" s="477"/>
      <c r="J82" s="477"/>
      <c r="K82" s="1691">
        <f t="shared" si="11"/>
        <v>0</v>
      </c>
      <c r="L82" s="466"/>
    </row>
    <row r="83" spans="1:12" x14ac:dyDescent="0.2">
      <c r="A83" s="1528"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0</v>
      </c>
      <c r="F84" s="617"/>
      <c r="G84" s="617"/>
      <c r="H84" s="1690">
        <f>SUM(H78:H83)</f>
        <v>1587227</v>
      </c>
      <c r="I84" s="477"/>
      <c r="J84" s="477"/>
      <c r="K84" s="1690">
        <f>SUM(K78:K83)</f>
        <v>1587227</v>
      </c>
      <c r="L84" s="1690">
        <f>SUM(L78:L83)</f>
        <v>1500000</v>
      </c>
    </row>
    <row r="85" spans="1:12" ht="12.75" customHeight="1" thickTop="1" thickBot="1" x14ac:dyDescent="0.25">
      <c r="A85" s="1531" t="s">
        <v>273</v>
      </c>
      <c r="B85" s="636">
        <v>4210</v>
      </c>
      <c r="C85" s="617"/>
      <c r="D85" s="617"/>
      <c r="E85" s="637"/>
      <c r="F85" s="617"/>
      <c r="G85" s="617"/>
      <c r="H85" s="535"/>
      <c r="I85" s="477"/>
      <c r="J85" s="477"/>
      <c r="K85" s="1697">
        <f>H85</f>
        <v>0</v>
      </c>
      <c r="L85" s="530"/>
    </row>
    <row r="86" spans="1:12" ht="12.75" customHeight="1" thickTop="1" thickBot="1" x14ac:dyDescent="0.25">
      <c r="A86" s="1532" t="s">
        <v>723</v>
      </c>
      <c r="B86" s="638">
        <v>4220</v>
      </c>
      <c r="C86" s="617"/>
      <c r="D86" s="617"/>
      <c r="E86" s="639"/>
      <c r="F86" s="617"/>
      <c r="G86" s="617"/>
      <c r="H86" s="467"/>
      <c r="I86" s="477"/>
      <c r="J86" s="477"/>
      <c r="K86" s="1697">
        <f t="shared" ref="K86:K98" si="12">H86</f>
        <v>0</v>
      </c>
      <c r="L86" s="530"/>
    </row>
    <row r="87" spans="1:12" ht="14.25" thickTop="1" thickBot="1" x14ac:dyDescent="0.25">
      <c r="A87" s="1533" t="s">
        <v>724</v>
      </c>
      <c r="B87" s="640">
        <v>4230</v>
      </c>
      <c r="C87" s="617"/>
      <c r="D87" s="617"/>
      <c r="E87" s="639"/>
      <c r="F87" s="617"/>
      <c r="G87" s="617"/>
      <c r="H87" s="467"/>
      <c r="I87" s="477"/>
      <c r="J87" s="477"/>
      <c r="K87" s="1697">
        <f t="shared" si="12"/>
        <v>0</v>
      </c>
      <c r="L87" s="530"/>
    </row>
    <row r="88" spans="1:12" ht="12.75" customHeight="1" thickTop="1" thickBot="1" x14ac:dyDescent="0.25">
      <c r="A88" s="1533" t="s">
        <v>789</v>
      </c>
      <c r="B88" s="640">
        <v>4240</v>
      </c>
      <c r="C88" s="617"/>
      <c r="D88" s="617"/>
      <c r="E88" s="639"/>
      <c r="F88" s="617"/>
      <c r="G88" s="617"/>
      <c r="H88" s="467"/>
      <c r="I88" s="477"/>
      <c r="J88" s="477"/>
      <c r="K88" s="1697">
        <f t="shared" si="12"/>
        <v>0</v>
      </c>
      <c r="L88" s="530"/>
    </row>
    <row r="89" spans="1:12" ht="12.75" customHeight="1" thickTop="1" thickBot="1" x14ac:dyDescent="0.25">
      <c r="A89" s="1533" t="s">
        <v>725</v>
      </c>
      <c r="B89" s="640">
        <v>4270</v>
      </c>
      <c r="C89" s="617"/>
      <c r="D89" s="617"/>
      <c r="E89" s="639"/>
      <c r="F89" s="617"/>
      <c r="G89" s="617"/>
      <c r="H89" s="467"/>
      <c r="I89" s="477"/>
      <c r="J89" s="477"/>
      <c r="K89" s="1697">
        <f t="shared" si="12"/>
        <v>0</v>
      </c>
      <c r="L89" s="530"/>
    </row>
    <row r="90" spans="1:12" ht="12.75" customHeight="1" thickTop="1" thickBot="1" x14ac:dyDescent="0.25">
      <c r="A90" s="1533" t="s">
        <v>710</v>
      </c>
      <c r="B90" s="640">
        <v>4280</v>
      </c>
      <c r="C90" s="617"/>
      <c r="D90" s="617"/>
      <c r="E90" s="639"/>
      <c r="F90" s="617"/>
      <c r="G90" s="617"/>
      <c r="H90" s="467"/>
      <c r="I90" s="477"/>
      <c r="J90" s="477"/>
      <c r="K90" s="1697">
        <f t="shared" si="12"/>
        <v>0</v>
      </c>
      <c r="L90" s="530"/>
    </row>
    <row r="91" spans="1:12" ht="12.75" customHeight="1" thickTop="1" thickBot="1" x14ac:dyDescent="0.25">
      <c r="A91" s="1533"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712</v>
      </c>
      <c r="B93" s="641">
        <v>4310</v>
      </c>
      <c r="C93" s="617"/>
      <c r="D93" s="617"/>
      <c r="E93" s="639"/>
      <c r="F93" s="617"/>
      <c r="G93" s="617"/>
      <c r="H93" s="642"/>
      <c r="I93" s="477"/>
      <c r="J93" s="477"/>
      <c r="K93" s="1697">
        <f t="shared" si="12"/>
        <v>0</v>
      </c>
      <c r="L93" s="532"/>
    </row>
    <row r="94" spans="1:12" ht="12.75" customHeight="1" thickTop="1" thickBot="1" x14ac:dyDescent="0.25">
      <c r="A94" s="1533" t="s">
        <v>713</v>
      </c>
      <c r="B94" s="640">
        <v>4320</v>
      </c>
      <c r="C94" s="617"/>
      <c r="D94" s="617"/>
      <c r="E94" s="639"/>
      <c r="F94" s="617"/>
      <c r="G94" s="617"/>
      <c r="H94" s="467"/>
      <c r="I94" s="477"/>
      <c r="J94" s="477"/>
      <c r="K94" s="1697">
        <f t="shared" si="12"/>
        <v>0</v>
      </c>
      <c r="L94" s="530"/>
    </row>
    <row r="95" spans="1:12" ht="15" customHeight="1" thickTop="1" thickBot="1" x14ac:dyDescent="0.25">
      <c r="A95" s="1533" t="s">
        <v>1568</v>
      </c>
      <c r="B95" s="640">
        <v>4330</v>
      </c>
      <c r="C95" s="617"/>
      <c r="D95" s="617"/>
      <c r="E95" s="639"/>
      <c r="F95" s="617"/>
      <c r="G95" s="617"/>
      <c r="H95" s="467"/>
      <c r="I95" s="477"/>
      <c r="J95" s="477"/>
      <c r="K95" s="1697">
        <f t="shared" si="12"/>
        <v>0</v>
      </c>
      <c r="L95" s="530"/>
    </row>
    <row r="96" spans="1:12" ht="14.25" thickTop="1" thickBot="1" x14ac:dyDescent="0.25">
      <c r="A96" s="1533" t="s">
        <v>714</v>
      </c>
      <c r="B96" s="640">
        <v>4340</v>
      </c>
      <c r="C96" s="617"/>
      <c r="D96" s="617"/>
      <c r="E96" s="639"/>
      <c r="F96" s="617"/>
      <c r="G96" s="617"/>
      <c r="H96" s="467"/>
      <c r="I96" s="477"/>
      <c r="J96" s="477"/>
      <c r="K96" s="1697">
        <f t="shared" si="12"/>
        <v>0</v>
      </c>
      <c r="L96" s="530"/>
    </row>
    <row r="97" spans="1:14" ht="12.75" customHeight="1" thickTop="1" thickBot="1" x14ac:dyDescent="0.25">
      <c r="A97" s="1533" t="s">
        <v>787</v>
      </c>
      <c r="B97" s="640">
        <v>4370</v>
      </c>
      <c r="C97" s="617"/>
      <c r="D97" s="617"/>
      <c r="E97" s="639"/>
      <c r="F97" s="617"/>
      <c r="G97" s="617"/>
      <c r="H97" s="467"/>
      <c r="I97" s="477"/>
      <c r="J97" s="477"/>
      <c r="K97" s="1697">
        <f t="shared" si="12"/>
        <v>0</v>
      </c>
      <c r="L97" s="530"/>
    </row>
    <row r="98" spans="1:14" ht="14.25" thickTop="1" thickBot="1" x14ac:dyDescent="0.25">
      <c r="A98" s="1533" t="s">
        <v>788</v>
      </c>
      <c r="B98" s="640">
        <v>4380</v>
      </c>
      <c r="C98" s="617"/>
      <c r="D98" s="617"/>
      <c r="E98" s="643"/>
      <c r="F98" s="617"/>
      <c r="G98" s="617"/>
      <c r="H98" s="467"/>
      <c r="I98" s="477"/>
      <c r="J98" s="477"/>
      <c r="K98" s="1697">
        <f t="shared" si="12"/>
        <v>0</v>
      </c>
      <c r="L98" s="530"/>
    </row>
    <row r="99" spans="1:14" ht="14.25" thickTop="1" thickBot="1" x14ac:dyDescent="0.25">
      <c r="A99" s="1533"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0</v>
      </c>
      <c r="F102" s="617"/>
      <c r="G102" s="617"/>
      <c r="H102" s="1697">
        <f>SUM(H84,H92,H100,H101)</f>
        <v>1587227</v>
      </c>
      <c r="I102" s="477"/>
      <c r="J102" s="477"/>
      <c r="K102" s="1697">
        <f>SUM(K84,K92,K100,K101)</f>
        <v>1587227</v>
      </c>
      <c r="L102" s="1697">
        <f>SUM(L84,L92,L100,L101)</f>
        <v>1500000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c r="M105" s="210"/>
      <c r="N105" s="210"/>
    </row>
    <row r="106" spans="1:14" s="598" customFormat="1" x14ac:dyDescent="0.2">
      <c r="A106" s="1524"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c r="M107" s="210"/>
      <c r="N107" s="210"/>
    </row>
    <row r="108" spans="1:14" s="598" customFormat="1" x14ac:dyDescent="0.2">
      <c r="A108" s="1524" t="s">
        <v>91</v>
      </c>
      <c r="B108" s="615" t="s">
        <v>610</v>
      </c>
      <c r="C108" s="617"/>
      <c r="D108" s="617"/>
      <c r="E108" s="617"/>
      <c r="F108" s="617"/>
      <c r="G108" s="617"/>
      <c r="H108" s="466"/>
      <c r="I108" s="468"/>
      <c r="J108" s="468"/>
      <c r="K108" s="1691">
        <f>H108</f>
        <v>0</v>
      </c>
      <c r="L108" s="466"/>
      <c r="M108" s="210"/>
      <c r="N108" s="210"/>
    </row>
    <row r="109" spans="1:14" s="598" customFormat="1" x14ac:dyDescent="0.2">
      <c r="A109" s="1524"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320958</v>
      </c>
      <c r="D114" s="1690">
        <f t="shared" ref="D114:K114" si="13">SUM(D33,D74,D75,D102,D112,D113)</f>
        <v>50760</v>
      </c>
      <c r="E114" s="1690">
        <f t="shared" si="13"/>
        <v>45810</v>
      </c>
      <c r="F114" s="1690">
        <f t="shared" si="13"/>
        <v>806</v>
      </c>
      <c r="G114" s="1690">
        <f t="shared" si="13"/>
        <v>0</v>
      </c>
      <c r="H114" s="1690">
        <f>SUM(H33,H74,H75,H102,H112,H113)</f>
        <v>1588352</v>
      </c>
      <c r="I114" s="1690">
        <f t="shared" si="13"/>
        <v>0</v>
      </c>
      <c r="J114" s="1690">
        <f t="shared" si="13"/>
        <v>0</v>
      </c>
      <c r="K114" s="1690">
        <f t="shared" si="13"/>
        <v>2006686</v>
      </c>
      <c r="L114" s="1690">
        <f>SUM(L33,L74,L75,L102,L112,L113)</f>
        <v>1982373</v>
      </c>
    </row>
    <row r="115" spans="1:14" ht="13.5" thickTop="1" x14ac:dyDescent="0.2">
      <c r="A115" s="2196" t="s">
        <v>1053</v>
      </c>
      <c r="B115" s="2197"/>
      <c r="C115" s="619"/>
      <c r="D115" s="619"/>
      <c r="E115" s="619"/>
      <c r="F115" s="619"/>
      <c r="G115" s="619"/>
      <c r="H115" s="619"/>
      <c r="I115" s="619"/>
      <c r="J115" s="619"/>
      <c r="K115" s="1704">
        <f>'Revenues 9-14'!C275-'Expenditures 15-22'!K114</f>
        <v>85028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1" t="s">
        <v>314</v>
      </c>
      <c r="B117" s="2202"/>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90">
        <f>SUM(C122:J122)</f>
        <v>0</v>
      </c>
      <c r="L122" s="466"/>
    </row>
    <row r="123" spans="1:14" ht="14.25" thickTop="1" thickBot="1" x14ac:dyDescent="0.25">
      <c r="A123" s="1524" t="s">
        <v>4</v>
      </c>
      <c r="B123" s="615">
        <v>2530</v>
      </c>
      <c r="C123" s="466"/>
      <c r="D123" s="466"/>
      <c r="E123" s="466"/>
      <c r="F123" s="466"/>
      <c r="G123" s="466"/>
      <c r="H123" s="466"/>
      <c r="I123" s="467"/>
      <c r="J123" s="467"/>
      <c r="K123" s="1690">
        <f>SUM(C123:J123)</f>
        <v>0</v>
      </c>
      <c r="L123" s="466"/>
    </row>
    <row r="124" spans="1:14" ht="14.25" thickTop="1" thickBot="1" x14ac:dyDescent="0.25">
      <c r="A124" s="1524" t="s">
        <v>206</v>
      </c>
      <c r="B124" s="615">
        <v>2540</v>
      </c>
      <c r="C124" s="466"/>
      <c r="D124" s="466"/>
      <c r="E124" s="466"/>
      <c r="F124" s="466"/>
      <c r="G124" s="466"/>
      <c r="H124" s="466"/>
      <c r="I124" s="467"/>
      <c r="J124" s="467"/>
      <c r="K124" s="1690">
        <f>SUM(C124:J124)</f>
        <v>0</v>
      </c>
      <c r="L124" s="466"/>
    </row>
    <row r="125" spans="1:14" ht="14.25" thickTop="1" thickBot="1" x14ac:dyDescent="0.25">
      <c r="A125" s="1524" t="s">
        <v>1010</v>
      </c>
      <c r="B125" s="615">
        <v>2550</v>
      </c>
      <c r="C125" s="466"/>
      <c r="D125" s="466"/>
      <c r="E125" s="466"/>
      <c r="F125" s="466"/>
      <c r="G125" s="466"/>
      <c r="H125" s="466"/>
      <c r="I125" s="467"/>
      <c r="J125" s="467"/>
      <c r="K125" s="1690">
        <f>SUM(C125:J125)</f>
        <v>0</v>
      </c>
      <c r="L125" s="466"/>
    </row>
    <row r="126" spans="1:14" ht="14.25" thickTop="1" thickBot="1" x14ac:dyDescent="0.25">
      <c r="A126" s="1524"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1953</v>
      </c>
      <c r="C133" s="468"/>
      <c r="D133" s="468"/>
      <c r="E133" s="642"/>
      <c r="F133" s="468"/>
      <c r="G133" s="468"/>
      <c r="H133" s="642"/>
      <c r="I133" s="468"/>
      <c r="J133" s="468"/>
      <c r="K133" s="1842">
        <f>SUM(E133,H133)</f>
        <v>0</v>
      </c>
      <c r="L133" s="642"/>
      <c r="M133" s="206"/>
      <c r="N133" s="206"/>
    </row>
    <row r="134" spans="1:14" x14ac:dyDescent="0.2">
      <c r="A134" s="1524" t="s">
        <v>322</v>
      </c>
      <c r="B134" s="615">
        <v>4120</v>
      </c>
      <c r="C134" s="617"/>
      <c r="D134" s="617"/>
      <c r="E134" s="478"/>
      <c r="F134" s="617"/>
      <c r="G134" s="617"/>
      <c r="H134" s="481"/>
      <c r="I134" s="477"/>
      <c r="J134" s="617"/>
      <c r="K134" s="1692">
        <f>SUM(E134,H134)</f>
        <v>0</v>
      </c>
      <c r="L134" s="481"/>
    </row>
    <row r="135" spans="1:14" x14ac:dyDescent="0.2">
      <c r="A135" s="1524" t="s">
        <v>721</v>
      </c>
      <c r="B135" s="615">
        <v>4140</v>
      </c>
      <c r="C135" s="617"/>
      <c r="D135" s="617"/>
      <c r="E135" s="467"/>
      <c r="F135" s="617"/>
      <c r="G135" s="617"/>
      <c r="H135" s="466"/>
      <c r="I135" s="477"/>
      <c r="J135" s="617"/>
      <c r="K135" s="1692">
        <f>SUM(E135,H135)</f>
        <v>0</v>
      </c>
      <c r="L135" s="466"/>
    </row>
    <row r="136" spans="1:14" x14ac:dyDescent="0.2">
      <c r="A136" s="1528"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row>
    <row r="143" spans="1:14" x14ac:dyDescent="0.2">
      <c r="A143" s="1524" t="s">
        <v>90</v>
      </c>
      <c r="B143" s="615">
        <v>5120</v>
      </c>
      <c r="C143" s="617"/>
      <c r="D143" s="617"/>
      <c r="E143" s="617"/>
      <c r="F143" s="617"/>
      <c r="G143" s="617"/>
      <c r="H143" s="466"/>
      <c r="I143" s="468"/>
      <c r="J143" s="617"/>
      <c r="K143" s="1692">
        <f>SUM(H143)</f>
        <v>0</v>
      </c>
      <c r="L143" s="466"/>
    </row>
    <row r="144" spans="1:14" ht="12.75" customHeight="1" x14ac:dyDescent="0.2">
      <c r="A144" s="1524" t="s">
        <v>1232</v>
      </c>
      <c r="B144" s="629" t="s">
        <v>638</v>
      </c>
      <c r="C144" s="617"/>
      <c r="D144" s="617"/>
      <c r="E144" s="617"/>
      <c r="F144" s="617"/>
      <c r="G144" s="617"/>
      <c r="H144" s="466"/>
      <c r="I144" s="468"/>
      <c r="J144" s="617"/>
      <c r="K144" s="1692">
        <f>SUM(H144)</f>
        <v>0</v>
      </c>
      <c r="L144" s="466"/>
    </row>
    <row r="145" spans="1:14" x14ac:dyDescent="0.2">
      <c r="A145" s="1524" t="s">
        <v>91</v>
      </c>
      <c r="B145" s="615" t="s">
        <v>610</v>
      </c>
      <c r="C145" s="617"/>
      <c r="D145" s="617"/>
      <c r="E145" s="617"/>
      <c r="F145" s="617"/>
      <c r="G145" s="617"/>
      <c r="H145" s="466"/>
      <c r="I145" s="468"/>
      <c r="J145" s="617"/>
      <c r="K145" s="1692">
        <f>SUM(H145)</f>
        <v>0</v>
      </c>
      <c r="L145" s="466"/>
    </row>
    <row r="146" spans="1:14" ht="12.75" customHeight="1" x14ac:dyDescent="0.2">
      <c r="A146" s="1524" t="s">
        <v>640</v>
      </c>
      <c r="B146" s="615" t="s">
        <v>639</v>
      </c>
      <c r="C146" s="617"/>
      <c r="D146" s="617"/>
      <c r="E146" s="617"/>
      <c r="F146" s="617"/>
      <c r="G146" s="617"/>
      <c r="H146" s="466"/>
      <c r="I146" s="468"/>
      <c r="J146" s="617"/>
      <c r="K146" s="1692">
        <f>SUM(H146)</f>
        <v>0</v>
      </c>
      <c r="L146" s="466"/>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row>
    <row r="151" spans="1:14" ht="12.75" customHeight="1" thickTop="1" thickBot="1" x14ac:dyDescent="0.25">
      <c r="A151" s="2213" t="s">
        <v>641</v>
      </c>
      <c r="B151" s="2193"/>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216" t="s">
        <v>1240</v>
      </c>
      <c r="B152" s="2217"/>
      <c r="C152" s="619"/>
      <c r="D152" s="619"/>
      <c r="E152" s="619"/>
      <c r="F152" s="619"/>
      <c r="G152" s="619"/>
      <c r="H152" s="619"/>
      <c r="I152" s="619"/>
      <c r="J152" s="617"/>
      <c r="K152" s="1704">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1" t="s">
        <v>642</v>
      </c>
      <c r="B154" s="2203"/>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1954</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1953</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1955</v>
      </c>
      <c r="C158" s="617"/>
      <c r="D158" s="617"/>
      <c r="E158" s="617"/>
      <c r="F158" s="617"/>
      <c r="G158" s="617"/>
      <c r="H158" s="467"/>
      <c r="I158" s="617"/>
      <c r="J158" s="617"/>
      <c r="K158" s="1691">
        <f>H158</f>
        <v>0</v>
      </c>
      <c r="L158" s="467"/>
      <c r="M158" s="620"/>
      <c r="N158" s="620"/>
    </row>
    <row r="159" spans="1:14" s="621" customFormat="1" ht="12" x14ac:dyDescent="0.2">
      <c r="A159" s="1847" t="s">
        <v>1956</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1957</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row>
    <row r="164" spans="1:14" x14ac:dyDescent="0.2">
      <c r="A164" s="1524" t="s">
        <v>90</v>
      </c>
      <c r="B164" s="615">
        <v>5120</v>
      </c>
      <c r="C164" s="617"/>
      <c r="D164" s="617"/>
      <c r="E164" s="617"/>
      <c r="F164" s="617"/>
      <c r="G164" s="617"/>
      <c r="H164" s="466"/>
      <c r="I164" s="617"/>
      <c r="J164" s="617"/>
      <c r="K164" s="1691">
        <f>SUM(C164:J164)</f>
        <v>0</v>
      </c>
      <c r="L164" s="466"/>
    </row>
    <row r="165" spans="1:14" ht="12.75" customHeight="1" x14ac:dyDescent="0.2">
      <c r="A165" s="1524" t="s">
        <v>1232</v>
      </c>
      <c r="B165" s="615" t="s">
        <v>638</v>
      </c>
      <c r="C165" s="617"/>
      <c r="D165" s="617"/>
      <c r="E165" s="617"/>
      <c r="F165" s="617"/>
      <c r="G165" s="617"/>
      <c r="H165" s="466"/>
      <c r="I165" s="617"/>
      <c r="J165" s="617"/>
      <c r="K165" s="1691">
        <f>SUM(C165:J165)</f>
        <v>0</v>
      </c>
      <c r="L165" s="466"/>
    </row>
    <row r="166" spans="1:14" x14ac:dyDescent="0.2">
      <c r="A166" s="1524" t="s">
        <v>91</v>
      </c>
      <c r="B166" s="629" t="s">
        <v>610</v>
      </c>
      <c r="C166" s="617"/>
      <c r="D166" s="617"/>
      <c r="E166" s="617"/>
      <c r="F166" s="617"/>
      <c r="G166" s="617"/>
      <c r="H166" s="466"/>
      <c r="I166" s="617"/>
      <c r="J166" s="617"/>
      <c r="K166" s="1691">
        <f>SUM(C166:J166)</f>
        <v>0</v>
      </c>
      <c r="L166" s="466"/>
    </row>
    <row r="167" spans="1:14" ht="12.75" customHeight="1" x14ac:dyDescent="0.2">
      <c r="A167" s="1524"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c r="I169" s="617"/>
      <c r="J169" s="617"/>
      <c r="K169" s="1691">
        <f>SUM(C169:H169)</f>
        <v>0</v>
      </c>
      <c r="L169" s="657"/>
    </row>
    <row r="170" spans="1:14" ht="33.75" customHeight="1" x14ac:dyDescent="0.2">
      <c r="A170" s="670" t="s">
        <v>1769</v>
      </c>
      <c r="B170" s="672" t="s">
        <v>31</v>
      </c>
      <c r="C170" s="617"/>
      <c r="D170" s="617"/>
      <c r="E170" s="617"/>
      <c r="F170" s="617"/>
      <c r="G170" s="617"/>
      <c r="H170" s="569"/>
      <c r="I170" s="617"/>
      <c r="J170" s="617"/>
      <c r="K170" s="1691">
        <f>SUM(C170:J170)</f>
        <v>0</v>
      </c>
      <c r="L170" s="569"/>
    </row>
    <row r="171" spans="1:14" ht="15.75" customHeight="1" x14ac:dyDescent="0.2">
      <c r="A171" s="622" t="s">
        <v>790</v>
      </c>
      <c r="B171" s="673" t="s">
        <v>86</v>
      </c>
      <c r="C171" s="617"/>
      <c r="D171" s="617"/>
      <c r="E171" s="466"/>
      <c r="F171" s="617"/>
      <c r="G171" s="617"/>
      <c r="H171" s="569"/>
      <c r="I171" s="477"/>
      <c r="J171" s="617"/>
      <c r="K171" s="1691">
        <f>SUM(C171:J171)</f>
        <v>0</v>
      </c>
      <c r="L171" s="569"/>
    </row>
    <row r="172" spans="1:14" ht="12.75" customHeight="1" thickBot="1" x14ac:dyDescent="0.25">
      <c r="A172" s="1688" t="s">
        <v>659</v>
      </c>
      <c r="B172" s="1689" t="s">
        <v>513</v>
      </c>
      <c r="C172" s="617"/>
      <c r="D172" s="617"/>
      <c r="E172" s="1697">
        <f>SUM(E168,E169,E170,E171)</f>
        <v>0</v>
      </c>
      <c r="F172" s="617"/>
      <c r="G172" s="617"/>
      <c r="H172" s="1697">
        <f>SUM(H168,H169,H170,H171)</f>
        <v>0</v>
      </c>
      <c r="I172" s="639"/>
      <c r="J172" s="617"/>
      <c r="K172" s="1697">
        <f>SUM(K168,K169,K170,K171)</f>
        <v>0</v>
      </c>
      <c r="L172" s="1697">
        <f>SUM(L168,L169,L170,L171)</f>
        <v>0</v>
      </c>
    </row>
    <row r="173" spans="1:14" ht="15.75" customHeight="1" thickTop="1" thickBot="1" x14ac:dyDescent="0.25">
      <c r="A173" s="1639" t="s">
        <v>87</v>
      </c>
      <c r="B173" s="1631"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0</v>
      </c>
      <c r="I174" s="639"/>
      <c r="J174" s="617"/>
      <c r="K174" s="1697">
        <f>SUM(K160,K172,K173)</f>
        <v>0</v>
      </c>
      <c r="L174" s="1697">
        <f>SUM(L160,L172,L173)</f>
        <v>0</v>
      </c>
    </row>
    <row r="175" spans="1:14" ht="13.5" thickTop="1" x14ac:dyDescent="0.2">
      <c r="A175" s="2196" t="s">
        <v>1053</v>
      </c>
      <c r="B175" s="2197"/>
      <c r="C175" s="617"/>
      <c r="D175" s="617"/>
      <c r="E175" s="617"/>
      <c r="F175" s="617"/>
      <c r="G175" s="617"/>
      <c r="H175" s="619"/>
      <c r="I175" s="617"/>
      <c r="J175" s="617"/>
      <c r="K175" s="1704">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c r="D182" s="466"/>
      <c r="E182" s="466"/>
      <c r="F182" s="466"/>
      <c r="G182" s="466"/>
      <c r="H182" s="466"/>
      <c r="I182" s="467"/>
      <c r="J182" s="467"/>
      <c r="K182" s="1691">
        <f>SUM(C182:J182)</f>
        <v>0</v>
      </c>
      <c r="L182" s="466"/>
    </row>
    <row r="183" spans="1:14" ht="12.75" customHeight="1" thickBot="1" x14ac:dyDescent="0.25">
      <c r="A183" s="1529"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row>
    <row r="189" spans="1:14" x14ac:dyDescent="0.2">
      <c r="A189" s="1524" t="s">
        <v>322</v>
      </c>
      <c r="B189" s="615">
        <v>4120</v>
      </c>
      <c r="C189" s="617"/>
      <c r="D189" s="617"/>
      <c r="E189" s="466"/>
      <c r="F189" s="617"/>
      <c r="G189" s="617"/>
      <c r="H189" s="466"/>
      <c r="I189" s="477"/>
      <c r="J189" s="617"/>
      <c r="K189" s="1691">
        <f t="shared" si="18"/>
        <v>0</v>
      </c>
      <c r="L189" s="466"/>
    </row>
    <row r="190" spans="1:14" x14ac:dyDescent="0.2">
      <c r="A190" s="1524" t="s">
        <v>323</v>
      </c>
      <c r="B190" s="629">
        <v>4130</v>
      </c>
      <c r="C190" s="617"/>
      <c r="D190" s="617"/>
      <c r="E190" s="466"/>
      <c r="F190" s="617"/>
      <c r="G190" s="617"/>
      <c r="H190" s="466"/>
      <c r="I190" s="477"/>
      <c r="J190" s="617"/>
      <c r="K190" s="1691">
        <f t="shared" si="18"/>
        <v>0</v>
      </c>
      <c r="L190" s="466"/>
    </row>
    <row r="191" spans="1:14" x14ac:dyDescent="0.2">
      <c r="A191" s="1524" t="s">
        <v>721</v>
      </c>
      <c r="B191" s="615">
        <v>4140</v>
      </c>
      <c r="C191" s="617"/>
      <c r="D191" s="617"/>
      <c r="E191" s="466"/>
      <c r="F191" s="617"/>
      <c r="G191" s="617"/>
      <c r="H191" s="466"/>
      <c r="I191" s="477"/>
      <c r="J191" s="617"/>
      <c r="K191" s="1691">
        <f t="shared" si="18"/>
        <v>0</v>
      </c>
      <c r="L191" s="466"/>
    </row>
    <row r="192" spans="1:14" x14ac:dyDescent="0.2">
      <c r="A192" s="1524" t="s">
        <v>88</v>
      </c>
      <c r="B192" s="615">
        <v>4170</v>
      </c>
      <c r="C192" s="617"/>
      <c r="D192" s="617"/>
      <c r="E192" s="466"/>
      <c r="F192" s="617"/>
      <c r="G192" s="617"/>
      <c r="H192" s="466"/>
      <c r="I192" s="477"/>
      <c r="J192" s="617"/>
      <c r="K192" s="1691">
        <f t="shared" si="18"/>
        <v>0</v>
      </c>
      <c r="L192" s="466"/>
    </row>
    <row r="193" spans="1:14" x14ac:dyDescent="0.2">
      <c r="A193" s="1528"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row>
    <row r="200" spans="1:14" x14ac:dyDescent="0.2">
      <c r="A200" s="1524" t="s">
        <v>90</v>
      </c>
      <c r="B200" s="615">
        <v>5120</v>
      </c>
      <c r="C200" s="617"/>
      <c r="D200" s="617"/>
      <c r="E200" s="617"/>
      <c r="F200" s="617"/>
      <c r="G200" s="617"/>
      <c r="H200" s="466"/>
      <c r="I200" s="617"/>
      <c r="J200" s="617"/>
      <c r="K200" s="1691">
        <f>SUM(H200)</f>
        <v>0</v>
      </c>
      <c r="L200" s="466"/>
    </row>
    <row r="201" spans="1:14" ht="12.75" customHeight="1" x14ac:dyDescent="0.2">
      <c r="A201" s="1524" t="s">
        <v>1232</v>
      </c>
      <c r="B201" s="629" t="s">
        <v>638</v>
      </c>
      <c r="C201" s="617"/>
      <c r="D201" s="617"/>
      <c r="E201" s="617"/>
      <c r="F201" s="617"/>
      <c r="G201" s="617"/>
      <c r="H201" s="466"/>
      <c r="I201" s="617"/>
      <c r="J201" s="617"/>
      <c r="K201" s="1691">
        <f>SUM(H201)</f>
        <v>0</v>
      </c>
      <c r="L201" s="466"/>
    </row>
    <row r="202" spans="1:14" x14ac:dyDescent="0.2">
      <c r="A202" s="1524" t="s">
        <v>91</v>
      </c>
      <c r="B202" s="615" t="s">
        <v>610</v>
      </c>
      <c r="C202" s="617"/>
      <c r="D202" s="617"/>
      <c r="E202" s="617"/>
      <c r="F202" s="617"/>
      <c r="G202" s="617"/>
      <c r="H202" s="466"/>
      <c r="I202" s="617"/>
      <c r="J202" s="617"/>
      <c r="K202" s="1691">
        <f>SUM(H202)</f>
        <v>0</v>
      </c>
      <c r="L202" s="466"/>
    </row>
    <row r="203" spans="1:14" x14ac:dyDescent="0.2">
      <c r="A203" s="1536"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196" t="s">
        <v>1053</v>
      </c>
      <c r="B211" s="2197"/>
      <c r="C211" s="619"/>
      <c r="D211" s="619"/>
      <c r="E211" s="619"/>
      <c r="F211" s="619"/>
      <c r="G211" s="619"/>
      <c r="H211" s="619"/>
      <c r="I211" s="617"/>
      <c r="J211" s="617"/>
      <c r="K211" s="1704">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8" t="s">
        <v>1022</v>
      </c>
      <c r="B213" s="2219"/>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c r="E215" s="617"/>
      <c r="F215" s="617"/>
      <c r="G215" s="617"/>
      <c r="H215" s="617"/>
      <c r="I215" s="617"/>
      <c r="J215" s="617"/>
      <c r="K215" s="1691">
        <f>D215</f>
        <v>0</v>
      </c>
      <c r="L215" s="466"/>
    </row>
    <row r="216" spans="1:14" x14ac:dyDescent="0.2">
      <c r="A216" s="1524" t="s">
        <v>165</v>
      </c>
      <c r="B216" s="615" t="s">
        <v>1024</v>
      </c>
      <c r="C216" s="617"/>
      <c r="D216" s="467"/>
      <c r="E216" s="617"/>
      <c r="F216" s="617"/>
      <c r="G216" s="617"/>
      <c r="H216" s="617"/>
      <c r="I216" s="617"/>
      <c r="J216" s="617"/>
      <c r="K216" s="1691">
        <f t="shared" ref="K216:K228" si="19">D216</f>
        <v>0</v>
      </c>
      <c r="L216" s="466"/>
    </row>
    <row r="217" spans="1:14" x14ac:dyDescent="0.2">
      <c r="A217" s="1524" t="s">
        <v>166</v>
      </c>
      <c r="B217" s="615">
        <v>1200</v>
      </c>
      <c r="C217" s="617"/>
      <c r="D217" s="466"/>
      <c r="E217" s="617"/>
      <c r="F217" s="617"/>
      <c r="G217" s="617"/>
      <c r="H217" s="617"/>
      <c r="I217" s="617"/>
      <c r="J217" s="617"/>
      <c r="K217" s="1691">
        <f t="shared" si="19"/>
        <v>0</v>
      </c>
      <c r="L217" s="466"/>
    </row>
    <row r="218" spans="1:14" x14ac:dyDescent="0.2">
      <c r="A218" s="1524" t="s">
        <v>296</v>
      </c>
      <c r="B218" s="615" t="s">
        <v>1025</v>
      </c>
      <c r="C218" s="617"/>
      <c r="D218" s="467"/>
      <c r="E218" s="617"/>
      <c r="F218" s="617"/>
      <c r="G218" s="617"/>
      <c r="H218" s="617"/>
      <c r="I218" s="617"/>
      <c r="J218" s="617"/>
      <c r="K218" s="1691">
        <f t="shared" si="19"/>
        <v>0</v>
      </c>
      <c r="L218" s="466"/>
    </row>
    <row r="219" spans="1:14" x14ac:dyDescent="0.2">
      <c r="A219" s="1524" t="s">
        <v>297</v>
      </c>
      <c r="B219" s="615">
        <v>1250</v>
      </c>
      <c r="C219" s="617"/>
      <c r="D219" s="466"/>
      <c r="E219" s="617"/>
      <c r="F219" s="617"/>
      <c r="G219" s="617"/>
      <c r="H219" s="617"/>
      <c r="I219" s="617"/>
      <c r="J219" s="617"/>
      <c r="K219" s="1691">
        <f t="shared" si="19"/>
        <v>0</v>
      </c>
      <c r="L219" s="466"/>
    </row>
    <row r="220" spans="1:14" x14ac:dyDescent="0.2">
      <c r="A220" s="1524" t="s">
        <v>298</v>
      </c>
      <c r="B220" s="615" t="s">
        <v>163</v>
      </c>
      <c r="C220" s="617"/>
      <c r="D220" s="467"/>
      <c r="E220" s="617"/>
      <c r="F220" s="617"/>
      <c r="G220" s="617"/>
      <c r="H220" s="617"/>
      <c r="I220" s="617"/>
      <c r="J220" s="617"/>
      <c r="K220" s="1691">
        <f t="shared" si="19"/>
        <v>0</v>
      </c>
      <c r="L220" s="466"/>
    </row>
    <row r="221" spans="1:14" x14ac:dyDescent="0.2">
      <c r="A221" s="1524" t="s">
        <v>1019</v>
      </c>
      <c r="B221" s="615">
        <v>1300</v>
      </c>
      <c r="C221" s="617"/>
      <c r="D221" s="466"/>
      <c r="E221" s="617"/>
      <c r="F221" s="617"/>
      <c r="G221" s="617"/>
      <c r="H221" s="617"/>
      <c r="I221" s="617"/>
      <c r="J221" s="617"/>
      <c r="K221" s="1691">
        <f t="shared" si="19"/>
        <v>0</v>
      </c>
      <c r="L221" s="466"/>
    </row>
    <row r="222" spans="1:14" x14ac:dyDescent="0.2">
      <c r="A222" s="1524" t="s">
        <v>747</v>
      </c>
      <c r="B222" s="615">
        <v>1400</v>
      </c>
      <c r="C222" s="617"/>
      <c r="D222" s="466"/>
      <c r="E222" s="617"/>
      <c r="F222" s="617"/>
      <c r="G222" s="617"/>
      <c r="H222" s="617"/>
      <c r="I222" s="617"/>
      <c r="J222" s="617"/>
      <c r="K222" s="1691">
        <f t="shared" si="19"/>
        <v>0</v>
      </c>
      <c r="L222" s="466"/>
    </row>
    <row r="223" spans="1:14" x14ac:dyDescent="0.2">
      <c r="A223" s="1524" t="s">
        <v>1020</v>
      </c>
      <c r="B223" s="615">
        <v>1500</v>
      </c>
      <c r="C223" s="617"/>
      <c r="D223" s="466"/>
      <c r="E223" s="617"/>
      <c r="F223" s="617"/>
      <c r="G223" s="617"/>
      <c r="H223" s="617"/>
      <c r="I223" s="617"/>
      <c r="J223" s="617"/>
      <c r="K223" s="1691">
        <f t="shared" si="19"/>
        <v>0</v>
      </c>
      <c r="L223" s="466"/>
    </row>
    <row r="224" spans="1:14" x14ac:dyDescent="0.2">
      <c r="A224" s="1524" t="s">
        <v>1021</v>
      </c>
      <c r="B224" s="615">
        <v>1600</v>
      </c>
      <c r="C224" s="617"/>
      <c r="D224" s="466"/>
      <c r="E224" s="617"/>
      <c r="F224" s="617"/>
      <c r="G224" s="617"/>
      <c r="H224" s="617"/>
      <c r="I224" s="617"/>
      <c r="J224" s="617"/>
      <c r="K224" s="1691">
        <f t="shared" si="19"/>
        <v>0</v>
      </c>
      <c r="L224" s="466"/>
    </row>
    <row r="225" spans="1:12" x14ac:dyDescent="0.2">
      <c r="A225" s="1524" t="s">
        <v>1044</v>
      </c>
      <c r="B225" s="615">
        <v>1650</v>
      </c>
      <c r="C225" s="617"/>
      <c r="D225" s="466"/>
      <c r="E225" s="617"/>
      <c r="F225" s="617"/>
      <c r="G225" s="617"/>
      <c r="H225" s="617"/>
      <c r="I225" s="617"/>
      <c r="J225" s="617"/>
      <c r="K225" s="1691">
        <f t="shared" si="19"/>
        <v>0</v>
      </c>
      <c r="L225" s="466"/>
    </row>
    <row r="226" spans="1:12" x14ac:dyDescent="0.2">
      <c r="A226" s="1524" t="s">
        <v>748</v>
      </c>
      <c r="B226" s="615" t="s">
        <v>164</v>
      </c>
      <c r="C226" s="617"/>
      <c r="D226" s="467"/>
      <c r="E226" s="617"/>
      <c r="F226" s="617"/>
      <c r="G226" s="617"/>
      <c r="H226" s="617"/>
      <c r="I226" s="617"/>
      <c r="J226" s="617"/>
      <c r="K226" s="1691">
        <f t="shared" si="19"/>
        <v>0</v>
      </c>
      <c r="L226" s="466"/>
    </row>
    <row r="227" spans="1:12" x14ac:dyDescent="0.2">
      <c r="A227" s="1524" t="s">
        <v>1148</v>
      </c>
      <c r="B227" s="615">
        <v>1800</v>
      </c>
      <c r="C227" s="617"/>
      <c r="D227" s="466"/>
      <c r="E227" s="617"/>
      <c r="F227" s="617"/>
      <c r="G227" s="617"/>
      <c r="H227" s="617"/>
      <c r="I227" s="617"/>
      <c r="J227" s="617"/>
      <c r="K227" s="1691">
        <f t="shared" si="19"/>
        <v>0</v>
      </c>
      <c r="L227" s="466"/>
    </row>
    <row r="228" spans="1:12" x14ac:dyDescent="0.2">
      <c r="A228" s="1524"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0</v>
      </c>
      <c r="E229" s="617"/>
      <c r="F229" s="617"/>
      <c r="G229" s="617"/>
      <c r="H229" s="617"/>
      <c r="I229" s="617"/>
      <c r="J229" s="617"/>
      <c r="K229" s="1690">
        <f>SUM(K215:K228)</f>
        <v>0</v>
      </c>
      <c r="L229" s="1690">
        <f>SUM(L215:L228)</f>
        <v>0</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c r="E232" s="617"/>
      <c r="F232" s="617"/>
      <c r="G232" s="617"/>
      <c r="H232" s="617"/>
      <c r="I232" s="617"/>
      <c r="J232" s="617"/>
      <c r="K232" s="1691">
        <f t="shared" ref="K232:K237" si="20">D232</f>
        <v>0</v>
      </c>
      <c r="L232" s="466"/>
    </row>
    <row r="233" spans="1:12" x14ac:dyDescent="0.2">
      <c r="A233" s="1524" t="s">
        <v>1151</v>
      </c>
      <c r="B233" s="615">
        <v>2120</v>
      </c>
      <c r="C233" s="617"/>
      <c r="D233" s="466"/>
      <c r="E233" s="617"/>
      <c r="F233" s="617"/>
      <c r="G233" s="617"/>
      <c r="H233" s="617"/>
      <c r="I233" s="617"/>
      <c r="J233" s="617"/>
      <c r="K233" s="1691">
        <f t="shared" si="20"/>
        <v>0</v>
      </c>
      <c r="L233" s="466"/>
    </row>
    <row r="234" spans="1:12" x14ac:dyDescent="0.2">
      <c r="A234" s="1524" t="s">
        <v>207</v>
      </c>
      <c r="B234" s="615">
        <v>2130</v>
      </c>
      <c r="C234" s="617"/>
      <c r="D234" s="466"/>
      <c r="E234" s="617"/>
      <c r="F234" s="617"/>
      <c r="G234" s="617"/>
      <c r="H234" s="617"/>
      <c r="I234" s="617"/>
      <c r="J234" s="617"/>
      <c r="K234" s="1691">
        <f t="shared" si="20"/>
        <v>0</v>
      </c>
      <c r="L234" s="466"/>
    </row>
    <row r="235" spans="1:12" x14ac:dyDescent="0.2">
      <c r="A235" s="1524" t="s">
        <v>208</v>
      </c>
      <c r="B235" s="615">
        <v>2140</v>
      </c>
      <c r="C235" s="617"/>
      <c r="D235" s="466"/>
      <c r="E235" s="617"/>
      <c r="F235" s="617"/>
      <c r="G235" s="617"/>
      <c r="H235" s="617"/>
      <c r="I235" s="617"/>
      <c r="J235" s="617"/>
      <c r="K235" s="1691">
        <f t="shared" si="20"/>
        <v>0</v>
      </c>
      <c r="L235" s="466"/>
    </row>
    <row r="236" spans="1:12" x14ac:dyDescent="0.2">
      <c r="A236" s="1524" t="s">
        <v>209</v>
      </c>
      <c r="B236" s="615">
        <v>2150</v>
      </c>
      <c r="C236" s="617"/>
      <c r="D236" s="466"/>
      <c r="E236" s="617"/>
      <c r="F236" s="617"/>
      <c r="G236" s="617"/>
      <c r="H236" s="617"/>
      <c r="I236" s="617"/>
      <c r="J236" s="617"/>
      <c r="K236" s="1691">
        <f t="shared" si="20"/>
        <v>0</v>
      </c>
      <c r="L236" s="466"/>
    </row>
    <row r="237" spans="1:12" x14ac:dyDescent="0.2">
      <c r="A237" s="1524"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0</v>
      </c>
      <c r="E238" s="617"/>
      <c r="F238" s="617"/>
      <c r="G238" s="617"/>
      <c r="H238" s="617"/>
      <c r="I238" s="617"/>
      <c r="J238" s="617"/>
      <c r="K238" s="1690">
        <f>SUM(K232:K237)</f>
        <v>0</v>
      </c>
      <c r="L238" s="1690">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c r="E240" s="617"/>
      <c r="F240" s="617"/>
      <c r="G240" s="617"/>
      <c r="H240" s="617"/>
      <c r="I240" s="617"/>
      <c r="J240" s="617"/>
      <c r="K240" s="1692">
        <f>D240</f>
        <v>0</v>
      </c>
      <c r="L240" s="481"/>
    </row>
    <row r="241" spans="1:12" x14ac:dyDescent="0.2">
      <c r="A241" s="1524" t="s">
        <v>869</v>
      </c>
      <c r="B241" s="615">
        <v>2220</v>
      </c>
      <c r="C241" s="617"/>
      <c r="D241" s="466"/>
      <c r="E241" s="617"/>
      <c r="F241" s="617"/>
      <c r="G241" s="617"/>
      <c r="H241" s="617"/>
      <c r="I241" s="617"/>
      <c r="J241" s="617"/>
      <c r="K241" s="1692">
        <f>D241</f>
        <v>0</v>
      </c>
      <c r="L241" s="466"/>
    </row>
    <row r="242" spans="1:12" x14ac:dyDescent="0.2">
      <c r="A242" s="1524"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0</v>
      </c>
      <c r="E243" s="617"/>
      <c r="F243" s="617"/>
      <c r="G243" s="617"/>
      <c r="H243" s="617"/>
      <c r="I243" s="617"/>
      <c r="J243" s="617"/>
      <c r="K243" s="1690">
        <f>SUM(K240:K242)</f>
        <v>0</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c r="E245" s="617"/>
      <c r="F245" s="617"/>
      <c r="G245" s="617"/>
      <c r="H245" s="617"/>
      <c r="I245" s="617"/>
      <c r="J245" s="617"/>
      <c r="K245" s="1692">
        <f>D245</f>
        <v>0</v>
      </c>
      <c r="L245" s="481"/>
    </row>
    <row r="246" spans="1:12" x14ac:dyDescent="0.2">
      <c r="A246" s="1524" t="s">
        <v>872</v>
      </c>
      <c r="B246" s="615">
        <v>2320</v>
      </c>
      <c r="C246" s="617"/>
      <c r="D246" s="466"/>
      <c r="E246" s="617"/>
      <c r="F246" s="617"/>
      <c r="G246" s="617"/>
      <c r="H246" s="617"/>
      <c r="I246" s="617"/>
      <c r="J246" s="617"/>
      <c r="K246" s="1692">
        <f t="shared" ref="K246:K256" si="21">D246</f>
        <v>0</v>
      </c>
      <c r="L246" s="466"/>
    </row>
    <row r="247" spans="1:12" x14ac:dyDescent="0.2">
      <c r="A247" s="1524" t="s">
        <v>873</v>
      </c>
      <c r="B247" s="615">
        <v>2330</v>
      </c>
      <c r="C247" s="617"/>
      <c r="D247" s="466"/>
      <c r="E247" s="617"/>
      <c r="F247" s="617"/>
      <c r="G247" s="617"/>
      <c r="H247" s="617"/>
      <c r="I247" s="617"/>
      <c r="J247" s="617"/>
      <c r="K247" s="1692">
        <f t="shared" si="21"/>
        <v>0</v>
      </c>
      <c r="L247" s="466"/>
    </row>
    <row r="248" spans="1:12" x14ac:dyDescent="0.2">
      <c r="A248" s="1525" t="s">
        <v>317</v>
      </c>
      <c r="B248" s="603" t="s">
        <v>299</v>
      </c>
      <c r="C248" s="617"/>
      <c r="D248" s="474"/>
      <c r="E248" s="617"/>
      <c r="F248" s="617"/>
      <c r="G248" s="617"/>
      <c r="H248" s="617"/>
      <c r="I248" s="617"/>
      <c r="J248" s="617"/>
      <c r="K248" s="1692">
        <f t="shared" si="21"/>
        <v>0</v>
      </c>
      <c r="L248" s="466"/>
    </row>
    <row r="249" spans="1:12" x14ac:dyDescent="0.2">
      <c r="A249" s="1526" t="s">
        <v>1904</v>
      </c>
      <c r="B249" s="684" t="s">
        <v>300</v>
      </c>
      <c r="C249" s="617"/>
      <c r="D249" s="474"/>
      <c r="E249" s="617"/>
      <c r="F249" s="617"/>
      <c r="G249" s="617"/>
      <c r="H249" s="617"/>
      <c r="I249" s="617"/>
      <c r="J249" s="617"/>
      <c r="K249" s="1692">
        <f t="shared" si="21"/>
        <v>0</v>
      </c>
      <c r="L249" s="466"/>
    </row>
    <row r="250" spans="1:12" x14ac:dyDescent="0.2">
      <c r="A250" s="1525" t="s">
        <v>1905</v>
      </c>
      <c r="B250" s="603" t="s">
        <v>301</v>
      </c>
      <c r="C250" s="617"/>
      <c r="D250" s="474"/>
      <c r="E250" s="617"/>
      <c r="F250" s="617"/>
      <c r="G250" s="617"/>
      <c r="H250" s="617"/>
      <c r="I250" s="617"/>
      <c r="J250" s="617"/>
      <c r="K250" s="1692">
        <f t="shared" si="21"/>
        <v>0</v>
      </c>
      <c r="L250" s="466"/>
    </row>
    <row r="251" spans="1:12" x14ac:dyDescent="0.2">
      <c r="A251" s="1525" t="s">
        <v>256</v>
      </c>
      <c r="B251" s="603" t="s">
        <v>302</v>
      </c>
      <c r="C251" s="617"/>
      <c r="D251" s="474"/>
      <c r="E251" s="617"/>
      <c r="F251" s="617"/>
      <c r="G251" s="617"/>
      <c r="H251" s="617"/>
      <c r="I251" s="617"/>
      <c r="J251" s="617"/>
      <c r="K251" s="1692">
        <f t="shared" si="21"/>
        <v>0</v>
      </c>
      <c r="L251" s="466"/>
    </row>
    <row r="252" spans="1:12" x14ac:dyDescent="0.2">
      <c r="A252" s="1525" t="s">
        <v>726</v>
      </c>
      <c r="B252" s="603" t="s">
        <v>303</v>
      </c>
      <c r="C252" s="617"/>
      <c r="D252" s="474"/>
      <c r="E252" s="617"/>
      <c r="F252" s="617"/>
      <c r="G252" s="617"/>
      <c r="H252" s="617"/>
      <c r="I252" s="617"/>
      <c r="J252" s="617"/>
      <c r="K252" s="1692">
        <f t="shared" si="21"/>
        <v>0</v>
      </c>
      <c r="L252" s="466"/>
    </row>
    <row r="253" spans="1:12" x14ac:dyDescent="0.2">
      <c r="A253" s="1525" t="s">
        <v>257</v>
      </c>
      <c r="B253" s="603" t="s">
        <v>304</v>
      </c>
      <c r="C253" s="617"/>
      <c r="D253" s="474"/>
      <c r="E253" s="617"/>
      <c r="F253" s="617"/>
      <c r="G253" s="617"/>
      <c r="H253" s="617"/>
      <c r="I253" s="617"/>
      <c r="J253" s="617"/>
      <c r="K253" s="1692">
        <f t="shared" si="21"/>
        <v>0</v>
      </c>
      <c r="L253" s="466"/>
    </row>
    <row r="254" spans="1:12" ht="22.5" x14ac:dyDescent="0.2">
      <c r="A254" s="1525" t="s">
        <v>1087</v>
      </c>
      <c r="B254" s="684" t="s">
        <v>305</v>
      </c>
      <c r="C254" s="617"/>
      <c r="D254" s="474"/>
      <c r="E254" s="617"/>
      <c r="F254" s="617"/>
      <c r="G254" s="617"/>
      <c r="H254" s="617"/>
      <c r="I254" s="617"/>
      <c r="J254" s="617"/>
      <c r="K254" s="1692">
        <f t="shared" si="21"/>
        <v>0</v>
      </c>
      <c r="L254" s="466"/>
    </row>
    <row r="255" spans="1:12" x14ac:dyDescent="0.2">
      <c r="A255" s="1525" t="s">
        <v>1088</v>
      </c>
      <c r="B255" s="603" t="s">
        <v>306</v>
      </c>
      <c r="C255" s="617"/>
      <c r="D255" s="474"/>
      <c r="E255" s="617"/>
      <c r="F255" s="617"/>
      <c r="G255" s="617"/>
      <c r="H255" s="617"/>
      <c r="I255" s="617"/>
      <c r="J255" s="617"/>
      <c r="K255" s="1692">
        <f t="shared" si="21"/>
        <v>0</v>
      </c>
      <c r="L255" s="466"/>
    </row>
    <row r="256" spans="1:12" x14ac:dyDescent="0.2">
      <c r="A256" s="1525"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0</v>
      </c>
      <c r="E257" s="617"/>
      <c r="F257" s="617"/>
      <c r="G257" s="617"/>
      <c r="H257" s="617"/>
      <c r="I257" s="617"/>
      <c r="J257" s="617"/>
      <c r="K257" s="1690">
        <f>SUM(K245:K256)</f>
        <v>0</v>
      </c>
      <c r="L257" s="1690">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c r="E259" s="617"/>
      <c r="F259" s="617"/>
      <c r="G259" s="617"/>
      <c r="H259" s="617"/>
      <c r="I259" s="617"/>
      <c r="J259" s="617"/>
      <c r="K259" s="1692">
        <f>D259</f>
        <v>0</v>
      </c>
      <c r="L259" s="481"/>
    </row>
    <row r="260" spans="1:14" s="598" customFormat="1" x14ac:dyDescent="0.2">
      <c r="A260" s="1542" t="s">
        <v>1903</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0</v>
      </c>
      <c r="E261" s="617"/>
      <c r="F261" s="617"/>
      <c r="G261" s="617"/>
      <c r="H261" s="617"/>
      <c r="I261" s="617"/>
      <c r="J261" s="617"/>
      <c r="K261" s="1690">
        <f>SUM(K259:K260)</f>
        <v>0</v>
      </c>
      <c r="L261" s="1690">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c r="E263" s="617"/>
      <c r="F263" s="617"/>
      <c r="G263" s="617"/>
      <c r="H263" s="617"/>
      <c r="I263" s="617"/>
      <c r="J263" s="617"/>
      <c r="K263" s="1692">
        <f>D263</f>
        <v>0</v>
      </c>
      <c r="L263" s="481"/>
    </row>
    <row r="264" spans="1:14" x14ac:dyDescent="0.2">
      <c r="A264" s="1524" t="s">
        <v>483</v>
      </c>
      <c r="B264" s="686">
        <v>2520</v>
      </c>
      <c r="C264" s="617"/>
      <c r="D264" s="466"/>
      <c r="E264" s="617"/>
      <c r="F264" s="617"/>
      <c r="G264" s="617"/>
      <c r="H264" s="617"/>
      <c r="I264" s="617"/>
      <c r="J264" s="617"/>
      <c r="K264" s="1692">
        <f t="shared" ref="K264:K269" si="22">D264</f>
        <v>0</v>
      </c>
      <c r="L264" s="466"/>
    </row>
    <row r="265" spans="1:14" x14ac:dyDescent="0.2">
      <c r="A265" s="1524" t="s">
        <v>4</v>
      </c>
      <c r="B265" s="615">
        <v>2530</v>
      </c>
      <c r="C265" s="617"/>
      <c r="D265" s="466"/>
      <c r="E265" s="617"/>
      <c r="F265" s="617"/>
      <c r="G265" s="617"/>
      <c r="H265" s="617"/>
      <c r="I265" s="617"/>
      <c r="J265" s="617"/>
      <c r="K265" s="1692">
        <f t="shared" si="22"/>
        <v>0</v>
      </c>
      <c r="L265" s="466"/>
    </row>
    <row r="266" spans="1:14" x14ac:dyDescent="0.2">
      <c r="A266" s="1524" t="s">
        <v>206</v>
      </c>
      <c r="B266" s="615">
        <v>2540</v>
      </c>
      <c r="C266" s="617"/>
      <c r="D266" s="466"/>
      <c r="E266" s="617"/>
      <c r="F266" s="617"/>
      <c r="G266" s="617"/>
      <c r="H266" s="617"/>
      <c r="I266" s="617"/>
      <c r="J266" s="617"/>
      <c r="K266" s="1692">
        <f t="shared" si="22"/>
        <v>0</v>
      </c>
      <c r="L266" s="466"/>
    </row>
    <row r="267" spans="1:14" x14ac:dyDescent="0.2">
      <c r="A267" s="1524" t="s">
        <v>1010</v>
      </c>
      <c r="B267" s="615">
        <v>2550</v>
      </c>
      <c r="C267" s="617"/>
      <c r="D267" s="466"/>
      <c r="E267" s="617"/>
      <c r="F267" s="617"/>
      <c r="G267" s="617"/>
      <c r="H267" s="617"/>
      <c r="I267" s="617"/>
      <c r="J267" s="617"/>
      <c r="K267" s="1692">
        <f t="shared" si="22"/>
        <v>0</v>
      </c>
      <c r="L267" s="466"/>
    </row>
    <row r="268" spans="1:14" x14ac:dyDescent="0.2">
      <c r="A268" s="1524" t="s">
        <v>102</v>
      </c>
      <c r="B268" s="615">
        <v>2560</v>
      </c>
      <c r="C268" s="617"/>
      <c r="D268" s="466"/>
      <c r="E268" s="617"/>
      <c r="F268" s="617"/>
      <c r="G268" s="617"/>
      <c r="H268" s="617"/>
      <c r="I268" s="617"/>
      <c r="J268" s="617"/>
      <c r="K268" s="1692">
        <f t="shared" si="22"/>
        <v>0</v>
      </c>
      <c r="L268" s="466"/>
    </row>
    <row r="269" spans="1:14" x14ac:dyDescent="0.2">
      <c r="A269" s="1524"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0</v>
      </c>
      <c r="E270" s="617"/>
      <c r="F270" s="617"/>
      <c r="G270" s="617"/>
      <c r="H270" s="617"/>
      <c r="I270" s="617"/>
      <c r="J270" s="617"/>
      <c r="K270" s="1690">
        <f>SUM(K263:K269)</f>
        <v>0</v>
      </c>
      <c r="L270" s="1690">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row>
    <row r="273" spans="1:12" x14ac:dyDescent="0.2">
      <c r="A273" s="1524" t="s">
        <v>628</v>
      </c>
      <c r="B273" s="629">
        <v>2620</v>
      </c>
      <c r="C273" s="617"/>
      <c r="D273" s="466"/>
      <c r="E273" s="617"/>
      <c r="F273" s="617"/>
      <c r="G273" s="617"/>
      <c r="H273" s="617"/>
      <c r="I273" s="617"/>
      <c r="J273" s="617"/>
      <c r="K273" s="1692">
        <f>D273</f>
        <v>0</v>
      </c>
      <c r="L273" s="466"/>
    </row>
    <row r="274" spans="1:12" ht="12" customHeight="1" x14ac:dyDescent="0.2">
      <c r="A274" s="1524" t="s">
        <v>1121</v>
      </c>
      <c r="B274" s="615">
        <v>2630</v>
      </c>
      <c r="C274" s="617"/>
      <c r="D274" s="466"/>
      <c r="E274" s="617"/>
      <c r="F274" s="617"/>
      <c r="G274" s="617"/>
      <c r="H274" s="617"/>
      <c r="I274" s="617"/>
      <c r="J274" s="617"/>
      <c r="K274" s="1692">
        <f>D274</f>
        <v>0</v>
      </c>
      <c r="L274" s="466"/>
    </row>
    <row r="275" spans="1:12" x14ac:dyDescent="0.2">
      <c r="A275" s="1524" t="s">
        <v>423</v>
      </c>
      <c r="B275" s="615">
        <v>2640</v>
      </c>
      <c r="C275" s="617"/>
      <c r="D275" s="466"/>
      <c r="E275" s="617"/>
      <c r="F275" s="617"/>
      <c r="G275" s="617"/>
      <c r="H275" s="617"/>
      <c r="I275" s="617"/>
      <c r="J275" s="617"/>
      <c r="K275" s="1692">
        <f>D275</f>
        <v>0</v>
      </c>
      <c r="L275" s="466"/>
    </row>
    <row r="276" spans="1:12" x14ac:dyDescent="0.2">
      <c r="A276" s="1524"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0"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0</v>
      </c>
      <c r="E279" s="617"/>
      <c r="F279" s="617"/>
      <c r="G279" s="617"/>
      <c r="H279" s="617"/>
      <c r="I279" s="617"/>
      <c r="J279" s="617"/>
      <c r="K279" s="1697">
        <f>SUM(K238,K243,K257,K261,K270,K277,K278)</f>
        <v>0</v>
      </c>
      <c r="L279" s="1697">
        <f>SUM(L238,L243,L257,L261,L270,L277,L278)</f>
        <v>0</v>
      </c>
    </row>
    <row r="280" spans="1:12" ht="15.75" customHeight="1" thickTop="1" thickBot="1" x14ac:dyDescent="0.25">
      <c r="A280" s="1644" t="s">
        <v>930</v>
      </c>
      <c r="B280" s="1633">
        <v>3000</v>
      </c>
      <c r="C280" s="617"/>
      <c r="D280" s="576"/>
      <c r="E280" s="617"/>
      <c r="F280" s="617"/>
      <c r="G280" s="617"/>
      <c r="H280" s="617"/>
      <c r="I280" s="617"/>
      <c r="J280" s="617"/>
      <c r="K280" s="1699">
        <f>D280</f>
        <v>0</v>
      </c>
      <c r="L280" s="576"/>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1953</v>
      </c>
      <c r="C282" s="617"/>
      <c r="D282" s="467"/>
      <c r="E282" s="617"/>
      <c r="F282" s="617"/>
      <c r="G282" s="617"/>
      <c r="H282" s="617"/>
      <c r="I282" s="617"/>
      <c r="J282" s="617"/>
      <c r="K282" s="1691">
        <f>D282</f>
        <v>0</v>
      </c>
      <c r="L282" s="467"/>
    </row>
    <row r="283" spans="1:12" x14ac:dyDescent="0.2">
      <c r="A283" s="1524" t="s">
        <v>322</v>
      </c>
      <c r="B283" s="615">
        <v>4120</v>
      </c>
      <c r="C283" s="617"/>
      <c r="D283" s="466"/>
      <c r="E283" s="617"/>
      <c r="F283" s="617"/>
      <c r="G283" s="617"/>
      <c r="H283" s="617"/>
      <c r="I283" s="617"/>
      <c r="J283" s="617"/>
      <c r="K283" s="1691">
        <f>D283</f>
        <v>0</v>
      </c>
      <c r="L283" s="466"/>
    </row>
    <row r="284" spans="1:12" x14ac:dyDescent="0.2">
      <c r="A284" s="1524"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row>
    <row r="289" spans="1:14" x14ac:dyDescent="0.2">
      <c r="A289" s="1524" t="s">
        <v>90</v>
      </c>
      <c r="B289" s="615">
        <v>5120</v>
      </c>
      <c r="C289" s="617"/>
      <c r="D289" s="617"/>
      <c r="E289" s="617"/>
      <c r="F289" s="617"/>
      <c r="G289" s="617"/>
      <c r="H289" s="466"/>
      <c r="I289" s="617"/>
      <c r="J289" s="617"/>
      <c r="K289" s="1691">
        <f>H289</f>
        <v>0</v>
      </c>
      <c r="L289" s="466"/>
    </row>
    <row r="290" spans="1:14" ht="12.75" customHeight="1" x14ac:dyDescent="0.2">
      <c r="A290" s="1524" t="s">
        <v>1232</v>
      </c>
      <c r="B290" s="629" t="s">
        <v>638</v>
      </c>
      <c r="C290" s="617"/>
      <c r="D290" s="617"/>
      <c r="E290" s="617"/>
      <c r="F290" s="617"/>
      <c r="G290" s="617"/>
      <c r="H290" s="466"/>
      <c r="I290" s="617"/>
      <c r="J290" s="617"/>
      <c r="K290" s="1691">
        <f>H290</f>
        <v>0</v>
      </c>
      <c r="L290" s="466"/>
    </row>
    <row r="291" spans="1:14" x14ac:dyDescent="0.2">
      <c r="A291" s="1524" t="s">
        <v>91</v>
      </c>
      <c r="B291" s="615" t="s">
        <v>610</v>
      </c>
      <c r="C291" s="617"/>
      <c r="D291" s="617"/>
      <c r="E291" s="617"/>
      <c r="F291" s="617"/>
      <c r="G291" s="617"/>
      <c r="H291" s="466"/>
      <c r="I291" s="617"/>
      <c r="J291" s="617"/>
      <c r="K291" s="1691">
        <f>H291</f>
        <v>0</v>
      </c>
      <c r="L291" s="466"/>
    </row>
    <row r="292" spans="1:14" x14ac:dyDescent="0.2">
      <c r="A292" s="1524"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row>
    <row r="295" spans="1:14" ht="12.75" customHeight="1" thickTop="1" thickBot="1" x14ac:dyDescent="0.25">
      <c r="A295" s="2214" t="s">
        <v>526</v>
      </c>
      <c r="B295" s="2215"/>
      <c r="C295" s="617"/>
      <c r="D295" s="1690">
        <f>SUM(D229,D279,D280,D285)</f>
        <v>0</v>
      </c>
      <c r="E295" s="617"/>
      <c r="F295" s="617"/>
      <c r="G295" s="617"/>
      <c r="H295" s="1690">
        <f>H293</f>
        <v>0</v>
      </c>
      <c r="I295" s="617"/>
      <c r="J295" s="617"/>
      <c r="K295" s="1690">
        <f>SUM(K229,K279,K280,K285,K293,K294)</f>
        <v>0</v>
      </c>
      <c r="L295" s="1690">
        <f>SUM(L229,L279,L280,L285,L293,L294)</f>
        <v>0</v>
      </c>
    </row>
    <row r="296" spans="1:14" ht="13.5" thickTop="1" x14ac:dyDescent="0.2">
      <c r="A296" s="2196" t="s">
        <v>1053</v>
      </c>
      <c r="B296" s="2197"/>
      <c r="C296" s="617"/>
      <c r="D296" s="619"/>
      <c r="E296" s="617"/>
      <c r="F296" s="617"/>
      <c r="G296" s="617"/>
      <c r="H296" s="688"/>
      <c r="I296" s="617"/>
      <c r="J296" s="617"/>
      <c r="K296" s="1704">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6" t="s">
        <v>145</v>
      </c>
      <c r="B298" s="2200"/>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c r="F301" s="466"/>
      <c r="G301" s="466"/>
      <c r="H301" s="466"/>
      <c r="I301" s="467"/>
      <c r="J301" s="467"/>
      <c r="K301" s="1691">
        <f>SUM(C301:J301)</f>
        <v>0</v>
      </c>
      <c r="L301" s="467"/>
    </row>
    <row r="302" spans="1:14" ht="13.5" customHeight="1" x14ac:dyDescent="0.2">
      <c r="A302" s="1537"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1958</v>
      </c>
      <c r="B306" s="691" t="s">
        <v>1953</v>
      </c>
      <c r="C306" s="617"/>
      <c r="D306" s="617"/>
      <c r="E306" s="467"/>
      <c r="F306" s="617"/>
      <c r="G306" s="617"/>
      <c r="H306" s="467"/>
      <c r="I306" s="617"/>
      <c r="J306" s="617"/>
      <c r="K306" s="1691">
        <f>SUM(E306,H306)</f>
        <v>0</v>
      </c>
      <c r="L306" s="467"/>
    </row>
    <row r="307" spans="1:14" x14ac:dyDescent="0.2">
      <c r="A307" s="1524" t="s">
        <v>322</v>
      </c>
      <c r="B307" s="615">
        <v>4120</v>
      </c>
      <c r="C307" s="617"/>
      <c r="D307" s="617"/>
      <c r="E307" s="467"/>
      <c r="F307" s="617"/>
      <c r="G307" s="617"/>
      <c r="H307" s="467"/>
      <c r="I307" s="477"/>
      <c r="J307" s="617"/>
      <c r="K307" s="1691">
        <f>SUM(E307,H307)</f>
        <v>0</v>
      </c>
      <c r="L307" s="466"/>
    </row>
    <row r="308" spans="1:14" x14ac:dyDescent="0.2">
      <c r="A308" s="1524" t="s">
        <v>721</v>
      </c>
      <c r="B308" s="615">
        <v>4140</v>
      </c>
      <c r="C308" s="617"/>
      <c r="D308" s="617"/>
      <c r="E308" s="467"/>
      <c r="F308" s="617"/>
      <c r="G308" s="617"/>
      <c r="H308" s="467"/>
      <c r="I308" s="477"/>
      <c r="J308" s="617"/>
      <c r="K308" s="1691">
        <f>SUM(E308,H308)</f>
        <v>0</v>
      </c>
      <c r="L308" s="466"/>
    </row>
    <row r="309" spans="1:14" ht="12.75" customHeight="1" x14ac:dyDescent="0.2">
      <c r="A309" s="1528"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5" customFormat="1" ht="12.75" customHeight="1" thickTop="1" thickBot="1" x14ac:dyDescent="0.25">
      <c r="A312" s="2211" t="s">
        <v>295</v>
      </c>
      <c r="B312" s="2212"/>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207" t="s">
        <v>1053</v>
      </c>
      <c r="B313" s="2208"/>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0" t="s">
        <v>151</v>
      </c>
      <c r="B315" s="2221"/>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2" t="s">
        <v>954</v>
      </c>
      <c r="B317" s="2221"/>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3" t="s">
        <v>1904</v>
      </c>
      <c r="B320" s="699" t="s">
        <v>300</v>
      </c>
      <c r="C320" s="467"/>
      <c r="D320" s="467"/>
      <c r="E320" s="467"/>
      <c r="F320" s="467"/>
      <c r="G320" s="467"/>
      <c r="H320" s="467"/>
      <c r="I320" s="467"/>
      <c r="J320" s="467"/>
      <c r="K320" s="1691">
        <f t="shared" ref="K320:K327" si="24">SUM(C320:J320)</f>
        <v>0</v>
      </c>
      <c r="L320" s="467"/>
      <c r="M320" s="666"/>
      <c r="N320" s="666"/>
    </row>
    <row r="321" spans="1:14" s="675" customFormat="1" x14ac:dyDescent="0.2">
      <c r="A321" s="1539"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39" t="s">
        <v>256</v>
      </c>
      <c r="B322" s="698" t="s">
        <v>302</v>
      </c>
      <c r="C322" s="467"/>
      <c r="D322" s="467"/>
      <c r="E322" s="467"/>
      <c r="F322" s="467"/>
      <c r="G322" s="467"/>
      <c r="H322" s="467"/>
      <c r="I322" s="467"/>
      <c r="J322" s="467"/>
      <c r="K322" s="1691">
        <f t="shared" si="24"/>
        <v>0</v>
      </c>
      <c r="L322" s="467"/>
      <c r="M322" s="666"/>
      <c r="N322" s="666"/>
    </row>
    <row r="323" spans="1:14" s="675" customFormat="1" x14ac:dyDescent="0.2">
      <c r="A323" s="1539"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39" t="s">
        <v>1087</v>
      </c>
      <c r="B325" s="699" t="s">
        <v>305</v>
      </c>
      <c r="C325" s="467"/>
      <c r="D325" s="467"/>
      <c r="E325" s="467"/>
      <c r="F325" s="467"/>
      <c r="G325" s="467"/>
      <c r="H325" s="467"/>
      <c r="I325" s="467"/>
      <c r="J325" s="467"/>
      <c r="K325" s="1691">
        <f t="shared" si="24"/>
        <v>0</v>
      </c>
      <c r="L325" s="467"/>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39"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0"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6"/>
      <c r="N330" s="666"/>
    </row>
    <row r="331" spans="1:14" s="675" customFormat="1" ht="12.75" customHeight="1" thickTop="1" x14ac:dyDescent="0.2">
      <c r="A331" s="1852" t="s">
        <v>1959</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1953</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1955</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1960</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row>
    <row r="338" spans="1:14" ht="12.75" customHeight="1" x14ac:dyDescent="0.2">
      <c r="A338" s="1538" t="s">
        <v>1232</v>
      </c>
      <c r="B338" s="691" t="s">
        <v>638</v>
      </c>
      <c r="C338" s="639"/>
      <c r="D338" s="639"/>
      <c r="E338" s="639"/>
      <c r="F338" s="639"/>
      <c r="G338" s="639"/>
      <c r="H338" s="478"/>
      <c r="I338" s="639"/>
      <c r="J338" s="639"/>
      <c r="K338" s="1691">
        <f>H338</f>
        <v>0</v>
      </c>
      <c r="L338" s="478"/>
    </row>
    <row r="339" spans="1:14" x14ac:dyDescent="0.2">
      <c r="A339" s="1524"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209" t="s">
        <v>1053</v>
      </c>
      <c r="B343" s="2210"/>
      <c r="C343" s="617"/>
      <c r="D343" s="617"/>
      <c r="E343" s="617"/>
      <c r="F343" s="617"/>
      <c r="G343" s="617"/>
      <c r="H343" s="617"/>
      <c r="I343" s="617"/>
      <c r="J343" s="617"/>
      <c r="K343" s="1704">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9" t="s">
        <v>1023</v>
      </c>
      <c r="B345" s="2200"/>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row>
    <row r="349" spans="1:14" x14ac:dyDescent="0.2">
      <c r="A349" s="1524"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1961</v>
      </c>
      <c r="B354" s="684" t="s">
        <v>1953</v>
      </c>
      <c r="C354" s="617"/>
      <c r="D354" s="617"/>
      <c r="E354" s="617"/>
      <c r="F354" s="617"/>
      <c r="G354" s="617"/>
      <c r="H354" s="474"/>
      <c r="I354" s="702"/>
      <c r="J354" s="617"/>
      <c r="K354" s="1719">
        <f>H354</f>
        <v>0</v>
      </c>
      <c r="L354" s="471"/>
    </row>
    <row r="355" spans="1:14" ht="12.75" customHeight="1" x14ac:dyDescent="0.2">
      <c r="A355" s="1533" t="s">
        <v>1962</v>
      </c>
      <c r="B355" s="691" t="s">
        <v>1955</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row>
    <row r="361" spans="1:14" ht="12.75" customHeight="1" x14ac:dyDescent="0.2">
      <c r="A361" s="1525"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96" t="s">
        <v>1053</v>
      </c>
      <c r="B368" s="2197"/>
      <c r="C368" s="655"/>
      <c r="D368" s="655"/>
      <c r="E368" s="627"/>
      <c r="F368" s="627"/>
      <c r="G368" s="627"/>
      <c r="H368" s="627"/>
      <c r="I368" s="627"/>
      <c r="J368" s="624"/>
      <c r="K368" s="1691">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6ce3111e-7420-4802-b50a-75d4e9a0b980"/>
    <ds:schemaRef ds:uri="http://purl.org/dc/terms/"/>
    <ds:schemaRef ds:uri="d21dc803-237d-4c68-8692-8d731fd29118"/>
    <ds:schemaRef ds:uri="http://schemas.microsoft.com/office/2006/documentManagement/types"/>
    <ds:schemaRef ds:uri="http://schemas.microsoft.com/office/infopath/2007/PartnerControls"/>
    <ds:schemaRef ds:uri="http://schemas.microsoft.com/sharepoint/v3"/>
    <ds:schemaRef ds:uri="http://www.w3.org/XML/1998/namespace"/>
    <ds:schemaRef ds:uri="http://purl.org/dc/dcmitype/"/>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Sec-2a</vt:lpstr>
      <vt:lpstr>SF&amp;QC Sec-2b</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2018-10-18T16:52:17Z</cp:lastPrinted>
  <dcterms:created xsi:type="dcterms:W3CDTF">2003-10-29T19:06:34Z</dcterms:created>
  <dcterms:modified xsi:type="dcterms:W3CDTF">2018-11-08T15:03:26Z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