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39" i="3"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L127" i="29"/>
  <c r="L129" i="29" s="1"/>
  <c r="L139" i="29"/>
  <c r="L149" i="29"/>
  <c r="I7" i="145"/>
  <c r="I6" i="145"/>
  <c r="D82" i="36"/>
  <c r="D78" i="36"/>
  <c r="K75" i="29"/>
  <c r="K130" i="29"/>
  <c r="F56" i="34"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K93" i="29"/>
  <c r="K94" i="29"/>
  <c r="B6999" i="106" s="1"/>
  <c r="D6999" i="106" s="1"/>
  <c r="K95" i="29"/>
  <c r="B7001" i="106" s="1"/>
  <c r="D7001" i="106" s="1"/>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B7090" i="106" s="1"/>
  <c r="D7090" i="106" s="1"/>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1" i="127"/>
  <c r="B62" i="127"/>
  <c r="D26" i="108"/>
  <c r="F26" i="108"/>
  <c r="D27" i="108"/>
  <c r="E27" i="108"/>
  <c r="F27" i="108"/>
  <c r="G27" i="108"/>
  <c r="F31" i="108"/>
  <c r="F36" i="108"/>
  <c r="G28" i="108"/>
  <c r="D31" i="108"/>
  <c r="D36" i="108"/>
  <c r="E31" i="108"/>
  <c r="G31" i="108"/>
  <c r="E33" i="108"/>
  <c r="G33"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C14" i="4"/>
  <c r="B2558" i="106" s="1"/>
  <c r="D2558" i="106" s="1"/>
  <c r="B2633" i="106"/>
  <c r="D2633" i="106" s="1"/>
  <c r="D7" i="118"/>
  <c r="D8" i="118"/>
  <c r="D9" i="118"/>
  <c r="H14" i="118"/>
  <c r="H19" i="118"/>
  <c r="H24" i="118"/>
  <c r="D22" i="37"/>
  <c r="J22" i="37"/>
  <c r="D24" i="37"/>
  <c r="B4270" i="106" s="1"/>
  <c r="D4270" i="106" s="1"/>
  <c r="D4" i="7" l="1"/>
  <c r="B1760" i="106" s="1"/>
  <c r="D1760" i="106" s="1"/>
  <c r="F34" i="34"/>
  <c r="G5" i="4"/>
  <c r="B3409" i="106" s="1"/>
  <c r="D3409" i="106" s="1"/>
  <c r="D11" i="37"/>
  <c r="F45" i="34"/>
  <c r="F41" i="34"/>
  <c r="D13" i="7"/>
  <c r="B3726" i="106" s="1"/>
  <c r="D3726" i="106" s="1"/>
  <c r="F46" i="34"/>
  <c r="F62" i="34"/>
  <c r="F42" i="34"/>
  <c r="F50" i="34"/>
  <c r="H29" i="118"/>
  <c r="D31" i="36"/>
  <c r="F36" i="34"/>
  <c r="B7047" i="106"/>
  <c r="D7047" i="106" s="1"/>
  <c r="B2836" i="106"/>
  <c r="D2836" i="106" s="1"/>
  <c r="F44" i="34"/>
  <c r="G29" i="108"/>
  <c r="F38" i="34"/>
  <c r="B7076" i="106"/>
  <c r="D7076" i="106" s="1"/>
  <c r="G34" i="108"/>
  <c r="G26" i="108"/>
  <c r="L13" i="11"/>
  <c r="B2060" i="106" s="1"/>
  <c r="D2060" i="106" s="1"/>
  <c r="L5" i="11"/>
  <c r="B2056" i="106" s="1"/>
  <c r="D2056" i="106" s="1"/>
  <c r="L22" i="37"/>
  <c r="D69" i="36"/>
  <c r="D68" i="36"/>
  <c r="H28" i="118"/>
  <c r="B1746" i="106"/>
  <c r="D1746" i="106" s="1"/>
  <c r="D14" i="4"/>
  <c r="B2570" i="106" s="1"/>
  <c r="D2570" i="106" s="1"/>
  <c r="B1126" i="106"/>
  <c r="D1126" i="106" s="1"/>
  <c r="F37" i="108"/>
  <c r="F71" i="34"/>
  <c r="E29" i="108"/>
  <c r="D37" i="108"/>
  <c r="D41" i="108" s="1"/>
  <c r="E43" i="108" s="1"/>
  <c r="L15" i="11"/>
  <c r="B3459" i="106" s="1"/>
  <c r="D3459" i="106" s="1"/>
  <c r="N22" i="3"/>
  <c r="B283" i="106" s="1"/>
  <c r="D283" i="106" s="1"/>
  <c r="D17" i="7"/>
  <c r="B4104" i="106" s="1"/>
  <c r="D4104" i="106" s="1"/>
  <c r="D9" i="7"/>
  <c r="B1767" i="106" s="1"/>
  <c r="D1767" i="106" s="1"/>
  <c r="H33" i="118"/>
  <c r="G15" i="145"/>
  <c r="G14" i="4"/>
  <c r="B2609" i="106" s="1"/>
  <c r="D2609" i="106" s="1"/>
  <c r="F70" i="34"/>
  <c r="E38" i="108"/>
  <c r="G30" i="108"/>
  <c r="F28" i="108"/>
  <c r="E26" i="108"/>
  <c r="B1274" i="106"/>
  <c r="D1274" i="106" s="1"/>
  <c r="F72" i="34"/>
  <c r="G38" i="108"/>
  <c r="E30" i="108"/>
  <c r="E28" i="108"/>
  <c r="B6995" i="106"/>
  <c r="D6995" i="106" s="1"/>
  <c r="B1223" i="106"/>
  <c r="D1223" i="106" s="1"/>
  <c r="D12" i="7"/>
  <c r="B1769" i="106" s="1"/>
  <c r="D1769" i="106" s="1"/>
  <c r="D7245" i="106"/>
  <c r="D6103" i="106"/>
  <c r="F21" i="8"/>
  <c r="H342" i="29"/>
  <c r="B7221" i="106" s="1"/>
  <c r="D7221" i="106" s="1"/>
  <c r="J210" i="29"/>
  <c r="B7072" i="106" s="1"/>
  <c r="D7072" i="106" s="1"/>
  <c r="B6289" i="106"/>
  <c r="D6289" i="106" s="1"/>
  <c r="J274" i="5"/>
  <c r="B7054" i="106" s="1"/>
  <c r="D7054" i="106" s="1"/>
  <c r="I210" i="29"/>
  <c r="B7235" i="106"/>
  <c r="D7235" i="106" s="1"/>
  <c r="B7231" i="106"/>
  <c r="D7231" i="106" s="1"/>
  <c r="K285" i="29"/>
  <c r="B3724" i="106" s="1"/>
  <c r="D3724" i="106" s="1"/>
  <c r="F77" i="4"/>
  <c r="B3255" i="106" s="1"/>
  <c r="D3255" i="106" s="1"/>
  <c r="B2724" i="106"/>
  <c r="D2724" i="106" s="1"/>
  <c r="I342" i="29"/>
  <c r="B7222" i="106" s="1"/>
  <c r="D7222" i="106" s="1"/>
  <c r="J129" i="29"/>
  <c r="B7038" i="106" s="1"/>
  <c r="D7038" i="106" s="1"/>
  <c r="B1329" i="106"/>
  <c r="D1329" i="106" s="1"/>
  <c r="F61" i="34"/>
  <c r="F127" i="34"/>
  <c r="H173" i="5"/>
  <c r="B5906" i="106" s="1"/>
  <c r="D5906" i="106" s="1"/>
  <c r="H76" i="4"/>
  <c r="B3298" i="106" s="1"/>
  <c r="D3298" i="106" s="1"/>
  <c r="D54" i="36"/>
  <c r="J41" i="3"/>
  <c r="B6216" i="106" s="1"/>
  <c r="D6216" i="106" s="1"/>
  <c r="K26" i="12"/>
  <c r="B7743" i="106" s="1"/>
  <c r="D7743" i="106" s="1"/>
  <c r="D7" i="7"/>
  <c r="B1763" i="106" s="1"/>
  <c r="D1763" i="106" s="1"/>
  <c r="D15" i="7"/>
  <c r="B1772" i="106" s="1"/>
  <c r="D1772" i="106" s="1"/>
  <c r="I24" i="12"/>
  <c r="F128" i="34"/>
  <c r="F106" i="34"/>
  <c r="K274" i="5"/>
  <c r="K7" i="4" s="1"/>
  <c r="B3718" i="106" s="1"/>
  <c r="D3718" i="106" s="1"/>
  <c r="D11" i="7"/>
  <c r="B1768" i="106" s="1"/>
  <c r="D1768" i="106" s="1"/>
  <c r="B4373" i="106"/>
  <c r="D4373" i="106" s="1"/>
  <c r="F131" i="34"/>
  <c r="G172" i="5"/>
  <c r="K76" i="4"/>
  <c r="B3586" i="106" s="1"/>
  <c r="D3586" i="106" s="1"/>
  <c r="K41" i="3"/>
  <c r="B3568" i="106" s="1"/>
  <c r="D3568" i="106" s="1"/>
  <c r="F136" i="34"/>
  <c r="F172" i="5"/>
  <c r="B5644" i="106" s="1"/>
  <c r="D5644" i="106" s="1"/>
  <c r="B7041" i="106"/>
  <c r="D7041" i="106" s="1"/>
  <c r="B5752" i="106"/>
  <c r="D5752" i="106" s="1"/>
  <c r="G109" i="5"/>
  <c r="D109" i="5"/>
  <c r="F111" i="34"/>
  <c r="H109" i="5"/>
  <c r="E109" i="5"/>
  <c r="E4" i="4" s="1"/>
  <c r="B2630" i="106" s="1"/>
  <c r="D2630" i="106" s="1"/>
  <c r="C109" i="5"/>
  <c r="B5121" i="106" s="1"/>
  <c r="D5121" i="106" s="1"/>
  <c r="C342" i="29"/>
  <c r="B7216" i="106" s="1"/>
  <c r="D7216" i="106" s="1"/>
  <c r="B3619" i="106"/>
  <c r="D3619" i="106" s="1"/>
  <c r="G352" i="29"/>
  <c r="G367" i="29" s="1"/>
  <c r="B3650" i="106" s="1"/>
  <c r="D3650" i="106" s="1"/>
  <c r="L367" i="29"/>
  <c r="L312" i="29"/>
  <c r="I129" i="29"/>
  <c r="B7037" i="106" s="1"/>
  <c r="D7037" i="106" s="1"/>
  <c r="D5" i="7"/>
  <c r="B1761" i="106" s="1"/>
  <c r="D1761" i="106" s="1"/>
  <c r="F19" i="7"/>
  <c r="B1807" i="106" s="1"/>
  <c r="D1807" i="106" s="1"/>
  <c r="B3621" i="106"/>
  <c r="D3621" i="106" s="1"/>
  <c r="C367" i="29"/>
  <c r="B3622" i="106" s="1"/>
  <c r="D3622" i="106" s="1"/>
  <c r="E174" i="29"/>
  <c r="B1309" i="106" s="1"/>
  <c r="D1309" i="106" s="1"/>
  <c r="B1410" i="106"/>
  <c r="D1410" i="106" s="1"/>
  <c r="L342" i="29"/>
  <c r="K350" i="29"/>
  <c r="K184" i="29"/>
  <c r="F13" i="4" s="1"/>
  <c r="B2596" i="106" s="1"/>
  <c r="D2596" i="106" s="1"/>
  <c r="H365" i="29"/>
  <c r="G210" i="29"/>
  <c r="K173" i="5"/>
  <c r="K6" i="4" s="1"/>
  <c r="B3570" i="106" s="1"/>
  <c r="D3570" i="106" s="1"/>
  <c r="C172" i="5"/>
  <c r="I173" i="5"/>
  <c r="B4216" i="106" s="1"/>
  <c r="D4216" i="106" s="1"/>
  <c r="F130" i="34"/>
  <c r="J77" i="4"/>
  <c r="B6262" i="106" s="1"/>
  <c r="D6262"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D7252" i="106" l="1"/>
  <c r="B5527" i="106"/>
  <c r="D5527" i="106" s="1"/>
  <c r="B1381" i="106"/>
  <c r="D1381" i="106" s="1"/>
  <c r="K28" i="118"/>
  <c r="O27" i="118" s="1"/>
  <c r="O29" i="118" s="1"/>
  <c r="H77" i="4"/>
  <c r="B3299" i="106" s="1"/>
  <c r="D3299" i="106" s="1"/>
  <c r="K365" i="29"/>
  <c r="B7243" i="106" s="1"/>
  <c r="D7243" i="106" s="1"/>
  <c r="N23" i="3"/>
  <c r="B284" i="106" s="1"/>
  <c r="D284" i="106" s="1"/>
  <c r="B3649" i="106"/>
  <c r="D3649" i="106" s="1"/>
  <c r="B1266" i="106"/>
  <c r="D1266" i="106" s="1"/>
  <c r="B1317" i="106"/>
  <c r="D1317" i="106" s="1"/>
  <c r="B1328" i="106"/>
  <c r="D1328" i="106" s="1"/>
  <c r="D7251" i="106"/>
  <c r="F41" i="108"/>
  <c r="G43" i="108" s="1"/>
  <c r="K77" i="4"/>
  <c r="B3587" i="106" s="1"/>
  <c r="D3587" i="106" s="1"/>
  <c r="J151" i="29"/>
  <c r="B7052" i="106" s="1"/>
  <c r="D7052" i="106" s="1"/>
  <c r="D7256" i="106"/>
  <c r="D7253" i="106"/>
  <c r="D7250" i="106"/>
  <c r="C4" i="4"/>
  <c r="B2551" i="106" s="1"/>
  <c r="D2551" i="106" s="1"/>
  <c r="B7071" i="106"/>
  <c r="D7071" i="106" s="1"/>
  <c r="F66" i="34"/>
  <c r="F73" i="34"/>
  <c r="G15" i="4"/>
  <c r="B6032" i="106" s="1"/>
  <c r="D6032" i="106" s="1"/>
  <c r="J7" i="4"/>
  <c r="B6222" i="106" s="1"/>
  <c r="D6222" i="106" s="1"/>
  <c r="D7254" i="106"/>
  <c r="D7255" i="106"/>
  <c r="B1879" i="106"/>
  <c r="D1879" i="106" s="1"/>
  <c r="H22" i="37"/>
  <c r="D274" i="5"/>
  <c r="D7" i="4" s="1"/>
  <c r="B6022" i="106"/>
  <c r="D6022" i="106" s="1"/>
  <c r="L16" i="11"/>
  <c r="B2061" i="106" s="1"/>
  <c r="D2061" i="106" s="1"/>
  <c r="D51" i="36"/>
  <c r="B3628" i="106"/>
  <c r="D3628" i="106" s="1"/>
  <c r="J16" i="4"/>
  <c r="B6226" i="106" s="1"/>
  <c r="D6226" i="106" s="1"/>
  <c r="I151" i="29"/>
  <c r="F59" i="34" s="1"/>
  <c r="H275" i="5"/>
  <c r="B5915" i="106" s="1"/>
  <c r="D5915" i="106" s="1"/>
  <c r="H6" i="4"/>
  <c r="B2656" i="106" s="1"/>
  <c r="D2656" i="106" s="1"/>
  <c r="B1365" i="106"/>
  <c r="D1365" i="106" s="1"/>
  <c r="F65" i="34"/>
  <c r="B6014" i="106"/>
  <c r="D6014" i="106" s="1"/>
  <c r="F173" i="5"/>
  <c r="D52" i="36"/>
  <c r="B1996" i="106"/>
  <c r="D1996" i="106" s="1"/>
  <c r="I26" i="12"/>
  <c r="B7741" i="106" s="1"/>
  <c r="D7741" i="106" s="1"/>
  <c r="G173" i="5"/>
  <c r="B5770" i="106"/>
  <c r="D5770" i="106" s="1"/>
  <c r="B5914" i="106"/>
  <c r="D5914" i="106" s="1"/>
  <c r="D44" i="36"/>
  <c r="B6025" i="106"/>
  <c r="D6025" i="106" s="1"/>
  <c r="H4" i="4"/>
  <c r="B5356" i="106"/>
  <c r="D5356" i="106" s="1"/>
  <c r="D4" i="4"/>
  <c r="B2564" i="106" s="1"/>
  <c r="D2564" i="106" s="1"/>
  <c r="B6024" i="106"/>
  <c r="D6024" i="106" s="1"/>
  <c r="G4" i="4"/>
  <c r="B2603" i="106" s="1"/>
  <c r="D2603" i="106" s="1"/>
  <c r="F274" i="5"/>
  <c r="B5719" i="106" s="1"/>
  <c r="D5719" i="106" s="1"/>
  <c r="K342" i="29"/>
  <c r="F13" i="34" s="1"/>
  <c r="L114" i="29"/>
  <c r="H367" i="29"/>
  <c r="B3660" i="106" s="1"/>
  <c r="D3660" i="106" s="1"/>
  <c r="B7242" i="106"/>
  <c r="D7242" i="106" s="1"/>
  <c r="C114" i="29"/>
  <c r="B757" i="106" s="1"/>
  <c r="D757" i="106" s="1"/>
  <c r="B3670" i="106"/>
  <c r="D3670" i="106" s="1"/>
  <c r="K352" i="29"/>
  <c r="D19" i="7"/>
  <c r="B1775" i="106" s="1"/>
  <c r="D177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7298" i="106"/>
  <c r="B7299" i="106"/>
  <c r="B7051" i="106" l="1"/>
  <c r="D7051" i="106" s="1"/>
  <c r="B5507" i="106"/>
  <c r="D5507" i="106" s="1"/>
  <c r="D275" i="5"/>
  <c r="F24" i="37"/>
  <c r="F275" i="5"/>
  <c r="B5720" i="106" s="1"/>
  <c r="D5720" i="106" s="1"/>
  <c r="B1145" i="106"/>
  <c r="D1145" i="106" s="1"/>
  <c r="J8" i="4"/>
  <c r="B6223" i="106" s="1"/>
  <c r="D6223" i="106" s="1"/>
  <c r="B5653" i="106"/>
  <c r="D5653" i="106" s="1"/>
  <c r="F6" i="4"/>
  <c r="B2593" i="106" s="1"/>
  <c r="D2593" i="106" s="1"/>
  <c r="G41" i="108"/>
  <c r="G44" i="108" s="1"/>
  <c r="G45" i="108" s="1"/>
  <c r="E41" i="108"/>
  <c r="E44" i="108" s="1"/>
  <c r="E45" i="108" s="1"/>
  <c r="B7224" i="106"/>
  <c r="D7224" i="106" s="1"/>
  <c r="J17" i="4"/>
  <c r="J19" i="4" s="1"/>
  <c r="B6229" i="106" s="1"/>
  <c r="D6229" i="106" s="1"/>
  <c r="B5778" i="106"/>
  <c r="D5778" i="106" s="1"/>
  <c r="G6" i="4"/>
  <c r="B2604" i="106" s="1"/>
  <c r="D2604" i="106" s="1"/>
  <c r="B5223" i="106"/>
  <c r="D5223" i="106" s="1"/>
  <c r="C6" i="4"/>
  <c r="B2553" i="106" s="1"/>
  <c r="D2553" i="106" s="1"/>
  <c r="B2655" i="106"/>
  <c r="D2655" i="106" s="1"/>
  <c r="H8" i="4"/>
  <c r="K367" i="29"/>
  <c r="B3678" i="106" s="1"/>
  <c r="D3678"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8" i="4" l="1"/>
  <c r="B2595" i="106" s="1"/>
  <c r="D2595" i="106" s="1"/>
  <c r="J10" i="4"/>
  <c r="B6225" i="106" s="1"/>
  <c r="D6225" i="106" s="1"/>
  <c r="J20" i="4"/>
  <c r="J78" i="4" s="1"/>
  <c r="K368" i="29"/>
  <c r="B3681" i="106" s="1"/>
  <c r="D3681" i="106" s="1"/>
  <c r="F76" i="34"/>
  <c r="K17" i="4"/>
  <c r="K20" i="4" s="1"/>
  <c r="F10" i="4"/>
  <c r="B4125" i="106" s="1"/>
  <c r="D4125" i="106" s="1"/>
  <c r="D8" i="4"/>
  <c r="D10" i="4" s="1"/>
  <c r="B4123" i="106" s="1"/>
  <c r="D4123" i="106" s="1"/>
  <c r="D8" i="146"/>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C8" i="146"/>
  <c r="B3575" i="106"/>
  <c r="D3575" i="106" s="1"/>
  <c r="K19" i="4"/>
  <c r="B4144" i="106" s="1"/>
  <c r="D4144" i="106" s="1"/>
  <c r="B2568" i="106"/>
  <c r="D2568" i="106" s="1"/>
  <c r="H13" i="118"/>
  <c r="D20" i="4"/>
  <c r="D78" i="4"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B2574" i="106"/>
  <c r="D2574"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<sst xmlns="http://schemas.openxmlformats.org/spreadsheetml/2006/main" count="5032" uniqueCount="2104">
  <si>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</si>
  <si>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</si>
  <si>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</si>
  <si>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</si>
  <si>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</si>
  <si>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</si>
  <si>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</si>
  <si>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</si>
  <si>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</si>
  <si>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</si>
  <si>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</si>
  <si>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</si>
  <si>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</si>
  <si>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</si>
  <si>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</si>
  <si>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</si>
  <si>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</si>
  <si>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</si>
  <si>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</si>
  <si>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</si>
  <si>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</si>
  <si>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</si>
  <si>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</si>
  <si>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</si>
  <si>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</si>
  <si>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</si>
  <si>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</si>
  <si>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</si>
  <si>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</si>
  <si>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</si>
  <si>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</si>
  <si>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</si>
  <si>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</si>
  <si>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</si>
  <si>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</si>
  <si>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</si>
  <si>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</si>
  <si>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</si>
  <si>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</si>
  <si>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</si>
  <si>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</si>
  <si>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</si>
  <si>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</si>
  <si>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</si>
  <si>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</si>
  <si>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</si>
  <si>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</si>
  <si>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</si>
  <si>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</si>
  <si>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</si>
  <si>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</si>
  <si>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</si>
  <si>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</si>
  <si>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</si>
  <si>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</si>
  <si>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</si>
  <si>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</si>
  <si>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</si>
  <si>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</si>
  <si>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</si>
  <si>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</si>
  <si>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</si>
  <si>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</si>
  <si>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</si>
  <si>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</si>
  <si>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</si>
  <si>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</si>
  <si>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</si>
  <si>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</si>
  <si>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</si>
  <si>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</si>
  <si>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</si>
  <si>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</si>
  <si>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</si>
  <si>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</si>
  <si>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</si>
  <si>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</si>
  <si>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</si>
  <si>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</si>
  <si>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</si>
  <si>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</si>
  <si>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</si>
  <si>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</si>
  <si>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</si>
  <si>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</si>
  <si>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</si>
  <si>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</si>
  <si>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</si>
  <si>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</si>
  <si>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</si>
  <si>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</si>
  <si>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</si>
  <si>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</si>
  <si>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</si>
  <si>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</si>
  <si>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</si>
  <si>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</si>
  <si>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</si>
  <si>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</si>
  <si>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</si>
  <si>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</si>
  <si>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</si>
  <si>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</si>
  <si>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</si>
  <si>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</si>
  <si>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</si>
  <si>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</si>
  <si>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</si>
  <si>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</si>
  <si>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</si>
  <si>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</si>
  <si>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</si>
  <si>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</si>
  <si>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</si>
  <si>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</si>
  <si>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</si>
  <si>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</si>
  <si>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</si>
  <si>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</si>
  <si>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</si>
  <si>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</si>
  <si>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</si>
  <si>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</si>
  <si>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</si>
  <si>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</si>
  <si>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</si>
  <si>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</si>
  <si>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</si>
  <si>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</si>
  <si>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</si>
  <si>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</si>
  <si>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</si>
  <si>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</si>
  <si>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</si>
  <si>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</si>
  <si>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</si>
  <si>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</si>
  <si>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</si>
  <si>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</si>
  <si>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</si>
  <si>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</si>
  <si>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</si>
  <si>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</si>
  <si>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</si>
  <si>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</si>
  <si>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</si>
  <si>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</si>
  <si>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</si>
  <si>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</si>
  <si>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</si>
  <si>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</si>
  <si>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</si>
  <si>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</si>
  <si>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</si>
  <si>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</si>
  <si>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</si>
  <si>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</si>
  <si>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</si>
  <si>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</si>
  <si>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</si>
  <si>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</si>
  <si>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</si>
  <si>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</si>
  <si>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</si>
  <si>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</si>
  <si>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</si>
  <si>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</si>
  <si>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</si>
  <si>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</si>
  <si>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</si>
  <si>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</si>
  <si>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</si>
  <si>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</si>
  <si>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</si>
  <si>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</si>
  <si>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</si>
  <si>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</si>
  <si>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</si>
  <si>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</si>
  <si>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</si>
  <si>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</si>
  <si>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</si>
  <si>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</si>
  <si>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</si>
  <si>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</si>
  <si>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</si>
  <si>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</si>
  <si>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</si>
  <si>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</si>
  <si>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</si>
  <si>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</si>
  <si>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</si>
  <si>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</si>
  <si>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</si>
  <si>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</si>
  <si>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</si>
  <si>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</si>
  <si>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</si>
  <si>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</si>
  <si>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</si>
  <si>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</si>
  <si>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</si>
  <si>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</si>
  <si>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</si>
  <si>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</si>
  <si>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</si>
  <si>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</si>
  <si>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</si>
  <si>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</si>
  <si>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</si>
  <si>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</si>
  <si>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</si>
  <si>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</si>
  <si>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</si>
  <si>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</si>
  <si>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</si>
  <si>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</si>
  <si>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</si>
  <si>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</si>
  <si>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</si>
  <si>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</si>
  <si>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</si>
  <si>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</si>
  <si>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</si>
  <si>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</si>
  <si>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</si>
  <si>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</si>
  <si>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</si>
  <si>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</si>
  <si>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</si>
  <si>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</si>
  <si>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</si>
  <si>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</si>
  <si>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</si>
  <si>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</si>
  <si>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</si>
  <si>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</si>
  <si>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</si>
  <si>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</si>
  <si>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</si>
  <si>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</si>
  <si>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</si>
  <si>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</si>
  <si>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</si>
  <si>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</si>
  <si>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</si>
  <si>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</si>
  <si>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</si>
  <si>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</si>
  <si>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</si>
  <si>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</si>
  <si>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</si>
  <si>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</si>
  <si>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</si>
  <si>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</si>
  <si>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</si>
  <si>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</si>
  <si>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</si>
  <si>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</si>
  <si>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</si>
  <si>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</si>
  <si>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</si>
  <si>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</si>
  <si>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</si>
  <si>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</si>
  <si>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</si>
  <si>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</si>
  <si>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</si>
  <si>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</si>
  <si>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</si>
  <si>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</si>
  <si>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</si>
  <si>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</si>
  <si>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</si>
  <si>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</si>
  <si>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</si>
  <si>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</si>
  <si>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</si>
  <si>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</si>
  <si>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</si>
  <si>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</si>
  <si>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</si>
  <si>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</si>
  <si>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</si>
  <si>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</si>
  <si>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</si>
  <si>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</si>
  <si>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</si>
  <si>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</si>
  <si>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</si>
  <si>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</si>
  <si>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</si>
  <si>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</si>
  <si>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</si>
  <si>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</si>
  <si>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</si>
  <si>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</si>
  <si>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</si>
  <si>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</si>
  <si>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</si>
  <si>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</si>
  <si>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</si>
  <si>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</si>
  <si>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</si>
  <si>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</si>
  <si>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</si>
  <si>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</si>
  <si>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</si>
  <si>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</si>
  <si>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</si>
  <si>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</si>
  <si>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</si>
  <si>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</si>
  <si>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</si>
  <si>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</si>
  <si>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</si>
  <si>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</si>
  <si>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</si>
  <si>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</si>
  <si>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</si>
  <si>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</si>
  <si>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</si>
  <si>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</si>
  <si>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</si>
  <si>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</si>
  <si>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</si>
  <si>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</si>
  <si>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</si>
  <si>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</si>
  <si>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</si>
  <si>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</si>
  <si>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</si>
  <si>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</si>
  <si>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</si>
  <si>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</si>
  <si>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</si>
  <si>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</si>
  <si>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</si>
  <si>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</si>
  <si>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</si>
  <si>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</si>
  <si>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</si>
  <si>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</si>
  <si>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</si>
  <si>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</si>
  <si>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</si>
  <si>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</si>
  <si>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</si>
  <si>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</si>
  <si>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</si>
  <si>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</si>
  <si>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</si>
  <si>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</si>
  <si>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</si>
  <si>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</si>
  <si>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</si>
  <si>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</si>
  <si>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</si>
  <si>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</si>
  <si>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</si>
  <si>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</si>
  <si>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</si>
  <si>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</si>
  <si>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</si>
  <si>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</si>
  <si>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</si>
  <si>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</si>
  <si>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</si>
  <si>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</si>
  <si>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</si>
  <si>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</si>
  <si>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</si>
  <si>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</si>
  <si>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</si>
  <si>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</si>
  <si>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</si>
  <si>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</si>
  <si>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</si>
  <si>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</si>
  <si>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</si>
  <si>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</si>
  <si>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</si>
  <si>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</si>
  <si>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</si>
  <si>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</si>
  <si>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</si>
  <si>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</si>
  <si>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</si>
  <si>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</si>
  <si>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</si>
  <si>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</si>
  <si>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</si>
  <si>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</si>
  <si>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</si>
  <si>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</si>
  <si>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</si>
  <si>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</si>
  <si>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</si>
  <si>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</si>
  <si>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</si>
  <si>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</si>
  <si>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</si>
  <si>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</si>
  <si>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</si>
  <si>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</si>
  <si>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</si>
  <si>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</si>
  <si>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</si>
  <si>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</si>
  <si>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</si>
  <si>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</si>
  <si>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</si>
  <si>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</si>
  <si>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</si>
  <si>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</si>
  <si>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</si>
  <si>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</si>
  <si>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</si>
  <si>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</si>
  <si>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</si>
  <si>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</si>
  <si>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</si>
  <si>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</si>
  <si>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</si>
  <si>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</si>
  <si>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</si>
  <si>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</si>
  <si>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</si>
  <si>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</si>
  <si>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</si>
  <si>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</si>
  <si>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</si>
  <si>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</si>
  <si>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</si>
  <si>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</si>
  <si>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</si>
  <si>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</si>
  <si>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</si>
  <si>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</si>
  <si>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</si>
  <si>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</si>
  <si>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</si>
  <si>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</si>
  <si>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</si>
  <si>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</si>
  <si>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</si>
  <si>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</si>
  <si>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</si>
  <si>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</si>
  <si>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</si>
  <si>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</si>
  <si>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</si>
  <si>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</si>
  <si>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</si>
  <si>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</si>
  <si>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</si>
  <si>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</si>
  <si>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</si>
  <si>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</si>
  <si>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</si>
  <si>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</si>
  <si>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</si>
  <si>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</si>
  <si>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</si>
  <si>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</si>
  <si>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</si>
  <si>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</si>
  <si>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</si>
  <si>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</si>
  <si>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</si>
  <si>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</si>
  <si>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</si>
  <si>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</si>
  <si>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</si>
  <si>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</si>
  <si>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</si>
  <si>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</si>
  <si>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</si>
  <si>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</si>
  <si>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</si>
  <si>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</si>
  <si>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</si>
  <si>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</si>
  <si>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</si>
  <si>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</si>
  <si>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</si>
  <si>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</si>
  <si>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</si>
  <si>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</si>
  <si>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</si>
  <si>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</si>
  <si>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</si>
  <si>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</si>
  <si>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</si>
  <si>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</si>
  <si>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</si>
  <si>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</si>
  <si>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</si>
  <si>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</si>
  <si>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</si>
  <si>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</si>
  <si>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</si>
  <si>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</si>
  <si>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</si>
  <si>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</si>
  <si>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</si>
  <si>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</si>
  <si>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</si>
  <si>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</si>
  <si>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</si>
  <si>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</si>
  <si>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</si>
  <si>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</si>
  <si>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</si>
  <si>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</si>
  <si>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</si>
  <si>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</si>
  <si>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</si>
  <si>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</si>
  <si>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</si>
  <si>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</si>
  <si>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</si>
  <si>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</si>
  <si>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</si>
  <si>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</si>
  <si>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</si>
  <si>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</si>
  <si>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</si>
  <si>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</si>
  <si>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</si>
  <si>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</si>
  <si>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</si>
  <si>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</si>
  <si>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</si>
  <si>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</si>
  <si>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</si>
  <si>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</si>
  <si>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</si>
  <si>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</si>
  <si>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</si>
  <si>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</si>
  <si>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</si>
  <si>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</si>
  <si>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</si>
  <si>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</si>
  <si>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</si>
  <si>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</si>
  <si>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</si>
  <si>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</si>
  <si>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</si>
  <si>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</si>
  <si>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</si>
  <si>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</si>
  <si>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</si>
  <si>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</si>
  <si>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</si>
  <si>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</si>
  <si>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</si>
  <si>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</si>
  <si>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</si>
  <si>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</si>
  <si>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</si>
  <si>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</si>
  <si>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</si>
  <si>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</si>
  <si>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</si>
  <si>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</si>
  <si>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</si>
  <si>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</si>
  <si>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</si>
  <si>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</si>
  <si>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</si>
  <si>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</si>
  <si>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</si>
  <si>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</si>
  <si>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</si>
  <si>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</si>
  <si>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</si>
  <si>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</si>
  <si>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</si>
  <si>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</si>
  <si>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</si>
  <si>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</si>
  <si>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</si>
  <si>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</si>
  <si>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</si>
  <si>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</si>
  <si>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</si>
  <si>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</si>
  <si>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</si>
  <si>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</si>
  <si>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</si>
  <si>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</si>
  <si>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</si>
  <si>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</si>
  <si>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</si>
  <si>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</si>
  <si>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</si>
  <si>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</si>
  <si>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</si>
  <si>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</si>
  <si>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</si>
  <si>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</si>
  <si>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</si>
  <si>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</si>
  <si>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</si>
  <si>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</si>
  <si>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</si>
  <si>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</si>
  <si>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</si>
  <si>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</si>
  <si>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</si>
  <si>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</si>
  <si>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</si>
  <si>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</si>
  <si>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</si>
  <si>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</si>
  <si>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</si>
  <si>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</si>
  <si>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</si>
  <si>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</si>
  <si>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</si>
  <si>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</si>
  <si>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</si>
  <si>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</si>
  <si>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</si>
  <si>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</si>
  <si>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</si>
  <si>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</si>
  <si>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</si>
  <si>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</si>
  <si>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</si>
  <si>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</si>
  <si>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</si>
  <si>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</si>
  <si>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</si>
  <si>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</si>
  <si>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</si>
  <si>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</si>
  <si>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</si>
  <si>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</si>
  <si>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</si>
  <si>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</si>
  <si>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</si>
  <si>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</si>
  <si>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</si>
  <si>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</si>
  <si>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</si>
  <si>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</si>
  <si>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</si>
  <si>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</si>
  <si>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</si>
  <si>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</si>
  <si>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</si>
  <si>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</si>
  <si>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</si>
  <si>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</si>
  <si>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</si>
  <si>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</si>
  <si>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</si>
  <si>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</si>
  <si>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</si>
  <si>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</si>
  <si>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</si>
  <si>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</si>
  <si>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</si>
  <si>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</si>
  <si>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</si>
  <si>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</si>
  <si>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</si>
  <si>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</si>
  <si>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</si>
  <si>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</si>
  <si>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</si>
  <si>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</si>
  <si>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</si>
  <si>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</si>
  <si>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</si>
  <si>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</si>
  <si>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</si>
  <si>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</si>
  <si>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</si>
  <si>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</si>
  <si>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</si>
  <si>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</si>
  <si>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</si>
  <si>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</si>
  <si>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</si>
  <si>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</si>
  <si>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</si>
  <si>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</si>
  <si>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</si>
  <si>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</si>
  <si>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</si>
  <si>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</si>
  <si>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</si>
  <si>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</si>
  <si>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</si>
  <si>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</si>
  <si>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</si>
  <si>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</si>
  <si>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</si>
  <si>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</si>
  <si>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</si>
  <si>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</si>
  <si>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</si>
  <si>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</si>
  <si>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</si>
  <si>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</si>
  <si>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</si>
  <si>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</si>
  <si>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</si>
  <si>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</si>
  <si>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</si>
  <si>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</si>
  <si>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</si>
  <si>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</si>
  <si>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</si>
  <si>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</si>
  <si>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</si>
  <si>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</si>
  <si>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</si>
  <si>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</si>
  <si>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</si>
  <si>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</si>
  <si>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</si>
  <si>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</si>
  <si>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</si>
  <si>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</si>
  <si>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</si>
  <si>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</si>
  <si>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</si>
  <si>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</si>
  <si>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</si>
  <si>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</si>
  <si>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</si>
  <si>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</si>
  <si>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</si>
  <si>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</si>
  <si>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</si>
  <si>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</si>
  <si>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</si>
  <si>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</si>
  <si>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</si>
  <si>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</si>
  <si>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</si>
  <si>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</si>
  <si>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</si>
  <si>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</si>
  <si>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</si>
  <si>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</si>
  <si>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</si>
  <si>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</si>
  <si>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</si>
  <si>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</si>
  <si>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</si>
  <si>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</si>
  <si>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</si>
  <si>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</si>
  <si>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</si>
  <si>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</si>
  <si>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</si>
  <si>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</si>
  <si>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</si>
  <si>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</si>
  <si>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</si>
  <si>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</si>
  <si>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</si>
  <si>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</si>
  <si>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</si>
  <si>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</si>
  <si>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</si>
  <si>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</si>
  <si>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</si>
  <si>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</si>
  <si>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</si>
  <si>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</si>
  <si>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</si>
  <si>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</si>
  <si>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</si>
  <si>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</si>
  <si>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</si>
  <si>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</si>
  <si>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</si>
  <si>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</si>
  <si>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</si>
  <si>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</si>
  <si>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</si>
  <si>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</si>
  <si>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</si>
  <si>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</si>
  <si>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</si>
  <si>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</si>
  <si>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</si>
  <si>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</si>
  <si>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</si>
  <si>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</si>
  <si>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</si>
  <si>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</si>
  <si>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</si>
  <si>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</si>
  <si>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</si>
  <si>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</si>
  <si>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</si>
  <si>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</si>
  <si>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</si>
  <si>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</si>
  <si>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</si>
  <si>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</si>
  <si>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</si>
  <si>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</si>
  <si>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</si>
  <si>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</si>
  <si>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</si>
  <si>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</si>
  <si>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</si>
  <si>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</si>
  <si>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</si>
  <si>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</si>
  <si>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</si>
  <si>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</si>
  <si>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</si>
  <si>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</si>
  <si>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</si>
  <si>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</si>
  <si>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</si>
  <si>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</si>
  <si>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</si>
  <si>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</si>
  <si>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</si>
  <si>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</si>
  <si>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</si>
  <si>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</si>
  <si>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</si>
  <si>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</si>
  <si>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</si>
  <si>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</si>
  <si>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</si>
  <si>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</si>
  <si>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</si>
  <si>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</si>
  <si>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</si>
  <si>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</si>
  <si>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</si>
  <si>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</si>
  <si>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</si>
  <si>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</si>
  <si>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</si>
  <si>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</si>
  <si>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</si>
  <si>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</si>
  <si>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</si>
  <si>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</si>
  <si>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</si>
  <si>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</si>
  <si>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</si>
  <si>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</si>
  <si>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</si>
  <si>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</si>
  <si>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</si>
  <si>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</si>
  <si>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</si>
  <si>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</si>
  <si>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</si>
  <si>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</si>
  <si>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</si>
  <si>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</si>
  <si>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</si>
  <si>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</si>
  <si>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</si>
  <si>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</si>
  <si>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</si>
  <si>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</si>
  <si>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</si>
  <si>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</si>
  <si>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</si>
  <si>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</si>
  <si>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</si>
  <si>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</si>
  <si>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</si>
  <si>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</si>
  <si>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</si>
  <si>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</si>
  <si>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</si>
  <si>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</si>
  <si>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</si>
  <si>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</si>
  <si>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</si>
  <si>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</si>
  <si>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</si>
  <si>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</si>
  <si>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</si>
  <si>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</si>
  <si>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</si>
  <si>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</si>
  <si>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</si>
  <si>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</si>
  <si>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</si>
  <si>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</si>
  <si>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</si>
  <si>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</si>
  <si>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</si>
  <si>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</si>
  <si>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</si>
  <si>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</si>
  <si>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</si>
  <si>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</si>
  <si>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</si>
  <si>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</si>
  <si>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</si>
  <si>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</si>
  <si>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</si>
  <si>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</si>
  <si>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</si>
  <si>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</si>
  <si>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</si>
  <si>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</si>
  <si>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</si>
  <si>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</si>
  <si>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</si>
  <si>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</si>
  <si>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</si>
  <si>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</si>
  <si>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</si>
  <si>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</si>
  <si>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</si>
  <si>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</si>
  <si>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</si>
  <si>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</si>
  <si>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</si>
  <si>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</si>
  <si>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</si>
  <si>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</si>
  <si>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</si>
  <si>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</si>
  <si>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</si>
  <si>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</si>
  <si>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</si>
  <si>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</si>
  <si>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</si>
  <si>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</si>
  <si>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</si>
  <si>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</si>
  <si>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</si>
  <si>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</si>
  <si>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</si>
  <si>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</si>
  <si>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</si>
  <si>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</si>
  <si>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</si>
  <si>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</si>
  <si>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</si>
  <si>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</si>
  <si>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</si>
  <si>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</si>
  <si>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</si>
  <si>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</si>
  <si>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</si>
  <si>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</si>
  <si>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</si>
  <si>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</si>
  <si>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</si>
  <si>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</si>
  <si>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</si>
  <si>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</si>
  <si>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</si>
  <si>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</si>
  <si>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</si>
  <si>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</si>
  <si>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</si>
  <si>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</si>
  <si>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</si>
  <si>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</si>
  <si>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</si>
  <si>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</si>
  <si>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</si>
  <si>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</si>
  <si>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</si>
  <si>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</si>
  <si>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</si>
  <si>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</si>
  <si>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</si>
  <si>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</si>
  <si>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</si>
  <si>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</si>
  <si>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</si>
  <si>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</si>
  <si>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</si>
  <si>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</si>
  <si>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</si>
  <si>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</si>
  <si>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</si>
  <si>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</si>
  <si>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</si>
  <si>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</si>
  <si>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</si>
  <si>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</si>
  <si>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</si>
  <si>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</si>
  <si>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</si>
  <si>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</si>
  <si>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</si>
  <si>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</si>
  <si>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</si>
  <si>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</si>
  <si>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</si>
  <si>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</si>
  <si>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</si>
  <si>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</si>
  <si>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</si>
  <si>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</si>
  <si>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</si>
  <si>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</si>
  <si>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</si>
  <si>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</si>
  <si>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</si>
  <si>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</si>
  <si>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</si>
  <si>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</si>
  <si>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</si>
  <si>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</si>
  <si>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</si>
  <si>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</si>
  <si>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</si>
  <si>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</si>
  <si>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</si>
  <si>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</si>
  <si>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</si>
  <si>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</si>
  <si>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</si>
  <si>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</si>
  <si>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</si>
  <si>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</si>
  <si>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</si>
  <si>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</si>
  <si>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</si>
  <si>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</si>
  <si>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</si>
  <si>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</si>
  <si>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</si>
  <si>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</si>
  <si>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</si>
  <si>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</si>
  <si>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</si>
  <si>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</si>
  <si>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</si>
  <si>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</si>
  <si>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</si>
  <si>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</si>
  <si>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</si>
  <si>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</si>
  <si>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</si>
  <si>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</si>
  <si>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</si>
  <si>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</si>
  <si>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</si>
  <si>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</si>
  <si>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</si>
  <si>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</si>
  <si>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</si>
  <si>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</si>
  <si>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</si>
  <si>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</si>
  <si>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</si>
  <si>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</si>
  <si>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</si>
  <si>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</si>
  <si>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</si>
  <si>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</si>
  <si>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</si>
  <si>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</si>
  <si>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</si>
  <si>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</si>
  <si>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</si>
  <si>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</si>
  <si>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</si>
  <si>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</si>
  <si>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</si>
  <si>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</si>
  <si>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</si>
  <si>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</si>
  <si>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</si>
  <si>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</si>
  <si>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</si>
  <si>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</si>
  <si>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</si>
  <si>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</si>
  <si>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</si>
  <si>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</si>
  <si>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</si>
  <si>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</si>
  <si>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</si>
  <si>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</si>
  <si>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</si>
  <si>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</si>
  <si>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</si>
  <si>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</si>
  <si>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</si>
  <si>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</si>
  <si>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</si>
  <si>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</si>
  <si>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</si>
  <si>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</si>
  <si>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</si>
  <si>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</si>
  <si>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</si>
  <si>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</si>
  <si>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</si>
  <si>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</si>
  <si>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</si>
  <si>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</si>
  <si>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</si>
  <si>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</si>
  <si>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</si>
  <si>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</si>
  <si>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</si>
  <si>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</si>
  <si>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</si>
  <si>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</si>
  <si>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</si>
  <si>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</si>
  <si>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</si>
  <si>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</si>
  <si>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</si>
  <si>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</si>
  <si>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</si>
  <si>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</si>
  <si>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</si>
  <si>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</si>
  <si>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</si>
  <si>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</si>
  <si>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</si>
  <si>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</si>
  <si>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</si>
  <si>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</si>
  <si>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</si>
  <si>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</si>
  <si>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</si>
  <si>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</si>
  <si>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</si>
  <si>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</si>
  <si>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</si>
  <si>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</si>
  <si>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</si>
  <si>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</si>
  <si>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</si>
  <si>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</si>
  <si>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</si>
  <si>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</si>
  <si>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</si>
  <si>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</si>
  <si>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</si>
  <si>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</si>
  <si>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</si>
  <si>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</si>
  <si>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</si>
  <si>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</si>
  <si>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</si>
  <si>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</si>
  <si>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</si>
  <si>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</si>
  <si>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</si>
  <si>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</si>
  <si>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</si>
  <si>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</si>
  <si>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</si>
  <si>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</si>
  <si>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</si>
  <si>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</si>
  <si>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</si>
  <si>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</si>
  <si>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</si>
  <si>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</si>
  <si>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</si>
  <si>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</si>
  <si>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</si>
  <si>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</si>
  <si>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</si>
  <si>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</si>
  <si>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</si>
  <si>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</si>
  <si>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</si>
  <si>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</si>
  <si>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</si>
  <si>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</si>
  <si>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</si>
  <si>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</si>
  <si>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</si>
  <si>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</si>
  <si>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</si>
  <si>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</si>
  <si>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</si>
  <si>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</si>
  <si>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</si>
  <si>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</si>
  <si>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</si>
  <si>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</si>
  <si>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</si>
  <si>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</si>
  <si>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</si>
  <si>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</si>
  <si>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</si>
  <si>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</si>
  <si>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</si>
  <si>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</si>
  <si>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</si>
  <si>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</si>
  <si>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</si>
  <si>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</si>
  <si>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</si>
  <si>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</si>
  <si>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</si>
  <si>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</si>
  <si>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</si>
  <si>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</si>
  <si>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</si>
  <si>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</si>
  <si>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</si>
  <si>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</si>
  <si>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</si>
  <si>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</si>
  <si>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</si>
  <si>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</si>
  <si>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</si>
  <si>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</si>
  <si>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</si>
  <si>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</si>
  <si>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</si>
  <si>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</si>
  <si>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</si>
  <si>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</si>
  <si>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</si>
  <si>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</si>
  <si>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</si>
  <si>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</si>
  <si>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</si>
  <si>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</si>
  <si>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</si>
  <si>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</si>
  <si>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</si>
  <si>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</si>
  <si>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</si>
  <si>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</si>
  <si>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</si>
  <si>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</si>
  <si>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</si>
  <si>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</si>
  <si>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</si>
  <si>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</si>
  <si>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</si>
  <si>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</si>
  <si>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</si>
  <si>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</si>
  <si>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</si>
  <si>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</si>
  <si>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</si>
  <si>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</si>
  <si>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</si>
  <si>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</si>
  <si>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</si>
  <si>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</si>
  <si>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</si>
  <si>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</si>
  <si>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</si>
  <si>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</si>
  <si>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</si>
  <si>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</si>
  <si>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</si>
  <si>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</si>
  <si>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</si>
  <si>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</si>
  <si>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</si>
  <si>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</si>
  <si>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</si>
  <si>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</si>
  <si>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</si>
  <si>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</si>
  <si>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</si>
  <si>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</si>
  <si>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</si>
  <si>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</si>
  <si>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</si>
  <si>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</si>
  <si>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</si>
  <si>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</si>
  <si>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</si>
  <si>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</si>
  <si>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</si>
  <si>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</si>
  <si>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</si>
  <si>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</si>
  <si>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</si>
  <si>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</si>
  <si>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</si>
  <si>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</si>
  <si>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</si>
  <si>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</si>
  <si>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</si>
  <si>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</si>
  <si>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</si>
  <si>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</si>
  <si>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</si>
  <si>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</si>
  <si>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</si>
  <si>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</si>
  <si>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</si>
  <si>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</si>
  <si>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</si>
  <si>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</si>
  <si>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</si>
  <si>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</si>
  <si>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</si>
  <si>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</si>
  <si>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</si>
  <si>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</si>
  <si>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</si>
  <si>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</si>
  <si>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</si>
  <si>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</si>
  <si>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</si>
  <si>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</si>
  <si>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</si>
  <si>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</si>
  <si>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</si>
  <si>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</si>
  <si>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</si>
  <si>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</si>
  <si>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</si>
  <si>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</si>
  <si>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</si>
  <si>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</si>
  <si>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</si>
  <si>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</si>
  <si>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</si>
  <si>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</si>
  <si>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</si>
  <si>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</si>
  <si>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</si>
  <si>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</si>
  <si>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</si>
  <si>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</si>
  <si>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</si>
  <si>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</si>
  <si>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</si>
  <si>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</si>
  <si>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</si>
  <si>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</si>
  <si>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</si>
  <si>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</si>
  <si>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</si>
  <si>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</si>
  <si>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</si>
  <si>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</si>
  <si>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</si>
  <si>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</si>
  <si>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</si>
  <si>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</si>
  <si>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</si>
  <si>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</si>
  <si>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</si>
  <si>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</si>
  <si>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</si>
  <si>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</si>
  <si>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</si>
  <si>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</si>
  <si>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</si>
  <si>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</si>
  <si>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</si>
  <si>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</si>
  <si>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</si>
  <si>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</si>
  <si>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</si>
  <si>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</si>
  <si>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</si>
  <si>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</si>
  <si>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</si>
  <si>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</si>
  <si>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</si>
  <si>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</si>
  <si>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</si>
  <si>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</si>
  <si>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</si>
  <si>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</si>
  <si>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</si>
  <si>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</si>
  <si>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</si>
  <si>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</si>
  <si>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</si>
  <si>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</si>
  <si>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</si>
  <si>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</si>
  <si>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</si>
  <si>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</si>
  <si>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</si>
  <si>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</si>
  <si>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</si>
  <si>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</si>
  <si>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</si>
  <si>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</si>
  <si>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</si>
  <si>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</si>
  <si>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</si>
  <si>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</si>
  <si>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</si>
  <si>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</si>
  <si>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</si>
  <si>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</si>
  <si>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</si>
  <si>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</si>
  <si>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</si>
  <si>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</si>
  <si>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</si>
  <si>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</si>
  <si>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</si>
  <si>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</si>
  <si>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</si>
  <si>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</si>
  <si>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</si>
  <si>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</si>
  <si>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</si>
  <si>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</si>
  <si>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</si>
  <si>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</si>
  <si>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</si>
  <si>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</si>
  <si>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</si>
  <si>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</si>
  <si>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</si>
  <si>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</si>
  <si>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</si>
  <si>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</si>
  <si>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</si>
  <si>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</si>
  <si>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</si>
  <si>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</si>
  <si>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</si>
  <si>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</si>
  <si>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</si>
  <si>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</si>
  <si>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</si>
  <si>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</si>
  <si>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</si>
  <si>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</si>
  <si>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</si>
  <si>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</si>
  <si>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</si>
  <si>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</si>
  <si>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</si>
  <si>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</si>
  <si>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</si>
  <si>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</si>
  <si>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</si>
  <si>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</si>
  <si>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</si>
  <si>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</si>
  <si>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</si>
  <si>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</si>
  <si>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</si>
  <si>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</si>
  <si>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</si>
  <si>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</si>
  <si>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</si>
  <si>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</si>
  <si>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</si>
  <si>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</si>
  <si>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</si>
  <si>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</si>
  <si>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</si>
  <si>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</si>
  <si>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</si>
  <si>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</si>
  <si>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</si>
  <si>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</si>
  <si>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</si>
  <si>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</si>
  <si>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</si>
  <si>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</si>
  <si>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</si>
  <si>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</si>
  <si>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</si>
  <si>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</si>
  <si>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</si>
  <si>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</si>
  <si>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</si>
  <si>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</si>
  <si>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</si>
  <si>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</si>
  <si>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</si>
  <si>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</si>
  <si>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</si>
  <si>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</si>
  <si>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</si>
  <si>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</si>
  <si>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</si>
  <si>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</si>
  <si>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</si>
  <si>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</si>
  <si>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</si>
  <si>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</si>
  <si>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</si>
  <si>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</si>
  <si>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</si>
  <si>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</si>
  <si>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</si>
  <si>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</si>
  <si>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</si>
  <si>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</si>
  <si>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</si>
  <si>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</si>
  <si>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</si>
  <si>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</si>
  <si>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</si>
  <si>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</si>
  <si>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</si>
  <si>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</si>
  <si>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</si>
  <si>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</si>
  <si>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</si>
  <si>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</si>
  <si>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</si>
  <si>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</si>
  <si>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</si>
  <si>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</si>
  <si>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</si>
  <si>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</si>
  <si>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</si>
  <si>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</si>
  <si>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</si>
  <si>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</si>
  <si>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</si>
  <si>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</si>
  <si>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</si>
  <si>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</si>
  <si>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</si>
  <si>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</si>
  <si>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</si>
  <si>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</si>
  <si>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</si>
  <si>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</si>
  <si>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</si>
  <si>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</si>
  <si>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</si>
  <si>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</si>
  <si>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</si>
  <si>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</si>
  <si>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</si>
  <si>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</si>
  <si>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</si>
  <si>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</si>
  <si>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</si>
  <si>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</si>
  <si>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</si>
  <si>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</si>
  <si>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</si>
  <si>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</si>
  <si>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</si>
  <si>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</si>
  <si>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</si>
  <si>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</si>
  <si>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</si>
  <si>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</si>
  <si>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</si>
  <si>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</si>
  <si>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</si>
  <si>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</si>
  <si>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</si>
  <si>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</si>
  <si>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</si>
  <si>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</si>
  <si>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</si>
  <si>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</si>
  <si>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</si>
  <si>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</si>
  <si>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</si>
  <si>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</si>
  <si>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</si>
  <si>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</si>
  <si>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</si>
  <si>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</si>
  <si>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</si>
  <si>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</si>
  <si>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</si>
  <si>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</si>
  <si>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</si>
  <si>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</si>
  <si>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</si>
  <si>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</si>
  <si>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</si>
  <si>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</si>
  <si>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</si>
  <si>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</si>
  <si>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</si>
  <si>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</si>
  <si>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</si>
  <si>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</si>
  <si>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</si>
  <si>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</si>
  <si>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</si>
  <si>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</si>
  <si>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</si>
  <si>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</si>
  <si>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</si>
  <si>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</si>
  <si>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</si>
  <si>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</si>
  <si>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</si>
  <si>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</si>
  <si>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</si>
  <si>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</si>
  <si>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</si>
  <si>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</si>
  <si>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</si>
  <si>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</si>
  <si>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</si>
  <si>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</si>
  <si>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</si>
  <si>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</si>
  <si>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</si>
  <si>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</si>
  <si>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</si>
  <si>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</si>
  <si>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</si>
  <si>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</si>
  <si>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</si>
  <si>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</si>
  <si>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</si>
  <si>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</si>
  <si>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</si>
  <si>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</si>
  <si>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</si>
  <si>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</si>
  <si>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</si>
  <si>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</si>
  <si>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</si>
  <si>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</si>
  <si>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</si>
  <si>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</si>
  <si>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</si>
  <si>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</si>
  <si>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</si>
  <si>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</si>
  <si>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</si>
  <si>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</si>
  <si>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</si>
  <si>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</si>
  <si>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</si>
  <si>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</si>
  <si>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</si>
  <si>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</si>
  <si>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</si>
  <si>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</si>
  <si>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</si>
  <si>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</si>
  <si>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</si>
  <si>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</si>
  <si>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</si>
  <si>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</si>
  <si>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</si>
  <si>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</si>
  <si>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</si>
  <si>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</si>
  <si>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</si>
  <si>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</si>
  <si>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</si>
  <si>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</si>
  <si>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</si>
  <si>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</si>
  <si>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</si>
  <si>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</si>
  <si>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</si>
  <si>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</si>
  <si>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</si>
  <si>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</si>
  <si>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</si>
  <si>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</si>
  <si>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</si>
  <si>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</si>
  <si>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</si>
  <si>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</si>
  <si>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</si>
  <si>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</si>
  <si>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</si>
  <si>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</si>
  <si>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</si>
  <si>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</si>
  <si>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</si>
  <si>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</si>
  <si>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</si>
  <si>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</si>
  <si>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</si>
  <si>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</si>
  <si>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</si>
  <si>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</si>
  <si>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</si>
  <si>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</si>
  <si>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</si>
  <si>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</si>
  <si>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</si>
  <si>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</si>
  <si>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</si>
  <si>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</si>
  <si>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</si>
  <si>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</si>
  <si>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</si>
  <si>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</si>
  <si>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</si>
  <si>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</si>
  <si>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</si>
  <si>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</si>
  <si>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</si>
  <si>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</si>
  <si>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</si>
  <si>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</si>
  <si>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</si>
  <si>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</si>
  <si>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</si>
  <si>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</si>
  <si>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</si>
  <si>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</si>
  <si>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</si>
  <si>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</si>
  <si>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</si>
  <si>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</si>
  <si>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</si>
  <si>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</si>
  <si>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</si>
  <si>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</si>
  <si>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</si>
  <si>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</si>
  <si>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</si>
  <si>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</si>
  <si>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</si>
  <si>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</si>
  <si>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</si>
  <si>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</si>
  <si>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</si>
  <si>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</si>
  <si>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</si>
  <si>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</si>
  <si>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</si>
  <si>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</si>
  <si>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</si>
  <si>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</si>
  <si>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</si>
  <si>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</si>
  <si>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</si>
  <si>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</si>
  <si>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</si>
  <si>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</si>
  <si>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</si>
  <si>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</si>
  <si>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</si>
  <si>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</si>
  <si>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</si>
  <si>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</si>
  <si>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</si>
  <si>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</si>
  <si>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</si>
  <si>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</si>
  <si>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</si>
  <si>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</si>
  <si>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</si>
  <si>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</si>
  <si>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</si>
  <si>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</si>
  <si>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</si>
  <si>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</si>
  <si>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</si>
  <si>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</si>
  <si>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</si>
  <si>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</si>
  <si>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</si>
  <si>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</si>
  <si>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</si>
  <si>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</si>
  <si>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</si>
  <si>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</si>
  <si>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</si>
  <si>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</si>
  <si>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</si>
  <si>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</si>
  <si>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</si>
  <si>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</si>
  <si>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</si>
  <si>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</si>
  <si>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</si>
  <si>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</si>
  <si>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</si>
  <si>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</si>
  <si>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</si>
  <si>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</si>
  <si>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</si>
  <si>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</si>
  <si>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</si>
  <si>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</si>
  <si>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</si>
  <si>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</si>
  <si>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</si>
  <si>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</si>
  <si>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</si>
  <si>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</si>
  <si>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</si>
  <si>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</si>
  <si>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</si>
  <si>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</si>
  <si>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</si>
  <si>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</si>
  <si>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</si>
  <si>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</si>
  <si>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</si>
  <si>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</si>
  <si>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</si>
  <si>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</si>
  <si>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</si>
  <si>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</si>
  <si>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</si>
  <si>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</si>
  <si>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</si>
  <si>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</si>
  <si>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</si>
  <si>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</si>
  <si>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</si>
  <si>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</si>
  <si>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</si>
  <si>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</si>
  <si>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</si>
  <si>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</si>
  <si>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</si>
  <si>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</si>
  <si>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</si>
  <si>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</si>
  <si>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</si>
  <si>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</si>
  <si>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</si>
  <si>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</si>
  <si>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</si>
  <si>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</si>
  <si>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</si>
  <si>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</si>
  <si>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</si>
  <si>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</si>
  <si>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</si>
  <si>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</si>
  <si>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</si>
  <si>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</si>
  <si>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</si>
  <si>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</si>
  <si>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</si>
  <si>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</si>
  <si>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</si>
  <si>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</si>
  <si>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</si>
  <si>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</si>
  <si>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</si>
  <si>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</si>
  <si>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</si>
  <si>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</si>
  <si>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</si>
  <si>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</si>
  <si>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</si>
  <si>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</si>
  <si>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</si>
  <si>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</si>
  <si>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</si>
  <si>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</si>
  <si>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</si>
  <si>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</si>
  <si>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</si>
  <si>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</si>
  <si>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</si>
  <si>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</si>
  <si>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</si>
  <si>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</si>
  <si>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</si>
  <si>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</si>
  <si>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</si>
  <si>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</si>
  <si>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</si>
  <si>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</si>
  <si>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</si>
  <si>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</si>
  <si>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</si>
  <si>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</si>
  <si>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</si>
  <si>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</si>
  <si>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</si>
  <si>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</si>
  <si>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</si>
  <si>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</si>
  <si>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</si>
  <si>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</si>
  <si>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</si>
  <si>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</si>
  <si>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</si>
  <si>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</si>
  <si>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</si>
  <si>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</si>
  <si>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</si>
  <si>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</si>
  <si>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</si>
  <si>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</si>
  <si>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</si>
  <si>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</si>
  <si>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</si>
  <si>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</si>
  <si>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</si>
  <si>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</si>
  <si>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</si>
  <si>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</si>
  <si>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</si>
  <si>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</si>
  <si>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</si>
  <si>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</si>
  <si>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</si>
  <si>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</si>
  <si>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</si>
  <si>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</si>
  <si>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</si>
  <si>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</si>
  <si>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</si>
  <si>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</si>
  <si>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</si>
  <si>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</si>
  <si>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</si>
  <si>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</si>
  <si>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</si>
  <si>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</si>
  <si>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</si>
  <si>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</si>
  <si>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</si>
  <si>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</si>
  <si>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</si>
  <si>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</si>
  <si>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</si>
  <si>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</si>
  <si>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</si>
  <si>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</si>
  <si>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</si>
  <si>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</si>
  <si>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</si>
  <si>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</si>
  <si>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</si>
  <si>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</si>
  <si>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</si>
  <si>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</si>
  <si>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</si>
  <si>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</si>
  <si>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</si>
  <si>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</si>
  <si>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</si>
  <si>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</si>
  <si>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</si>
  <si>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</si>
  <si>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</si>
  <si>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</si>
  <si>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</si>
  <si>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</si>
  <si>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</si>
  <si>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</si>
  <si>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</si>
  <si>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</si>
  <si>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</si>
  <si>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</si>
  <si>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</si>
  <si>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</si>
  <si>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</si>
  <si>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</si>
  <si>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</si>
  <si>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</si>
  <si>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</si>
  <si>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</si>
  <si>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</si>
  <si>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</si>
  <si>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</si>
  <si>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</si>
  <si>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</si>
  <si>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</si>
  <si>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</si>
  <si>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</si>
  <si>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</si>
  <si>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</si>
  <si>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</si>
  <si>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</si>
  <si>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</si>
  <si>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</si>
  <si>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</si>
  <si>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</si>
  <si>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</si>
  <si>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</si>
  <si>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</si>
  <si>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</si>
  <si>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</si>
  <si>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</si>
  <si>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</si>
  <si>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</si>
  <si>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</si>
  <si>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</si>
  <si>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</si>
  <si>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</si>
  <si>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</si>
  <si>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</si>
  <si>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</si>
  <si>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</si>
  <si>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</si>
  <si>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</si>
  <si>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</si>
  <si>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</si>
  <si>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</si>
  <si>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</si>
  <si>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</si>
  <si>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</si>
  <si>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</si>
  <si>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</si>
  <si>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</si>
  <si>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</si>
  <si>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</si>
  <si>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</si>
  <si>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</si>
  <si>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</si>
  <si>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</si>
  <si>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</si>
  <si>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</si>
  <si>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</si>
  <si>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</si>
  <si>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</si>
  <si>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</si>
  <si>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</si>
  <si>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</si>
  <si>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</si>
  <si>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</si>
  <si>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</si>
  <si>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</si>
  <si>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</si>
  <si>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</si>
  <si>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</si>
  <si>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</si>
  <si>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</si>
  <si>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</si>
  <si>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</si>
  <si>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</si>
  <si>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</si>
  <si>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</si>
  <si>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</si>
  <si>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</si>
  <si>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</si>
  <si>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</si>
  <si>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</si>
  <si>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</si>
  <si>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</si>
  <si>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</si>
  <si>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</si>
  <si>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</si>
  <si>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</si>
  <si>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</si>
  <si>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</si>
  <si>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</si>
  <si>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</si>
  <si>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</si>
  <si>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</si>
  <si>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</si>
  <si>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</si>
  <si>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</si>
  <si>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</si>
  <si>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</si>
  <si>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</si>
  <si>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</si>
  <si>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</si>
  <si>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</si>
  <si>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</si>
  <si>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</si>
  <si>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</si>
  <si>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</si>
  <si>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</si>
  <si>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</si>
  <si>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</si>
  <si>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</si>
  <si>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</si>
  <si>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</si>
  <si>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Adams</t>
  </si>
  <si>
    <t>219 Baldwin Dr</t>
  </si>
  <si>
    <t>Quincy</t>
  </si>
  <si>
    <t>Zumbahlen, Eyth, Surratt, Foote &amp; Flynn, Ltd.</t>
  </si>
  <si>
    <t>Valerie Flynn</t>
  </si>
  <si>
    <t>1395 Lincoln Ave</t>
  </si>
  <si>
    <t>Jacksonville</t>
  </si>
  <si>
    <t>IL</t>
  </si>
  <si>
    <t>217-245-5121</t>
  </si>
  <si>
    <t>217-243-3356</t>
  </si>
  <si>
    <t>066-004993</t>
  </si>
  <si>
    <t>vflynn@zescpa.com</t>
  </si>
  <si>
    <t>Kaleb Smith</t>
  </si>
  <si>
    <t>smithka@qps.org</t>
  </si>
  <si>
    <t>217-224-3775</t>
  </si>
  <si>
    <t>217-221-4800</t>
  </si>
  <si>
    <t>West Central Region Education for Employment System #240</t>
  </si>
  <si>
    <t xml:space="preserve">Member Districts: Quincy Public School District #172, Central CUSD #3, Liberty CUSD #2, Griggsville-Perry CUSD #4, Pikeland CUSD #10, Pleasant Hill CUSD #3, Payson CUSD #1, Southeastern </t>
  </si>
  <si>
    <t>CUSD #337, Unity CUSD #4, Western CUSD #12</t>
  </si>
  <si>
    <t>Other Local Revenue Line 1999- Refunds and Reimbursements</t>
  </si>
  <si>
    <t>None per the district</t>
  </si>
  <si>
    <t>No contracts paid per the district.</t>
  </si>
  <si>
    <t>N/A</t>
  </si>
  <si>
    <t>to use 4799 and itemize.</t>
  </si>
  <si>
    <t xml:space="preserve">CTE Other Revenue Line 4799- Perkins Title I- Federal source Code 4745 (no 4745 cell existed in ISBE Joint Agreement Budget Form). Advised by ISBE </t>
  </si>
  <si>
    <t>West Central Regional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</si>
</sst>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0</xdr:row>
          <xdr:rowOff>38100</xdr:rowOff>
        </xdr:from>
        <xdr:to>
          <xdr:col>1</xdr:col>
          <xdr:colOff>1895475</xdr:colOff>
          <xdr:row>4</xdr:row>
          <xdr:rowOff>76200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c r="C5" s="26" t="s">
        <v>966</v>
      </c>
      <c r="D5" s="84"/>
      <c r="E5" s="84"/>
      <c r="H5" s="38"/>
      <c r="I5" s="2012" t="s">
        <v>701</v>
      </c>
      <c r="J5" s="2011"/>
      <c r="K5" s="2011"/>
      <c r="L5" s="2011"/>
      <c r="M5" s="2011"/>
      <c r="N5" s="2011"/>
      <c r="O5" s="2011"/>
      <c r="P5" s="2011"/>
      <c r="Q5" s="2011"/>
      <c r="R5" s="2011"/>
      <c r="S5" s="2011"/>
    </row>
    <row r="6" spans="1:28" ht="14.1" customHeight="1" x14ac:dyDescent="0.2">
      <c r="B6" s="104" t="s">
        <v>2077</v>
      </c>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1001172046</v>
      </c>
      <c r="B13" s="2038"/>
      <c r="C13" s="2038"/>
      <c r="D13" s="2038"/>
      <c r="E13" s="2038"/>
      <c r="F13" s="2038"/>
      <c r="G13" s="2038"/>
      <c r="H13" s="2039"/>
      <c r="I13" s="31"/>
      <c r="J13" s="30"/>
      <c r="K13" s="28"/>
      <c r="L13" s="30"/>
      <c r="M13" s="30"/>
      <c r="N13" s="30"/>
      <c r="O13" s="30"/>
      <c r="P13" s="30"/>
      <c r="Q13" s="30"/>
      <c r="R13" s="30"/>
      <c r="S13" s="30"/>
      <c r="T13" s="2042" t="s">
        <v>2081</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2078</v>
      </c>
      <c r="B15" s="2040"/>
      <c r="C15" s="2040"/>
      <c r="D15" s="2040"/>
      <c r="E15" s="2040"/>
      <c r="F15" s="2040"/>
      <c r="G15" s="2040"/>
      <c r="H15" s="2041"/>
      <c r="T15" s="2046" t="s">
        <v>2082</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2103</v>
      </c>
      <c r="B17" s="1997"/>
      <c r="C17" s="1997"/>
      <c r="D17" s="1997"/>
      <c r="E17" s="1997"/>
      <c r="F17" s="1997"/>
      <c r="G17" s="1997"/>
      <c r="H17" s="2022"/>
      <c r="T17" s="2053" t="s">
        <v>2083</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2079</v>
      </c>
      <c r="B19" s="1982"/>
      <c r="C19" s="1982"/>
      <c r="D19" s="1982"/>
      <c r="E19" s="1982"/>
      <c r="F19" s="1982"/>
      <c r="G19" s="1982"/>
      <c r="H19" s="1962"/>
      <c r="I19" s="30"/>
      <c r="J19" s="99"/>
      <c r="K19" s="40"/>
      <c r="L19" s="38"/>
      <c r="M19" s="112" t="s">
        <v>333</v>
      </c>
      <c r="P19" s="27"/>
      <c r="Q19" s="27"/>
      <c r="R19" s="27"/>
      <c r="S19" s="31"/>
      <c r="T19" s="2036" t="s">
        <v>2084</v>
      </c>
      <c r="U19" s="1961"/>
      <c r="V19" s="1961"/>
      <c r="W19" s="1962"/>
      <c r="X19" s="2051" t="s">
        <v>2085</v>
      </c>
      <c r="Y19" s="2052"/>
      <c r="Z19" s="2049">
        <v>62650</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2080</v>
      </c>
      <c r="B21" s="1961"/>
      <c r="C21" s="1961"/>
      <c r="D21" s="1961"/>
      <c r="E21" s="1961"/>
      <c r="F21" s="1961"/>
      <c r="G21" s="1961"/>
      <c r="H21" s="1962"/>
      <c r="I21" s="2016" t="s">
        <v>699</v>
      </c>
      <c r="J21" s="2011"/>
      <c r="K21" s="2011"/>
      <c r="L21" s="2011"/>
      <c r="M21" s="2011"/>
      <c r="N21" s="2011"/>
      <c r="O21" s="2011"/>
      <c r="P21" s="2011"/>
      <c r="Q21" s="2011"/>
      <c r="R21" s="2011"/>
      <c r="S21" s="2017"/>
      <c r="T21" s="2060" t="s">
        <v>2086</v>
      </c>
      <c r="U21" s="2061"/>
      <c r="V21" s="2061"/>
      <c r="W21" s="2061"/>
      <c r="X21" s="2066" t="s">
        <v>2087</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2091</v>
      </c>
      <c r="B23" s="2014"/>
      <c r="C23" s="2014"/>
      <c r="D23" s="2014"/>
      <c r="E23" s="2014"/>
      <c r="F23" s="2014"/>
      <c r="G23" s="2014"/>
      <c r="H23" s="2015"/>
      <c r="T23" s="1996" t="s">
        <v>2088</v>
      </c>
      <c r="U23" s="2059"/>
      <c r="V23" s="2059"/>
      <c r="W23" s="2059"/>
      <c r="X23" s="2063">
        <v>43422</v>
      </c>
      <c r="Y23" s="2064"/>
      <c r="Z23" s="2064"/>
      <c r="AA23" s="2065"/>
    </row>
    <row r="24" spans="1:27" ht="14.1" customHeight="1" x14ac:dyDescent="0.2">
      <c r="A24" s="88" t="s">
        <v>698</v>
      </c>
      <c r="B24" s="49"/>
      <c r="C24" s="49"/>
      <c r="D24" s="49"/>
      <c r="E24" s="49"/>
      <c r="F24" s="49"/>
      <c r="G24" s="49"/>
      <c r="H24" s="61"/>
      <c r="J24" s="1983" t="str">
        <f>IF(B5="x",IF(AUDITCHECK!D29="AFR form Incomplete.","",IF(AUDITCHECK!D29="Deficit reduction plan is required.","School District must complete a deficit reduction plan in the 2018-2019 Budget",)),"")</f>
        <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62301</v>
      </c>
      <c r="B25" s="1961"/>
      <c r="C25" s="1961"/>
      <c r="D25" s="1961"/>
      <c r="E25" s="1961"/>
      <c r="F25" s="1961"/>
      <c r="G25" s="1961"/>
      <c r="H25" s="1962"/>
      <c r="I25" s="113"/>
      <c r="J25" s="1985"/>
      <c r="K25" s="1985"/>
      <c r="L25" s="1985"/>
      <c r="M25" s="1985"/>
      <c r="N25" s="1985"/>
      <c r="O25" s="1985"/>
      <c r="P25" s="1985"/>
      <c r="Q25" s="1985"/>
      <c r="R25" s="1985"/>
      <c r="S25" s="1986"/>
      <c r="T25" s="2056" t="s">
        <v>2089</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2090</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2091</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2092</v>
      </c>
      <c r="B42" s="1980"/>
      <c r="C42" s="1981"/>
      <c r="D42" s="1979" t="s">
        <v>2093</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0" colorId="8" zoomScale="110" zoomScaleNormal="110" workbookViewId="0">
      <selection activeCell="P23" sqref="P2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P23" sqref="P2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P23" sqref="P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0</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0</v>
      </c>
      <c r="I23" s="1780">
        <f>SUM(I14:I16,I21,I22)</f>
        <v>0</v>
      </c>
      <c r="J23" s="1780">
        <f>SUM(J14:J16,J21,J22)</f>
        <v>0</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D4" colorId="8" zoomScale="110" zoomScaleNormal="110" workbookViewId="0">
      <selection activeCell="P23" sqref="P2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377629</v>
      </c>
      <c r="D12" s="845">
        <v>67272</v>
      </c>
      <c r="E12" s="845">
        <v>23011</v>
      </c>
      <c r="F12" s="1782">
        <f>(C12+D12)-E12</f>
        <v>421890</v>
      </c>
      <c r="G12" s="844">
        <v>10</v>
      </c>
      <c r="H12" s="766">
        <v>172573</v>
      </c>
      <c r="I12" s="766">
        <v>42189</v>
      </c>
      <c r="J12" s="766">
        <v>23011</v>
      </c>
      <c r="K12" s="1791">
        <f>(H12+I12)-J12</f>
        <v>191751</v>
      </c>
      <c r="L12" s="1791">
        <f>F12-K12</f>
        <v>230139</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377629</v>
      </c>
      <c r="D16" s="1782">
        <f>SUM(D3,D5:D6,D8:D10,D12:D15)</f>
        <v>67272</v>
      </c>
      <c r="E16" s="1782">
        <f>SUM(E3,E5:E6,E8:E10,E12:E15)</f>
        <v>23011</v>
      </c>
      <c r="F16" s="1782">
        <f>SUM(F3,F5:F6,F8:F10,F12:F15)</f>
        <v>421890</v>
      </c>
      <c r="G16" s="844"/>
      <c r="H16" s="1782">
        <f>SUM(H3,H6,H8:H10,H12:H14,)</f>
        <v>172573</v>
      </c>
      <c r="I16" s="1782">
        <f>SUM(I3,I6,I8:I10,I12:I14,)</f>
        <v>42189</v>
      </c>
      <c r="J16" s="1782">
        <f>SUM(J3,J6,J8:J10,J12:J14,)</f>
        <v>23011</v>
      </c>
      <c r="K16" s="1782">
        <f>(H16+I16)-J16</f>
        <v>191751</v>
      </c>
      <c r="L16" s="1782">
        <f>F16-K16</f>
        <v>230139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42189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5" activePane="bottomLeft" state="frozen"/>
      <selection activeCell="P23" sqref="P23"/>
      <selection pane="bottomLeft" activeCell="P23" sqref="P2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737057</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737057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533970</v>
      </c>
      <c r="G53" s="866"/>
    </row>
    <row r="54" spans="1:7" x14ac:dyDescent="0.2">
      <c r="A54" s="870" t="s">
        <v>479</v>
      </c>
      <c r="B54" s="870" t="s">
        <v>1552</v>
      </c>
      <c r="C54" s="890" t="s">
        <v>1039</v>
      </c>
      <c r="D54" s="886" t="s">
        <v>1157</v>
      </c>
      <c r="E54" s="869"/>
      <c r="F54" s="1939">
        <f>'Expenditures 15-22'!G114</f>
        <v>67272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601242</v>
      </c>
      <c r="G76" s="866"/>
    </row>
    <row r="77" spans="1:8" s="894" customFormat="1" ht="12" customHeight="1" thickTop="1" thickBot="1" x14ac:dyDescent="0.25">
      <c r="A77" s="1801"/>
      <c r="B77" s="1798"/>
      <c r="C77" s="1794"/>
      <c r="D77" s="1799" t="s">
        <v>2012</v>
      </c>
      <c r="E77" s="1796"/>
      <c r="F77" s="1802">
        <f>(F14-F76)</f>
        <v>135815</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250595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107373</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357968</v>
      </c>
    </row>
    <row r="179" spans="1:7" ht="12" customHeight="1" x14ac:dyDescent="0.2">
      <c r="A179" s="1792"/>
      <c r="B179" s="1806"/>
      <c r="C179" s="1807"/>
      <c r="D179" s="1808" t="s">
        <v>2015</v>
      </c>
      <c r="E179" s="1809"/>
      <c r="F179" s="1811">
        <f>'PCTC-OEPP 27-28'!F77-F178</f>
        <v>-222153</v>
      </c>
    </row>
    <row r="180" spans="1:7" ht="12" customHeight="1" x14ac:dyDescent="0.2">
      <c r="A180" s="1792"/>
      <c r="B180" s="1806"/>
      <c r="C180" s="1807"/>
      <c r="D180" s="1808" t="s">
        <v>1924</v>
      </c>
      <c r="E180" s="1809"/>
      <c r="F180" s="1811">
        <f>'Cap Outlay Deprec 26'!I18</f>
        <v>42189</v>
      </c>
    </row>
    <row r="181" spans="1:7" ht="12" customHeight="1" x14ac:dyDescent="0.2">
      <c r="A181" s="1792"/>
      <c r="B181" s="1806"/>
      <c r="C181" s="1807"/>
      <c r="D181" s="1808" t="s">
        <v>2016</v>
      </c>
      <c r="E181" s="1809"/>
      <c r="F181" s="1811">
        <f>F179+F180</f>
        <v>-179964</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P23" sqref="P23"/>
      <selection pane="bottomLeft" activeCell="P23" sqref="P2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2098</v>
      </c>
      <c r="B17" s="1957" t="s">
        <v>2100</v>
      </c>
      <c r="C17" s="1958" t="s">
        <v>2100</v>
      </c>
      <c r="D17" s="1959" t="s">
        <v>2100</v>
      </c>
      <c r="E17" s="1562">
        <f t="shared" ref="E17:E141" si="1">IF(D17&lt;=25000,D17,IF(D17&gt;25000,25000,0))</f>
        <v>25000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P23" sqref="P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44460</v>
      </c>
      <c r="F19" s="1822"/>
      <c r="G19" s="1824">
        <f>'Expenditures 15-22'!K33-SUM('Expenditures 15-22'!G33,'Expenditures 15-22'!I33)+'Expenditures 15-22'!D229</f>
        <v>44460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7987</v>
      </c>
      <c r="F21" s="1825"/>
      <c r="G21" s="1828">
        <f>'Expenditures 15-22'!K42-SUM('Expenditures 15-22'!G42,'Expenditures 15-22'!I42)+'Expenditures 15-22'!K120-SUM('Expenditures 15-22'!G120,'Expenditures 15-22'!I120)+'Expenditures 15-22'!K180-SUM('Expenditures 15-22'!G180,'Expenditures 15-22'!I180)+'Expenditures 15-22'!D238</f>
        <v>7987</v>
      </c>
      <c r="H21" s="988"/>
      <c r="I21" s="162"/>
    </row>
    <row r="22" spans="1:9" s="669" customFormat="1" ht="12" customHeight="1" x14ac:dyDescent="0.2">
      <c r="A22" s="995" t="s">
        <v>585</v>
      </c>
      <c r="B22" s="996"/>
      <c r="C22" s="994">
        <v>2200</v>
      </c>
      <c r="D22" s="1825"/>
      <c r="E22" s="1827">
        <f>'Expenditures 15-22'!K47-SUM('Expenditures 15-22'!G47,'Expenditures 15-22'!I47)+'Expenditures 15-22'!D243</f>
        <v>13211</v>
      </c>
      <c r="F22" s="1825"/>
      <c r="G22" s="1828">
        <f>'Expenditures 15-22'!K47-SUM('Expenditures 15-22'!G47,'Expenditures 15-22'!I47)+'Expenditures 15-22'!D243</f>
        <v>13211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70157</v>
      </c>
      <c r="F23" s="1825"/>
      <c r="G23" s="1827">
        <f>'Expenditures 15-22'!K53-SUM('Expenditures 15-22'!G53,'Expenditures 15-22'!I53)+'Expenditures 15-22'!D257+'Expenditures 15-22'!K330-SUM('Expenditures 15-22'!G330,'Expenditures 15-22'!I330)</f>
        <v>70157</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135815</v>
      </c>
      <c r="F41" s="1829">
        <f>SUM(F19:F39)</f>
        <v>0</v>
      </c>
      <c r="G41" s="1829">
        <f>SUM(G19:G40)</f>
        <v>135815</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135815</v>
      </c>
      <c r="F44" s="1830" t="s">
        <v>494</v>
      </c>
      <c r="G44" s="1831">
        <f>G41</f>
        <v>135815</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P23" sqref="P23"/>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West Central Regional System</v>
      </c>
      <c r="D6" s="2327"/>
      <c r="E6" s="2327"/>
      <c r="F6" s="1877"/>
    </row>
    <row r="7" spans="1:10" ht="11.25" customHeight="1" thickBot="1" x14ac:dyDescent="0.3">
      <c r="A7" s="1875"/>
      <c r="B7" s="1876"/>
      <c r="C7" s="2328">
        <f>COVER!A13</f>
        <v>1001172046</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2094</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29"/>
      <c r="D35" s="2329"/>
      <c r="E35" s="2329"/>
      <c r="F35" s="2330"/>
    </row>
    <row r="36" spans="1:11" ht="12" customHeight="1" x14ac:dyDescent="0.2">
      <c r="A36" s="2312" t="s">
        <v>2095</v>
      </c>
      <c r="B36" s="2313"/>
      <c r="C36" s="2313"/>
      <c r="D36" s="2313"/>
      <c r="E36" s="2313"/>
      <c r="F36" s="2314"/>
    </row>
    <row r="37" spans="1:11" ht="12" customHeight="1" x14ac:dyDescent="0.2">
      <c r="A37" s="2312" t="s">
        <v>2096</v>
      </c>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P23" sqref="P2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West Central Regional System</v>
      </c>
      <c r="J6" s="2337"/>
      <c r="Q6" s="1686"/>
    </row>
    <row r="7" spans="1:17" x14ac:dyDescent="0.2">
      <c r="A7" s="2338" t="s">
        <v>924</v>
      </c>
      <c r="B7" s="2339"/>
      <c r="C7" s="2339"/>
      <c r="D7" s="2339"/>
      <c r="E7" s="2340"/>
      <c r="F7" s="1018"/>
      <c r="G7" s="1010"/>
      <c r="H7" s="1017" t="s">
        <v>390</v>
      </c>
      <c r="I7" s="2341">
        <f>COVER!A13</f>
        <v>1001172046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70157</v>
      </c>
      <c r="F13" s="1040"/>
      <c r="G13" s="1834">
        <f t="shared" si="0"/>
        <v>70157</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70157</v>
      </c>
      <c r="F19" s="1836">
        <f t="shared" si="2"/>
        <v>0</v>
      </c>
      <c r="G19" s="1836">
        <f t="shared" si="2"/>
        <v>70157</v>
      </c>
      <c r="H19" s="1836">
        <f t="shared" si="2"/>
        <v>0</v>
      </c>
      <c r="I19" s="1836">
        <f t="shared" si="2"/>
        <v>0</v>
      </c>
      <c r="J19" s="1836">
        <f t="shared" si="2"/>
        <v>0</v>
      </c>
    </row>
    <row r="20" spans="1:10" ht="13.5" thickTop="1" x14ac:dyDescent="0.2">
      <c r="A20" s="1036">
        <v>9</v>
      </c>
      <c r="B20" s="2348" t="s">
        <v>1703</v>
      </c>
      <c r="C20" s="2348"/>
      <c r="D20" s="2349"/>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t="s">
        <v>2090</v>
      </c>
      <c r="D28" s="2352"/>
      <c r="E28" s="1055"/>
      <c r="F28" s="2352" t="s">
        <v>2092</v>
      </c>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2"/>
  <sheetViews>
    <sheetView showGridLines="0" topLeftCell="A55" zoomScale="110" zoomScaleNormal="110" workbookViewId="0">
      <selection activeCell="P23" sqref="P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c r="B6" s="329" t="s">
        <v>2102</v>
      </c>
    </row>
    <row r="7" spans="1:2" x14ac:dyDescent="0.2">
      <c r="B7" s="329" t="s">
        <v>2101</v>
      </c>
    </row>
    <row r="8" spans="1:2" x14ac:dyDescent="0.2">
      <c r="A8" s="1069">
        <v>3</v>
      </c>
      <c r="B8" s="329" t="s">
        <v>2099</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c r="B61" s="258" t="str">
        <f>COVER!A17</f>
        <v>West Central Regional System</v>
      </c>
    </row>
    <row r="62" spans="1:2" x14ac:dyDescent="0.2">
      <c r="B62" s="1071">
        <f>COVER!A13</f>
        <v>1001172046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P23" sqref="P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P23" sqref="P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990600</xdr:colOff>
                <xdr:row>0</xdr:row>
                <xdr:rowOff>38100</xdr:rowOff>
              </from>
              <to>
                <xdr:col>1</xdr:col>
                <xdr:colOff>1895475</xdr:colOff>
                <xdr:row>4</xdr:row>
                <xdr:rowOff>76200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893163</v>
      </c>
      <c r="C8" s="1838">
        <f>'Acct Summary 7-8'!D8</f>
        <v>0</v>
      </c>
      <c r="D8" s="1838">
        <f>'Acct Summary 7-8'!F8</f>
        <v>0</v>
      </c>
      <c r="E8" s="1838">
        <f>'Acct Summary 7-8'!I8</f>
        <v>0</v>
      </c>
      <c r="F8" s="1838">
        <f>SUM(B8:E8)</f>
        <v>893163</v>
      </c>
    </row>
    <row r="9" spans="1:8" s="1080" customFormat="1" ht="14.25" customHeight="1" thickBot="1" x14ac:dyDescent="0.25">
      <c r="A9" s="1079" t="s">
        <v>1436</v>
      </c>
      <c r="B9" s="1839">
        <f>'Acct Summary 7-8'!C17</f>
        <v>737057</v>
      </c>
      <c r="C9" s="1839">
        <f>'Acct Summary 7-8'!D17</f>
        <v>0</v>
      </c>
      <c r="D9" s="1839">
        <f>'Acct Summary 7-8'!F17</f>
        <v>0</v>
      </c>
      <c r="E9" s="1838"/>
      <c r="F9" s="1838">
        <f>SUM(B9:E9)</f>
        <v>737057</v>
      </c>
    </row>
    <row r="10" spans="1:8" s="1080" customFormat="1" ht="14.25" thickTop="1" thickBot="1" x14ac:dyDescent="0.25">
      <c r="A10" s="1081" t="s">
        <v>1437</v>
      </c>
      <c r="B10" s="1840">
        <f>(B8-B9)</f>
        <v>156106</v>
      </c>
      <c r="C10" s="1840">
        <f>(C8-C9)</f>
        <v>0</v>
      </c>
      <c r="D10" s="1840">
        <f>(D8-D9)</f>
        <v>0</v>
      </c>
      <c r="E10" s="1839">
        <f>(E8-E9)</f>
        <v>0</v>
      </c>
      <c r="F10" s="1841">
        <f>SUM(F8-F9)</f>
        <v>156106</v>
      </c>
    </row>
    <row r="11" spans="1:8" s="1080" customFormat="1" ht="14.25" thickTop="1" thickBot="1" x14ac:dyDescent="0.25">
      <c r="A11" s="1082" t="s">
        <v>1785</v>
      </c>
      <c r="B11" s="1842">
        <f>'Acct Summary 7-8'!C81</f>
        <v>258238</v>
      </c>
      <c r="C11" s="1842">
        <f>'Acct Summary 7-8'!D81</f>
        <v>0</v>
      </c>
      <c r="D11" s="1842">
        <f>'Acct Summary 7-8'!F81</f>
        <v>0</v>
      </c>
      <c r="E11" s="1842">
        <f>'Acct Summary 7-8'!I81</f>
        <v>0</v>
      </c>
      <c r="F11" s="1843">
        <f>SUM(B11:E11)</f>
        <v>258238</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1001172046</v>
      </c>
    </row>
    <row r="3" spans="1:2" x14ac:dyDescent="0.2">
      <c r="A3" t="s">
        <v>1013</v>
      </c>
      <c r="B3" s="138" t="str">
        <f>COVER!A15</f>
        <v>Adams</v>
      </c>
    </row>
    <row r="4" spans="1:2" x14ac:dyDescent="0.2">
      <c r="A4" t="s">
        <v>1064</v>
      </c>
      <c r="B4" s="138" t="str">
        <f>COVER!A17</f>
        <v>West Central Regional System</v>
      </c>
    </row>
    <row r="5" spans="1:2" x14ac:dyDescent="0.2">
      <c r="A5" t="s">
        <v>728</v>
      </c>
      <c r="B5" s="138" t="str">
        <f>COVER!A38</f>
        <v>Kaleb Smith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Valerie Flynn</v>
      </c>
    </row>
    <row r="18" spans="1:2" x14ac:dyDescent="0.2">
      <c r="A18" t="s">
        <v>1212</v>
      </c>
      <c r="B18" s="138" t="str">
        <f>COVER!T17</f>
        <v>1395 Lincoln Ave</v>
      </c>
    </row>
    <row r="19" spans="1:2" x14ac:dyDescent="0.2">
      <c r="A19" t="s">
        <v>941</v>
      </c>
      <c r="B19" s="138" t="str">
        <f>COVER!T25</f>
        <v>vflynn@zescpa.com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258238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98272</v>
      </c>
      <c r="D92" s="2" t="str">
        <f t="shared" si="0"/>
        <v>Error?</v>
      </c>
    </row>
    <row r="93" spans="1:4" x14ac:dyDescent="0.2">
      <c r="A93" s="5">
        <v>32</v>
      </c>
      <c r="B93" s="138">
        <f>'Assets-Liab 5-6'!C41</f>
        <v>258238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421890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421890</v>
      </c>
      <c r="C279" s="2" t="s">
        <v>594</v>
      </c>
      <c r="D279" s="2" t="str">
        <f t="shared" si="3"/>
        <v>Error?</v>
      </c>
    </row>
    <row r="280" spans="1:4" x14ac:dyDescent="0.2">
      <c r="A280" s="5">
        <v>219</v>
      </c>
      <c r="B280" s="138">
        <f>'Assets-Liab 5-6'!M40</f>
        <v>421890</v>
      </c>
      <c r="D280" s="2" t="str">
        <f t="shared" si="3"/>
        <v>Error?</v>
      </c>
    </row>
    <row r="281" spans="1:4" x14ac:dyDescent="0.2">
      <c r="A281" s="5">
        <v>220</v>
      </c>
      <c r="B281" s="138">
        <f>'Assets-Liab 5-6'!M41</f>
        <v>421890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53945</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53945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53945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5911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5911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5911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3428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3428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7987</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7987</v>
      </c>
      <c r="C843" s="2" t="s">
        <v>594</v>
      </c>
      <c r="D843" s="2" t="str">
        <f t="shared" si="12"/>
        <v>Error?</v>
      </c>
    </row>
    <row r="844" spans="1:4" x14ac:dyDescent="0.2">
      <c r="A844" s="5">
        <v>783</v>
      </c>
      <c r="B844" s="138">
        <f>'Expenditures 15-22'!E44</f>
        <v>12760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12760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10301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31048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36544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41032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41032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41032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67272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67272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67272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451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451</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531902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532353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111732</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111732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7987</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7987</v>
      </c>
      <c r="C1115" s="2" t="s">
        <v>594</v>
      </c>
      <c r="D1115" s="2" t="str">
        <f t="shared" si="16"/>
        <v>Error?</v>
      </c>
    </row>
    <row r="1116" spans="1:4" x14ac:dyDescent="0.2">
      <c r="A1116" s="5">
        <v>1055</v>
      </c>
      <c r="B1116" s="138">
        <f>'Expenditures 15-22'!K44</f>
        <v>13211</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13211</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70157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91355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533970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737057</v>
      </c>
      <c r="C1152" s="2" t="s">
        <v>594</v>
      </c>
      <c r="D1152" s="2" t="str">
        <f t="shared" si="17"/>
        <v>Error?</v>
      </c>
    </row>
    <row r="1153" spans="1:4" x14ac:dyDescent="0.2">
      <c r="A1153" s="5">
        <v>1092</v>
      </c>
      <c r="B1153" s="138">
        <f>'Expenditures 15-22'!K115</f>
        <v>156106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102132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258238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377629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377629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67272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67272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23011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23011</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421890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421890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172573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172573</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42189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42189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23011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23011</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191751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191751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230139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230139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531902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533970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159966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1225</v>
      </c>
      <c r="C2551" s="2" t="s">
        <v>594</v>
      </c>
      <c r="D2551" s="2" t="str">
        <f t="shared" si="38"/>
        <v>Error?</v>
      </c>
    </row>
    <row r="2552" spans="1:4" x14ac:dyDescent="0.2">
      <c r="A2552" s="10">
        <v>2491</v>
      </c>
      <c r="D2552" s="2" t="str">
        <f t="shared" si="38"/>
        <v>OK</v>
      </c>
    </row>
    <row r="2553" spans="1:4" x14ac:dyDescent="0.2">
      <c r="A2553" s="5">
        <v>2492</v>
      </c>
      <c r="B2553" s="138">
        <f>'Acct Summary 7-8'!C6</f>
        <v>250595</v>
      </c>
      <c r="C2553" s="2" t="s">
        <v>594</v>
      </c>
      <c r="D2553" s="2" t="str">
        <f t="shared" si="38"/>
        <v>Error?</v>
      </c>
    </row>
    <row r="2554" spans="1:4" x14ac:dyDescent="0.2">
      <c r="A2554" s="5">
        <v>2493</v>
      </c>
      <c r="B2554" s="138">
        <f>'Acct Summary 7-8'!C7</f>
        <v>107373</v>
      </c>
      <c r="C2554" s="2" t="s">
        <v>594</v>
      </c>
      <c r="D2554" s="2" t="str">
        <f t="shared" si="38"/>
        <v>Error?</v>
      </c>
    </row>
    <row r="2555" spans="1:4" x14ac:dyDescent="0.2">
      <c r="A2555" s="5">
        <v>2494</v>
      </c>
      <c r="B2555" s="138">
        <f>'Acct Summary 7-8'!C8</f>
        <v>893163</v>
      </c>
      <c r="C2555" s="2" t="s">
        <v>594</v>
      </c>
      <c r="D2555" s="2" t="str">
        <f t="shared" si="38"/>
        <v>Error?</v>
      </c>
    </row>
    <row r="2556" spans="1:4" x14ac:dyDescent="0.2">
      <c r="A2556" s="5">
        <v>2495</v>
      </c>
      <c r="B2556" s="138">
        <f>'Acct Summary 7-8'!C12</f>
        <v>111732</v>
      </c>
      <c r="C2556" s="2" t="s">
        <v>594</v>
      </c>
      <c r="D2556" s="2" t="str">
        <f t="shared" si="38"/>
        <v>Error?</v>
      </c>
    </row>
    <row r="2557" spans="1:4" x14ac:dyDescent="0.2">
      <c r="A2557" s="5">
        <v>2496</v>
      </c>
      <c r="B2557" s="138">
        <f>'Acct Summary 7-8'!C13</f>
        <v>91355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533970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737057</v>
      </c>
      <c r="C2561" s="2" t="s">
        <v>594</v>
      </c>
      <c r="D2561" s="2" t="str">
        <f t="shared" si="39"/>
        <v>Error?</v>
      </c>
    </row>
    <row r="2562" spans="1:4" x14ac:dyDescent="0.2">
      <c r="A2562" s="5">
        <v>2501</v>
      </c>
      <c r="B2562" s="138">
        <f>'Acct Summary 7-8'!C20</f>
        <v>156106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53945</v>
      </c>
      <c r="D2718" s="2" t="str">
        <f t="shared" si="41"/>
        <v>Error?</v>
      </c>
    </row>
    <row r="2719" spans="1:4" x14ac:dyDescent="0.2">
      <c r="A2719" s="5">
        <v>2658</v>
      </c>
      <c r="B2719" s="138">
        <f>'Expenditures 15-22'!D51</f>
        <v>5911</v>
      </c>
      <c r="D2719" s="2" t="str">
        <f t="shared" si="41"/>
        <v>Error?</v>
      </c>
    </row>
    <row r="2720" spans="1:4" x14ac:dyDescent="0.2">
      <c r="A2720" s="5">
        <v>2659</v>
      </c>
      <c r="B2720" s="138">
        <f>'Expenditures 15-22'!E51</f>
        <v>10301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70157</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2068</v>
      </c>
      <c r="C2789" s="2" t="s">
        <v>594</v>
      </c>
      <c r="D2789" s="2" t="str">
        <f t="shared" si="42"/>
        <v>Error?</v>
      </c>
    </row>
    <row r="2790" spans="1:4" x14ac:dyDescent="0.2">
      <c r="A2790" s="5">
        <v>2729</v>
      </c>
      <c r="B2790" s="138">
        <f>'Expenditures 15-22'!E102</f>
        <v>2068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2068</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531902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533970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156106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533970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258238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893163</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737057</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258238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107373</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1225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1225</v>
      </c>
      <c r="C5121" s="2" t="s">
        <v>594</v>
      </c>
      <c r="D5121" s="2" t="str">
        <f t="shared" si="79"/>
        <v>Error?</v>
      </c>
    </row>
    <row r="5122" spans="1:4" x14ac:dyDescent="0.2">
      <c r="A5122" s="5">
        <v>5061</v>
      </c>
      <c r="B5122" s="138">
        <f>'Revenues 9-14'!C111</f>
        <v>476902</v>
      </c>
      <c r="D5122" s="2" t="str">
        <f t="shared" si="79"/>
        <v>Error?</v>
      </c>
    </row>
    <row r="5123" spans="1:4" x14ac:dyDescent="0.2">
      <c r="A5123" s="5">
        <v>5062</v>
      </c>
      <c r="B5123" s="138">
        <f>'Revenues 9-14'!C112</f>
        <v>57068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533970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250595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250595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250595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250595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107373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107373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107373</v>
      </c>
      <c r="C5326" s="2" t="s">
        <v>594</v>
      </c>
      <c r="D5326" s="2" t="str">
        <f t="shared" si="82"/>
        <v>Error?</v>
      </c>
    </row>
    <row r="5327" spans="1:4" x14ac:dyDescent="0.2">
      <c r="A5327" s="5">
        <v>5266</v>
      </c>
      <c r="B5327" s="138">
        <f>'Revenues 9-14'!C275</f>
        <v>893163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156106</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0.60450437193596607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42189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West Central Regional System</v>
      </c>
      <c r="B7" s="2404"/>
      <c r="C7" s="2404"/>
      <c r="D7" s="2441"/>
      <c r="E7" s="2442">
        <f>COVER!A13</f>
        <v>1001172046</v>
      </c>
      <c r="F7" s="2443"/>
      <c r="G7" s="2410" t="str">
        <f>COVER!T23</f>
        <v>066-004993</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Zumbahlen, Eyth, Surratt, Foote &amp; Flynn, Ltd.</v>
      </c>
      <c r="H9" s="2417"/>
      <c r="I9" s="2417"/>
      <c r="J9" s="2417"/>
      <c r="K9" s="2417"/>
      <c r="L9" s="2418"/>
    </row>
    <row r="10" spans="1:29" ht="13.5" customHeight="1" x14ac:dyDescent="0.2">
      <c r="A10" s="2400" t="str">
        <f>COVER!A38</f>
        <v>Kaleb Smith</v>
      </c>
      <c r="B10" s="2401"/>
      <c r="C10" s="2401"/>
      <c r="D10" s="2401"/>
      <c r="E10" s="2401"/>
      <c r="F10" s="2402"/>
      <c r="G10" s="2416" t="str">
        <f>COVER!T17</f>
        <v>1395 Lincoln Ave</v>
      </c>
      <c r="H10" s="2429"/>
      <c r="I10" s="2429"/>
      <c r="J10" s="2429"/>
      <c r="K10" s="2429"/>
      <c r="L10" s="2430"/>
    </row>
    <row r="11" spans="1:29" ht="13.5" customHeight="1" x14ac:dyDescent="0.2">
      <c r="A11" s="1185" t="s">
        <v>1599</v>
      </c>
      <c r="B11" s="1186"/>
      <c r="C11" s="1187"/>
      <c r="D11" s="1192"/>
      <c r="E11" s="1187"/>
      <c r="F11" s="1191"/>
      <c r="G11" s="2416" t="str">
        <f>COVER!T19</f>
        <v>Jacksonville</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vflynn@zescpa.com</v>
      </c>
      <c r="J13" s="2438"/>
      <c r="K13" s="2438"/>
      <c r="L13" s="2439"/>
    </row>
    <row r="14" spans="1:29" ht="13.5" customHeight="1" x14ac:dyDescent="0.2">
      <c r="A14" s="2416" t="str">
        <f>COVER!A19</f>
        <v>219 Baldwin Dr</v>
      </c>
      <c r="B14" s="2429"/>
      <c r="C14" s="2429"/>
      <c r="D14" s="2429"/>
      <c r="E14" s="2429"/>
      <c r="F14" s="2430"/>
      <c r="G14" s="1196" t="s">
        <v>1247</v>
      </c>
      <c r="H14" s="1194"/>
      <c r="I14" s="1194"/>
      <c r="J14" s="1194"/>
      <c r="K14" s="1194"/>
      <c r="L14" s="1195"/>
    </row>
    <row r="15" spans="1:29" ht="13.5" customHeight="1" x14ac:dyDescent="0.2">
      <c r="A15" s="2416" t="str">
        <f>COVER!A21</f>
        <v>Quincy</v>
      </c>
      <c r="B15" s="2429"/>
      <c r="C15" s="2429"/>
      <c r="D15" s="2429"/>
      <c r="E15" s="2429"/>
      <c r="F15" s="2430"/>
      <c r="G15" s="2426" t="str">
        <f>COVER!T15</f>
        <v>Valerie Flynn</v>
      </c>
      <c r="H15" s="2427"/>
      <c r="I15" s="2427"/>
      <c r="J15" s="2427"/>
      <c r="K15" s="2427"/>
      <c r="L15" s="2428"/>
    </row>
    <row r="16" spans="1:29" ht="12.2" customHeight="1" x14ac:dyDescent="0.2">
      <c r="A16" s="2406">
        <f>COVER!A25</f>
        <v>62301</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217-245-5121</v>
      </c>
      <c r="H18" s="2404"/>
      <c r="I18" s="2404"/>
      <c r="J18" s="2404"/>
      <c r="K18" s="2403" t="str">
        <f>COVER!X21</f>
        <v>217-243-3356</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West Central Regional System</v>
      </c>
      <c r="B1" s="2440"/>
      <c r="C1" s="2440"/>
      <c r="D1" s="2440"/>
    </row>
    <row r="2" spans="1:11" s="1215" customFormat="1" ht="12.75" x14ac:dyDescent="0.2">
      <c r="A2" s="2445">
        <f>'Single Audit Cover'!E7</f>
        <v>1001172046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West Central Regional System</v>
      </c>
      <c r="B1" s="2448"/>
      <c r="C1" s="2448"/>
      <c r="D1" s="2448"/>
      <c r="E1" s="2448"/>
    </row>
    <row r="2" spans="1:5" x14ac:dyDescent="0.2">
      <c r="A2" s="2449">
        <f>'Single Audit Cover'!E7</f>
        <v>1001172046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107373</v>
      </c>
    </row>
    <row r="11" spans="1:5" ht="18" customHeight="1" x14ac:dyDescent="0.2">
      <c r="A11" s="1261" t="s">
        <v>1302</v>
      </c>
      <c r="B11" s="1262"/>
      <c r="C11" s="1262"/>
    </row>
    <row r="12" spans="1:5" x14ac:dyDescent="0.2">
      <c r="A12" s="1261" t="s">
        <v>1301</v>
      </c>
      <c r="B12" s="1262" t="s">
        <v>1300</v>
      </c>
      <c r="C12" s="1262"/>
      <c r="D12" s="1264">
        <f>SUM('Revenues 9-14'!C112:D112,'Revenues 9-14'!F112:G112)</f>
        <v>57068</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164441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164441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164441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West Central Regional System</v>
      </c>
      <c r="B1" s="2453"/>
      <c r="C1" s="2453"/>
      <c r="D1" s="2453"/>
      <c r="E1" s="2453"/>
      <c r="F1" s="2453"/>
    </row>
    <row r="2" spans="1:7" ht="13.5" customHeight="1" x14ac:dyDescent="0.2">
      <c r="A2" s="2454">
        <f>'Single Audit Cover'!E7</f>
        <v>1001172046</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West Central Regional System</v>
      </c>
      <c r="C1" s="2465"/>
      <c r="D1" s="2465"/>
      <c r="E1" s="2465"/>
      <c r="F1" s="2465"/>
      <c r="G1" s="2465"/>
      <c r="H1" s="2465"/>
      <c r="I1" s="2465"/>
      <c r="J1" s="2465"/>
      <c r="K1" s="2465"/>
      <c r="L1" s="2465"/>
      <c r="M1" s="2465"/>
    </row>
    <row r="2" spans="2:14" ht="15" x14ac:dyDescent="0.2">
      <c r="B2" s="2454">
        <f>'Single Audit Cover'!E7</f>
        <v>1001172046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2081</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West Central Regional System</v>
      </c>
      <c r="C1" s="2473"/>
      <c r="D1" s="2473"/>
      <c r="E1" s="2473"/>
      <c r="F1" s="2473"/>
      <c r="G1" s="2473"/>
      <c r="H1" s="2473"/>
      <c r="I1" s="2473"/>
      <c r="J1" s="1422"/>
    </row>
    <row r="2" spans="2:10" s="317" customFormat="1" ht="12.75" customHeight="1" x14ac:dyDescent="0.2">
      <c r="B2" s="2474">
        <f>'Single Audit Cover'!E7</f>
        <v>1001172046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West Central Regional System</v>
      </c>
      <c r="C1" s="2472"/>
      <c r="D1" s="2472"/>
      <c r="E1" s="2472"/>
      <c r="F1" s="2472"/>
      <c r="G1" s="2472"/>
      <c r="H1" s="2472"/>
      <c r="I1" s="2472"/>
      <c r="J1" s="2472"/>
      <c r="K1" s="2472"/>
      <c r="L1" s="1374"/>
      <c r="M1" s="1374"/>
    </row>
    <row r="2" spans="1:13" ht="12" customHeight="1" x14ac:dyDescent="0.2">
      <c r="B2" s="2474">
        <f>'Single Audit Cover'!E7</f>
        <v>1001172046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West Central Regional System</v>
      </c>
      <c r="C1" s="2499"/>
      <c r="D1" s="2499"/>
      <c r="E1" s="2499"/>
      <c r="F1" s="2499"/>
      <c r="G1" s="2499"/>
      <c r="H1" s="2499"/>
      <c r="I1" s="2499"/>
      <c r="J1" s="2499"/>
      <c r="K1" s="2499"/>
      <c r="L1" s="1465"/>
    </row>
    <row r="2" spans="1:12" ht="12.75" customHeight="1" x14ac:dyDescent="0.2">
      <c r="B2" s="2500">
        <f>'Single Audit Cover'!E7</f>
        <v>1001172046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West Central Regional System</v>
      </c>
      <c r="C1" s="2472"/>
      <c r="D1" s="2472"/>
      <c r="E1" s="1491"/>
    </row>
    <row r="2" spans="2:5" s="1282" customFormat="1" ht="12.75" customHeight="1" x14ac:dyDescent="0.2">
      <c r="B2" s="2474">
        <f>'Single Audit Cover'!E7</f>
        <v>1001172046</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activeCell="P23" sqref="P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893163</v>
      </c>
      <c r="E16" s="356"/>
      <c r="F16" s="1755">
        <f>SUM('Acct Summary 7-8'!C17,'Acct Summary 7-8'!D17,'Acct Summary 7-8'!F17)</f>
        <v>737057</v>
      </c>
      <c r="G16" s="356"/>
      <c r="H16" s="1755">
        <f>SUM(D16-F16)</f>
        <v>156106</v>
      </c>
      <c r="I16" s="222"/>
      <c r="J16" s="1755">
        <f>SUM('Acct Summary 7-8'!C81,'Acct Summary 7-8'!D81,'Acct Summary 7-8'!F81,'Acct Summary 7-8'!I81)</f>
        <v>258238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P23" sqref="P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 Central Regional System</v>
      </c>
      <c r="E7" s="391"/>
      <c r="G7" s="252"/>
      <c r="H7" s="387"/>
      <c r="I7" s="387"/>
      <c r="J7" s="387"/>
      <c r="K7" s="387"/>
      <c r="L7" s="329"/>
      <c r="M7" s="329"/>
      <c r="N7" s="329"/>
      <c r="O7" s="329"/>
      <c r="P7" s="329"/>
    </row>
    <row r="8" spans="1:18" ht="12.75" x14ac:dyDescent="0.2">
      <c r="A8" s="329"/>
      <c r="B8" s="329"/>
      <c r="C8" s="389" t="s">
        <v>1187</v>
      </c>
      <c r="D8" s="392">
        <f>COVER!A13</f>
        <v>1001172046</v>
      </c>
      <c r="E8" s="393"/>
      <c r="G8" s="329"/>
      <c r="H8" s="329"/>
      <c r="I8" s="329"/>
      <c r="J8" s="329"/>
      <c r="K8" s="329"/>
      <c r="L8" s="329"/>
      <c r="M8" s="329"/>
      <c r="N8" s="329"/>
      <c r="O8" s="329"/>
      <c r="P8" s="329"/>
    </row>
    <row r="9" spans="1:18" ht="12.75" x14ac:dyDescent="0.2">
      <c r="A9" s="329"/>
      <c r="B9" s="329"/>
      <c r="C9" s="389" t="s">
        <v>737</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258238</v>
      </c>
      <c r="I12" s="404"/>
      <c r="J12" s="404"/>
      <c r="K12" s="405">
        <f>TRUNC((H12/H13*100000),5)/100000</f>
        <v>0.28912751640000001</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893163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737057</v>
      </c>
      <c r="I17" s="404"/>
      <c r="J17" s="416"/>
      <c r="K17" s="405">
        <f>TRUNC((H17/H18*100000),5)/100000</f>
        <v>0.82522115220000003</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893163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258238</v>
      </c>
      <c r="I24" s="422"/>
      <c r="J24" s="422"/>
      <c r="K24" s="423">
        <f>TRUNC(((H24/H25*100000)/100000),2)</f>
        <v>126.13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2047.3805600000001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21" activePane="bottomLeft" state="frozen"/>
      <selection activeCell="P23" sqref="P23"/>
      <selection pane="bottomLeft" activeCell="P23" sqref="P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258238</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258238</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421890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421890</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159966</v>
      </c>
      <c r="D38" s="466"/>
      <c r="E38" s="466"/>
      <c r="F38" s="466"/>
      <c r="G38" s="466"/>
      <c r="H38" s="466"/>
      <c r="I38" s="466"/>
      <c r="J38" s="467"/>
      <c r="K38" s="466"/>
      <c r="L38" s="481"/>
      <c r="M38" s="497"/>
      <c r="N38" s="497"/>
    </row>
    <row r="39" spans="1:14" s="329" customFormat="1" ht="13.5" customHeight="1" x14ac:dyDescent="0.2">
      <c r="A39" s="496" t="s">
        <v>360</v>
      </c>
      <c r="B39" s="483">
        <v>730</v>
      </c>
      <c r="C39" s="466">
        <f>258238-159966</f>
        <v>98272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421890</v>
      </c>
      <c r="N40" s="497"/>
    </row>
    <row r="41" spans="1:14" ht="13.5" customHeight="1" thickBot="1" x14ac:dyDescent="0.25">
      <c r="A41" s="1758" t="s">
        <v>676</v>
      </c>
      <c r="B41" s="1728"/>
      <c r="C41" s="1710">
        <f>(SUM(C34,C37,C38,C39))</f>
        <v>258238</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421890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P23" sqref="P23"/>
      <selection pane="bottomLeft" activeCell="P23" sqref="P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1225</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533970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250595</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107373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893163</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893163</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111732</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91355</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533970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737057</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737057</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5" t="s">
        <v>1754</v>
      </c>
      <c r="B20" s="2146"/>
      <c r="C20" s="1768">
        <f>C8-C17</f>
        <v>156106</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156106</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102132</v>
      </c>
      <c r="D79" s="535"/>
      <c r="E79" s="535"/>
      <c r="F79" s="535"/>
      <c r="G79" s="535"/>
      <c r="H79" s="535"/>
      <c r="I79" s="535"/>
      <c r="J79" s="535"/>
      <c r="K79" s="535"/>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258238</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156106</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0.60450437193596607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P23" sqref="P23"/>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1225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1225</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1225</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476902</v>
      </c>
      <c r="D111" s="481"/>
      <c r="E111" s="561"/>
      <c r="F111" s="481"/>
      <c r="G111" s="481"/>
      <c r="H111" s="561"/>
      <c r="I111" s="468"/>
      <c r="J111" s="468"/>
      <c r="K111" s="468"/>
    </row>
    <row r="112" spans="1:12" ht="12.75" customHeight="1" x14ac:dyDescent="0.2">
      <c r="A112" s="463" t="s">
        <v>878</v>
      </c>
      <c r="B112" s="470">
        <v>2200</v>
      </c>
      <c r="C112" s="551">
        <v>57068</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533970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250595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250595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250595</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250595</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107373</v>
      </c>
      <c r="D227" s="466"/>
      <c r="E227" s="468"/>
      <c r="F227" s="468"/>
      <c r="G227" s="466"/>
      <c r="H227" s="468"/>
      <c r="I227" s="468"/>
      <c r="J227" s="468"/>
      <c r="K227" s="468"/>
    </row>
    <row r="228" spans="1:11" ht="12.75" customHeight="1" thickBot="1" x14ac:dyDescent="0.25">
      <c r="A228" s="1745" t="s">
        <v>1145</v>
      </c>
      <c r="B228" s="1746"/>
      <c r="C228" s="1729">
        <f>SUM(C226:C227)</f>
        <v>107373</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107373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107373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893163</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185" activePane="bottomLeft" state="frozen"/>
      <selection activeCell="P23" sqref="P23"/>
      <selection pane="bottomLeft" activeCell="P23" sqref="P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v>3428</v>
      </c>
      <c r="F13" s="466">
        <v>41032</v>
      </c>
      <c r="G13" s="466">
        <v>67272</v>
      </c>
      <c r="H13" s="466"/>
      <c r="I13" s="467"/>
      <c r="J13" s="467"/>
      <c r="K13" s="1693">
        <f t="shared" si="0"/>
        <v>111732</v>
      </c>
      <c r="L13" s="466">
        <v>130962</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3428</v>
      </c>
      <c r="F33" s="1692">
        <f t="shared" si="1"/>
        <v>41032</v>
      </c>
      <c r="G33" s="1692">
        <f t="shared" si="1"/>
        <v>67272</v>
      </c>
      <c r="H33" s="1692">
        <f t="shared" si="1"/>
        <v>0</v>
      </c>
      <c r="I33" s="1692">
        <f t="shared" si="1"/>
        <v>0</v>
      </c>
      <c r="J33" s="1692">
        <f t="shared" si="1"/>
        <v>0</v>
      </c>
      <c r="K33" s="1692">
        <f t="shared" si="1"/>
        <v>111732</v>
      </c>
      <c r="L33" s="1692">
        <f t="shared" si="1"/>
        <v>130962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7987</v>
      </c>
      <c r="F37" s="466"/>
      <c r="G37" s="466"/>
      <c r="H37" s="466"/>
      <c r="I37" s="467"/>
      <c r="J37" s="467"/>
      <c r="K37" s="1693">
        <f t="shared" si="2"/>
        <v>7987</v>
      </c>
      <c r="L37" s="466">
        <v>15626</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7987</v>
      </c>
      <c r="F42" s="1692">
        <f t="shared" si="3"/>
        <v>0</v>
      </c>
      <c r="G42" s="1692">
        <f t="shared" si="3"/>
        <v>0</v>
      </c>
      <c r="H42" s="1692">
        <f t="shared" si="3"/>
        <v>0</v>
      </c>
      <c r="I42" s="1692">
        <f t="shared" si="3"/>
        <v>0</v>
      </c>
      <c r="J42" s="1692">
        <f t="shared" si="3"/>
        <v>0</v>
      </c>
      <c r="K42" s="1692">
        <f t="shared" si="3"/>
        <v>7987</v>
      </c>
      <c r="L42" s="1692">
        <f t="shared" si="3"/>
        <v>15626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12760</v>
      </c>
      <c r="F44" s="481"/>
      <c r="G44" s="481"/>
      <c r="H44" s="481">
        <v>451</v>
      </c>
      <c r="I44" s="467"/>
      <c r="J44" s="467"/>
      <c r="K44" s="1694">
        <f>SUM(C44:J44)</f>
        <v>13211</v>
      </c>
      <c r="L44" s="481">
        <v>24386</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12760</v>
      </c>
      <c r="F47" s="1692">
        <f t="shared" si="4"/>
        <v>0</v>
      </c>
      <c r="G47" s="1692">
        <f t="shared" si="4"/>
        <v>0</v>
      </c>
      <c r="H47" s="1692">
        <f t="shared" si="4"/>
        <v>451</v>
      </c>
      <c r="I47" s="1692">
        <f t="shared" si="4"/>
        <v>0</v>
      </c>
      <c r="J47" s="1692">
        <f t="shared" si="4"/>
        <v>0</v>
      </c>
      <c r="K47" s="1692">
        <f t="shared" si="4"/>
        <v>13211</v>
      </c>
      <c r="L47" s="1692">
        <f>SUM(L44:L46)</f>
        <v>24386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53945</v>
      </c>
      <c r="D51" s="466">
        <v>5911</v>
      </c>
      <c r="E51" s="466">
        <v>10301</v>
      </c>
      <c r="F51" s="466"/>
      <c r="G51" s="466"/>
      <c r="H51" s="466"/>
      <c r="I51" s="467"/>
      <c r="J51" s="467"/>
      <c r="K51" s="1694">
        <f>SUM(C51:J51)</f>
        <v>70157</v>
      </c>
      <c r="L51" s="466">
        <v>75545</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53945</v>
      </c>
      <c r="D53" s="1692">
        <f t="shared" ref="D53:L53" si="5">SUM(D49:D52)</f>
        <v>5911</v>
      </c>
      <c r="E53" s="1692">
        <f t="shared" si="5"/>
        <v>10301</v>
      </c>
      <c r="F53" s="1692">
        <f t="shared" si="5"/>
        <v>0</v>
      </c>
      <c r="G53" s="1692">
        <f t="shared" si="5"/>
        <v>0</v>
      </c>
      <c r="H53" s="1692">
        <f t="shared" si="5"/>
        <v>0</v>
      </c>
      <c r="I53" s="1692">
        <f t="shared" si="5"/>
        <v>0</v>
      </c>
      <c r="J53" s="1692">
        <f t="shared" si="5"/>
        <v>0</v>
      </c>
      <c r="K53" s="1692">
        <f t="shared" si="5"/>
        <v>70157</v>
      </c>
      <c r="L53" s="1692">
        <f t="shared" si="5"/>
        <v>75545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0</v>
      </c>
      <c r="F65" s="1692">
        <f t="shared" si="8"/>
        <v>0</v>
      </c>
      <c r="G65" s="1692">
        <f t="shared" si="8"/>
        <v>0</v>
      </c>
      <c r="H65" s="1692">
        <f t="shared" si="8"/>
        <v>0</v>
      </c>
      <c r="I65" s="1692">
        <f t="shared" si="8"/>
        <v>0</v>
      </c>
      <c r="J65" s="1692">
        <f t="shared" si="8"/>
        <v>0</v>
      </c>
      <c r="K65" s="1692">
        <f t="shared" si="8"/>
        <v>0</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53945</v>
      </c>
      <c r="D74" s="1699">
        <f t="shared" ref="D74:K74" si="10">SUM(D42,D47,D53,D57,D65,D72,D73)</f>
        <v>5911</v>
      </c>
      <c r="E74" s="1699">
        <f t="shared" si="10"/>
        <v>31048</v>
      </c>
      <c r="F74" s="1699">
        <f t="shared" si="10"/>
        <v>0</v>
      </c>
      <c r="G74" s="1699">
        <f t="shared" si="10"/>
        <v>0</v>
      </c>
      <c r="H74" s="1699">
        <f t="shared" si="10"/>
        <v>451</v>
      </c>
      <c r="I74" s="1699">
        <f t="shared" si="10"/>
        <v>0</v>
      </c>
      <c r="J74" s="1699">
        <f t="shared" si="10"/>
        <v>0</v>
      </c>
      <c r="K74" s="1699">
        <f t="shared" si="10"/>
        <v>91355</v>
      </c>
      <c r="L74" s="1699">
        <f>SUM(L42,L47,L53,L57,L65,L72,L73)</f>
        <v>115557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2068</v>
      </c>
      <c r="F81" s="617"/>
      <c r="G81" s="617"/>
      <c r="H81" s="466">
        <v>531902</v>
      </c>
      <c r="I81" s="477"/>
      <c r="J81" s="477"/>
      <c r="K81" s="1693">
        <f t="shared" si="11"/>
        <v>533970</v>
      </c>
      <c r="L81" s="466">
        <v>730979</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2068</v>
      </c>
      <c r="F84" s="617"/>
      <c r="G84" s="617"/>
      <c r="H84" s="1692">
        <f>SUM(H78:H83)</f>
        <v>531902</v>
      </c>
      <c r="I84" s="477"/>
      <c r="J84" s="477"/>
      <c r="K84" s="1692">
        <f>SUM(K78:K83)</f>
        <v>533970</v>
      </c>
      <c r="L84" s="1692">
        <f>SUM(L78:L83)</f>
        <v>730979</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2068</v>
      </c>
      <c r="F102" s="617"/>
      <c r="G102" s="617"/>
      <c r="H102" s="1699">
        <f>SUM(H84,H92,H100,H101)</f>
        <v>531902</v>
      </c>
      <c r="I102" s="477"/>
      <c r="J102" s="477"/>
      <c r="K102" s="1699">
        <f>SUM(K84,K92,K100,K101)</f>
        <v>533970</v>
      </c>
      <c r="L102" s="1699">
        <f>SUM(L84,L92,L100,L101)</f>
        <v>730979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3000</v>
      </c>
      <c r="M113" s="614"/>
      <c r="N113" s="614"/>
    </row>
    <row r="114" spans="1:14" ht="12.75" customHeight="1" thickTop="1" thickBot="1" x14ac:dyDescent="0.25">
      <c r="A114" s="1690" t="s">
        <v>50</v>
      </c>
      <c r="B114" s="1704"/>
      <c r="C114" s="1692">
        <f>SUM(C33,C74,C75,C102,C112,C113)</f>
        <v>53945</v>
      </c>
      <c r="D114" s="1692">
        <f t="shared" ref="D114:K114" si="13">SUM(D33,D74,D75,D102,D112,D113)</f>
        <v>5911</v>
      </c>
      <c r="E114" s="1692">
        <f t="shared" si="13"/>
        <v>36544</v>
      </c>
      <c r="F114" s="1692">
        <f t="shared" si="13"/>
        <v>41032</v>
      </c>
      <c r="G114" s="1692">
        <f t="shared" si="13"/>
        <v>67272</v>
      </c>
      <c r="H114" s="1692">
        <f>SUM(H33,H74,H75,H102,H112,H113)</f>
        <v>532353</v>
      </c>
      <c r="I114" s="1692">
        <f t="shared" si="13"/>
        <v>0</v>
      </c>
      <c r="J114" s="1692">
        <f t="shared" si="13"/>
        <v>0</v>
      </c>
      <c r="K114" s="1692">
        <f t="shared" si="13"/>
        <v>737057</v>
      </c>
      <c r="L114" s="1692">
        <f>SUM(L33,L74,L75,L102,L112,L113)</f>
        <v>980498</v>
      </c>
    </row>
    <row r="115" spans="1:14" ht="13.5" thickTop="1" x14ac:dyDescent="0.2">
      <c r="A115" s="2175" t="s">
        <v>1053</v>
      </c>
      <c r="B115" s="2176"/>
      <c r="C115" s="619"/>
      <c r="D115" s="619"/>
      <c r="E115" s="619"/>
      <c r="F115" s="619"/>
      <c r="G115" s="619"/>
      <c r="H115" s="619"/>
      <c r="I115" s="619"/>
      <c r="J115" s="619"/>
      <c r="K115" s="1706">
        <f>'Revenues 9-14'!C275-'Expenditures 15-22'!K114</f>
        <v>156106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5" t="s">
        <v>1240</v>
      </c>
      <c r="B152" s="2196"/>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5" t="s">
        <v>1053</v>
      </c>
      <c r="B175" s="2176"/>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5" t="s">
        <v>1053</v>
      </c>
      <c r="B211" s="2176"/>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5" t="s">
        <v>1053</v>
      </c>
      <c r="B296" s="2176"/>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8" t="s">
        <v>1053</v>
      </c>
      <c r="B343" s="2189"/>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schemas.openxmlformats.org/package/2006/metadata/core-properties"/>
    <ds:schemaRef ds:uri="d21dc803-237d-4c68-8692-8d731fd29118"/>
    <ds:schemaRef ds:uri="http://purl.org/dc/elements/1.1/"/>
    <ds:schemaRef ds:uri="http://purl.org/dc/dcmitype/"/>
    <ds:schemaRef ds:uri="http://schemas.microsoft.com/office/2006/documentManagement/types"/>
    <ds:schemaRef ds:uri="http://schemas.microsoft.com/sharepoint/v3"/>
    <ds:schemaRef ds:uri="http://schemas.microsoft.com/office/infopath/2007/PartnerControls"/>
    <ds:schemaRef ds:uri="4d435f69-8686-490b-bd6d-b153bf22ab50"/>
    <ds:schemaRef ds:uri="6ce3111e-7420-4802-b50a-75d4e9a0b98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2018-10-12T13:56:29Z</cp:lastPrinted>
  <dcterms:created xsi:type="dcterms:W3CDTF">2003-10-29T19:06:34Z</dcterms:created>
  <dcterms:modified xsi:type="dcterms:W3CDTF">2018-11-05T21:09:41Z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